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tables/table8.xml" ContentType="application/vnd.openxmlformats-officedocument.spreadsheetml.table+xml"/>
  <Override PartName="/xl/queryTables/queryTable2.xml" ContentType="application/vnd.openxmlformats-officedocument.spreadsheetml.queryTable+xml"/>
  <Override PartName="/xl/drawings/drawing10.xml" ContentType="application/vnd.openxmlformats-officedocument.drawing+xml"/>
  <Override PartName="/xl/tables/table9.xml" ContentType="application/vnd.openxmlformats-officedocument.spreadsheetml.table+xml"/>
  <Override PartName="/xl/queryTables/queryTable3.xml" ContentType="application/vnd.openxmlformats-officedocument.spreadsheetml.queryTable+xml"/>
  <Override PartName="/xl/drawings/drawing11.xml" ContentType="application/vnd.openxmlformats-officedocument.drawing+xml"/>
  <Override PartName="/xl/tables/table10.xml" ContentType="application/vnd.openxmlformats-officedocument.spreadsheetml.table+xml"/>
  <Override PartName="/xl/queryTables/queryTable4.xml" ContentType="application/vnd.openxmlformats-officedocument.spreadsheetml.queryTable+xml"/>
  <Override PartName="/xl/drawings/drawing12.xml" ContentType="application/vnd.openxmlformats-officedocument.drawing+xml"/>
  <Override PartName="/xl/tables/table11.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4.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5.xml" ContentType="application/vnd.openxmlformats-officedocument.drawing+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6.xml" ContentType="application/vnd.openxmlformats-officedocument.drawing+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17.xml" ContentType="application/vnd.openxmlformats-officedocument.drawing+xml"/>
  <Override PartName="/xl/drawings/drawing18.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9.xml" ContentType="application/vnd.openxmlformats-officedocument.drawing+xml"/>
  <Override PartName="/xl/slicers/slicer2.xml" ContentType="application/vnd.ms-excel.slicer+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0.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1.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Ex2.xml" ContentType="application/vnd.ms-office.chartex+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hifa\OneDrive\ドキュメント\Aslam\OneDrive\Desktop\BEAT\INTERNSHIP EXCEL\"/>
    </mc:Choice>
  </mc:AlternateContent>
  <xr:revisionPtr revIDLastSave="0" documentId="13_ncr:1_{DAD3F611-3F99-4E31-848E-D1EB2FCEA67D}" xr6:coauthVersionLast="47" xr6:coauthVersionMax="47" xr10:uidLastSave="{00000000-0000-0000-0000-000000000000}"/>
  <bookViews>
    <workbookView xWindow="-108" yWindow="-108" windowWidth="23256" windowHeight="12456" xr2:uid="{FA803F65-2BC2-45E5-A81B-6E8D51A84E3B}"/>
  </bookViews>
  <sheets>
    <sheet name="Project" sheetId="27" r:id="rId1"/>
    <sheet name="Raw_Sales_Transactions" sheetId="8" r:id="rId2"/>
    <sheet name="Raw_Project_Master" sheetId="9" r:id="rId3"/>
    <sheet name="Raw_Client_Master" sheetId="10" r:id="rId4"/>
    <sheet name="Raw_Estimator_Team" sheetId="11" r:id="rId5"/>
    <sheet name="Raw_Monthly_Costs" sheetId="12" r:id="rId6"/>
    <sheet name="Data_Quality" sheetId="13" r:id="rId7"/>
    <sheet name="Clean_Sales_Transactions" sheetId="2" r:id="rId8"/>
    <sheet name="Clean_Project_Master" sheetId="6" r:id="rId9"/>
    <sheet name="Clean_Client_Master" sheetId="3" r:id="rId10"/>
    <sheet name="Clean_Estimator_Team" sheetId="4" r:id="rId11"/>
    <sheet name="Clean_Monthly_Costs" sheetId="5" r:id="rId12"/>
    <sheet name="Sales_Analysis" sheetId="15" r:id="rId13"/>
    <sheet name="project_Analysis" sheetId="16" r:id="rId14"/>
    <sheet name="client_analysis" sheetId="17" r:id="rId15"/>
    <sheet name="estimator_analysis" sheetId="19" r:id="rId16"/>
    <sheet name="cost_analysis" sheetId="20" r:id="rId17"/>
    <sheet name="Sales_Analysis_Dashboard" sheetId="18" r:id="rId18"/>
    <sheet name="Project_Cost_Analysis_Dashboard" sheetId="21" r:id="rId19"/>
    <sheet name="Client_Analysis_Dashboard" sheetId="22" r:id="rId20"/>
    <sheet name="Estimator_Analysis_Dashboard" sheetId="30" r:id="rId21"/>
    <sheet name="Report" sheetId="28" r:id="rId22"/>
  </sheets>
  <definedNames>
    <definedName name="_xlchart.v2.0" hidden="1">Sales_Analysis!$O$4:$O$7</definedName>
    <definedName name="_xlchart.v2.1" hidden="1">Sales_Analysis!$P$3</definedName>
    <definedName name="_xlchart.v2.2" hidden="1">Sales_Analysis!$P$4:$P$7</definedName>
    <definedName name="_xlchart.v2.3" hidden="1">estimator_analysis!$K$3:$K$7</definedName>
    <definedName name="_xlchart.v2.4" hidden="1">estimator_analysis!$L$3:$L$7</definedName>
    <definedName name="_xlcn.WorksheetConnection_Construction_Sales_RAW_Dataset_Shifana_P__excel.xlsxClient_Master1" hidden="1">tblclient[]</definedName>
    <definedName name="_xlcn.WorksheetConnection_Construction_Sales_RAW_Dataset_Shifana_P__excel.xlsxEstimator_Team1" hidden="1">tblestimator[]</definedName>
    <definedName name="_xlcn.WorksheetConnection_Construction_Sales_RAW_Dataset_Shifana_P__excel.xlsxMonthly_Costs1" hidden="1">tblcost[]</definedName>
    <definedName name="_xlcn.WorksheetConnection_Construction_Sales_RAW_Dataset_Shifana_P__excel.xlsxProject_Master1" hidden="1">tblproject[]</definedName>
    <definedName name="_xlcn.WorksheetConnection_Construction_Sales_RAW_Dataset_Shifana_P__excel.xlsxSales_Transactions1" hidden="1">tblsales[]</definedName>
    <definedName name="ExternalData_1" localSheetId="7" hidden="1">Clean_Sales_Transactions!$A$2:$AZ$1002</definedName>
    <definedName name="ExternalData_2" localSheetId="9" hidden="1">Clean_Client_Master!$A$2:$P$17</definedName>
    <definedName name="ExternalData_3" localSheetId="10" hidden="1">Clean_Estimator_Team!$A$2:$S$12</definedName>
    <definedName name="ExternalData_4" localSheetId="11" hidden="1">Clean_Monthly_Costs!$A$2:$X$86</definedName>
    <definedName name="ExternalData_5" localSheetId="8" hidden="1">Clean_Project_Master!$A$2:$S$53</definedName>
    <definedName name="Slicer_Client1">#N/A</definedName>
    <definedName name="Slicer_ClientName">#N/A</definedName>
    <definedName name="Slicer_Country">#N/A</definedName>
    <definedName name="Slicer_Designation">#N/A</definedName>
    <definedName name="Slicer_EstimatorName">#N/A</definedName>
    <definedName name="Slicer_Industry1">#N/A</definedName>
    <definedName name="Slicer_ProjectStatus">#N/A</definedName>
    <definedName name="Slicer_Region">#N/A</definedName>
    <definedName name="Slicer_Region1">#N/A</definedName>
    <definedName name="Slicer_Region3">#N/A</definedName>
    <definedName name="Slicer_Region4">#N/A</definedName>
    <definedName name="Slicer_RevenueCategory">#N/A</definedName>
    <definedName name="Slicer_RiskLevel">#N/A</definedName>
    <definedName name="Slicer_SalesStage1">#N/A</definedName>
  </definedNames>
  <calcPr calcId="191029"/>
  <pivotCaches>
    <pivotCache cacheId="0" r:id="rId23"/>
    <pivotCache cacheId="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 cacheId="11" r:id="rId34"/>
    <pivotCache cacheId="12" r:id="rId35"/>
    <pivotCache cacheId="13" r:id="rId36"/>
    <pivotCache cacheId="14" r:id="rId37"/>
    <pivotCache cacheId="15" r:id="rId38"/>
    <pivotCache cacheId="16" r:id="rId39"/>
    <pivotCache cacheId="17" r:id="rId40"/>
    <pivotCache cacheId="18" r:id="rId41"/>
    <pivotCache cacheId="19" r:id="rId42"/>
    <pivotCache cacheId="20" r:id="rId43"/>
    <pivotCache cacheId="21" r:id="rId44"/>
    <pivotCache cacheId="22" r:id="rId45"/>
    <pivotCache cacheId="23" r:id="rId46"/>
    <pivotCache cacheId="24" r:id="rId47"/>
    <pivotCache cacheId="25" r:id="rId48"/>
    <pivotCache cacheId="26" r:id="rId49"/>
    <pivotCache cacheId="27" r:id="rId50"/>
    <pivotCache cacheId="28" r:id="rId51"/>
    <pivotCache cacheId="29" r:id="rId52"/>
    <pivotCache cacheId="30" r:id="rId53"/>
    <pivotCache cacheId="31" r:id="rId54"/>
    <pivotCache cacheId="32" r:id="rId55"/>
  </pivotCaches>
  <extLst>
    <ext xmlns:x14="http://schemas.microsoft.com/office/spreadsheetml/2009/9/main" uri="{876F7934-8845-4945-9796-88D515C7AA90}">
      <x14:pivotCaches>
        <pivotCache cacheId="33" r:id="rId56"/>
        <pivotCache cacheId="34" r:id="rId57"/>
        <pivotCache cacheId="35" r:id="rId58"/>
      </x14:pivotCaches>
    </ext>
    <ext xmlns:x14="http://schemas.microsoft.com/office/spreadsheetml/2009/9/main" uri="{BBE1A952-AA13-448e-AADC-164F8A28A991}">
      <x14:slicerCaches>
        <x14:slicerCache r:id="rId59"/>
        <x14:slicerCache r:id="rId60"/>
        <x14:slicerCache r:id="rId61"/>
        <x14:slicerCache r:id="rId62"/>
        <x14:slicerCache r:id="rId63"/>
        <x14:slicerCache r:id="rId6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5"/>
        <x14:slicerCache r:id="rId66"/>
        <x14:slicerCache r:id="rId67"/>
        <x14:slicerCache r:id="rId68"/>
        <x14:slicerCache r:id="rId69"/>
        <x14:slicerCache r:id="rId70"/>
        <x14:slicerCache r:id="rId71"/>
        <x14:slicerCache r:id="rId7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ransactions" name="Sales_Transactions" connection="WorksheetConnection_Construction_Sales_RAW_Dataset _Shifana_P__excel.xlsx!Sales_Transactions"/>
          <x15:modelTable id="Project_Master" name="Project_Master" connection="WorksheetConnection_Construction_Sales_RAW_Dataset _Shifana_P__excel.xlsx!Project_Master"/>
          <x15:modelTable id="Monthly_Costs" name="Monthly_Costs" connection="WorksheetConnection_Construction_Sales_RAW_Dataset _Shifana_P__excel.xlsx!Monthly_Costs"/>
          <x15:modelTable id="Estimator_Team" name="Estimator_Team" connection="WorksheetConnection_Construction_Sales_RAW_Dataset _Shifana_P__excel.xlsx!Estimator_Team"/>
          <x15:modelTable id="Client_Master" name="Client_Master" connection="WorksheetConnection_Construction_Sales_RAW_Dataset _Shifana_P__excel.xlsx!Client_Master"/>
        </x15:modelTables>
        <x15:modelRelationships>
          <x15:modelRelationship fromTable="Sales_Transactions" fromColumn="ProjectID" toTable="Project_Master" toColumn="ProjectID"/>
          <x15:modelRelationship fromTable="Sales_Transactions" fromColumn="Estimator" toTable="Estimator_Team" toColumn="EstimatorName"/>
          <x15:modelRelationship fromTable="Sales_Transactions" fromColumn="Client" toTable="Client_Master" toColumn="ClientName"/>
        </x15:modelRelationships>
        <x15:extLst>
          <ext xmlns:x16="http://schemas.microsoft.com/office/spreadsheetml/2014/11/main" uri="{9835A34E-60A6-4A7C-AAB8-D5F71C897F49}">
            <x16:modelTimeGroupings>
              <x16:modelTimeGrouping tableName="Sales_Transac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Project_Master" columnName="StartDate" columnId="StartDate">
                <x16:calculatedTimeColumn columnName="StartDate (Year)" columnId="StartDate (Year)" contentType="years" isSelected="1"/>
                <x16:calculatedTimeColumn columnName="StartDate (Quarter)" columnId="StartDate (Quarter)" contentType="quarters" isSelected="1"/>
                <x16:calculatedTimeColumn columnName="StartDate (Month Index)" columnId="StartDate (Month Index)" contentType="monthsindex" isSelected="1"/>
                <x16:calculatedTimeColumn columnName="StartDate (Month)" columnId="StartDate (Month)" contentType="months" isSelected="1"/>
              </x16:modelTimeGrouping>
              <x16:modelTimeGrouping tableName="Monthly_Costs"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Estimator_Team" columnName="JoiningDate" columnId="JoiningDate">
                <x16:calculatedTimeColumn columnName="JoiningDate (Year)" columnId="JoiningDate (Year)" contentType="years" isSelected="1"/>
                <x16:calculatedTimeColumn columnName="JoiningDate (Quarter)" columnId="JoiningDate (Quarter)" contentType="quarters" isSelected="1"/>
                <x16:calculatedTimeColumn columnName="JoiningDate (Month Index)" columnId="JoiningDate (Month Index)" contentType="monthsindex" isSelected="1"/>
                <x16:calculatedTimeColumn columnName="JoiningDate (Month)" columnId="Joining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3" l="1"/>
  <c r="U3" i="4"/>
  <c r="U4" i="4"/>
  <c r="U5" i="4"/>
  <c r="U6" i="4"/>
  <c r="U7" i="4"/>
  <c r="U8" i="4"/>
  <c r="U9" i="4"/>
  <c r="U10" i="4"/>
  <c r="U11" i="4"/>
  <c r="U12" i="4"/>
  <c r="L7" i="19"/>
  <c r="L6" i="19"/>
  <c r="L5" i="19"/>
  <c r="L4" i="19"/>
  <c r="L3" i="19"/>
  <c r="V3" i="4"/>
  <c r="V4" i="4"/>
  <c r="V5" i="4"/>
  <c r="V6" i="4"/>
  <c r="V7" i="4"/>
  <c r="V8" i="4"/>
  <c r="V9" i="4"/>
  <c r="V10" i="4"/>
  <c r="V11" i="4"/>
  <c r="V12" i="4"/>
  <c r="Y6" i="4"/>
  <c r="Y5" i="4"/>
  <c r="Y4" i="4"/>
  <c r="Y3" i="4"/>
  <c r="G19" i="20"/>
  <c r="G18" i="20"/>
  <c r="G17" i="20"/>
  <c r="G14" i="20"/>
  <c r="G16" i="20"/>
  <c r="G13" i="20"/>
  <c r="G15" i="20"/>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BI12" i="2"/>
  <c r="Y9" i="6"/>
  <c r="Y16" i="6"/>
  <c r="AA8" i="5"/>
  <c r="AA7" i="5"/>
  <c r="AA6" i="5"/>
  <c r="AA5" i="5"/>
  <c r="O10" i="15"/>
  <c r="P7" i="15"/>
  <c r="P4" i="15"/>
  <c r="P6" i="15"/>
  <c r="P5" i="15"/>
  <c r="BI10" i="2"/>
  <c r="BI9" i="2"/>
  <c r="BI11" i="2"/>
  <c r="BN7" i="2"/>
  <c r="BA3" i="2"/>
  <c r="BI6" i="2" s="1"/>
  <c r="BB3" i="2"/>
  <c r="BI5" i="2"/>
  <c r="BI4" i="2"/>
  <c r="BD3" i="2"/>
  <c r="BD4" i="2"/>
  <c r="BD5" i="2"/>
  <c r="BD6" i="2"/>
  <c r="BD7" i="2"/>
  <c r="BD8" i="2"/>
  <c r="BD9" i="2"/>
  <c r="BD10" i="2"/>
  <c r="BD11" i="2"/>
  <c r="BD12" i="2"/>
  <c r="BD13" i="2"/>
  <c r="BD14" i="2"/>
  <c r="BD15" i="2"/>
  <c r="BD16" i="2"/>
  <c r="BD17" i="2"/>
  <c r="BD18" i="2"/>
  <c r="BD19" i="2"/>
  <c r="BD20" i="2"/>
  <c r="BD21" i="2"/>
  <c r="BD22" i="2"/>
  <c r="BD23" i="2"/>
  <c r="BD24" i="2"/>
  <c r="BD25" i="2"/>
  <c r="BD26" i="2"/>
  <c r="BD27" i="2"/>
  <c r="BD28" i="2"/>
  <c r="BD29" i="2"/>
  <c r="BD30" i="2"/>
  <c r="BD31" i="2"/>
  <c r="BD32" i="2"/>
  <c r="BD33" i="2"/>
  <c r="BD34" i="2"/>
  <c r="BD35" i="2"/>
  <c r="BD36" i="2"/>
  <c r="BD37" i="2"/>
  <c r="BD38" i="2"/>
  <c r="BD39" i="2"/>
  <c r="BD40" i="2"/>
  <c r="BD41" i="2"/>
  <c r="BD42" i="2"/>
  <c r="BD43" i="2"/>
  <c r="BD44" i="2"/>
  <c r="BD45" i="2"/>
  <c r="BD46" i="2"/>
  <c r="BD47" i="2"/>
  <c r="BD48" i="2"/>
  <c r="BD49" i="2"/>
  <c r="BD50" i="2"/>
  <c r="BD51" i="2"/>
  <c r="BD52" i="2"/>
  <c r="BD53" i="2"/>
  <c r="BD54" i="2"/>
  <c r="BD55" i="2"/>
  <c r="BD56" i="2"/>
  <c r="BD57" i="2"/>
  <c r="BD58" i="2"/>
  <c r="BD59" i="2"/>
  <c r="BD60" i="2"/>
  <c r="BD61" i="2"/>
  <c r="BD62" i="2"/>
  <c r="BD63" i="2"/>
  <c r="BD64" i="2"/>
  <c r="BD65" i="2"/>
  <c r="BD66" i="2"/>
  <c r="BD67" i="2"/>
  <c r="BD68" i="2"/>
  <c r="BD69" i="2"/>
  <c r="BD70" i="2"/>
  <c r="BD71" i="2"/>
  <c r="BD72" i="2"/>
  <c r="BD73" i="2"/>
  <c r="BD74" i="2"/>
  <c r="BD75" i="2"/>
  <c r="BD76" i="2"/>
  <c r="BD77" i="2"/>
  <c r="BD78" i="2"/>
  <c r="BD79" i="2"/>
  <c r="BD80" i="2"/>
  <c r="BD81" i="2"/>
  <c r="BD82" i="2"/>
  <c r="BD83" i="2"/>
  <c r="BD84" i="2"/>
  <c r="BD85" i="2"/>
  <c r="BD86" i="2"/>
  <c r="BD87" i="2"/>
  <c r="BD88" i="2"/>
  <c r="BD89" i="2"/>
  <c r="BD90" i="2"/>
  <c r="BD91" i="2"/>
  <c r="BD92" i="2"/>
  <c r="BD93" i="2"/>
  <c r="BD94" i="2"/>
  <c r="BD95" i="2"/>
  <c r="BD96" i="2"/>
  <c r="BD97" i="2"/>
  <c r="BD98" i="2"/>
  <c r="BD99" i="2"/>
  <c r="BD100" i="2"/>
  <c r="BD101" i="2"/>
  <c r="BD102" i="2"/>
  <c r="BD103" i="2"/>
  <c r="BD104" i="2"/>
  <c r="BD105" i="2"/>
  <c r="BD106" i="2"/>
  <c r="BD107" i="2"/>
  <c r="BD108" i="2"/>
  <c r="BD109" i="2"/>
  <c r="BD110" i="2"/>
  <c r="BD111" i="2"/>
  <c r="BD112" i="2"/>
  <c r="BD113" i="2"/>
  <c r="BD114" i="2"/>
  <c r="BD115" i="2"/>
  <c r="BD116" i="2"/>
  <c r="BD117" i="2"/>
  <c r="BD118" i="2"/>
  <c r="BD119" i="2"/>
  <c r="BD120" i="2"/>
  <c r="BD121" i="2"/>
  <c r="BD122" i="2"/>
  <c r="BD123" i="2"/>
  <c r="BD124" i="2"/>
  <c r="BD125" i="2"/>
  <c r="BD126" i="2"/>
  <c r="BD127" i="2"/>
  <c r="BD128" i="2"/>
  <c r="BD129" i="2"/>
  <c r="BD130" i="2"/>
  <c r="BD131" i="2"/>
  <c r="BD132" i="2"/>
  <c r="BD133" i="2"/>
  <c r="BD134" i="2"/>
  <c r="BD135" i="2"/>
  <c r="BD136" i="2"/>
  <c r="BD137" i="2"/>
  <c r="BD138" i="2"/>
  <c r="BD139" i="2"/>
  <c r="BD140" i="2"/>
  <c r="BD141" i="2"/>
  <c r="BD142" i="2"/>
  <c r="BD143" i="2"/>
  <c r="BD144" i="2"/>
  <c r="BD145" i="2"/>
  <c r="BD146" i="2"/>
  <c r="BD147" i="2"/>
  <c r="BD148" i="2"/>
  <c r="BD149" i="2"/>
  <c r="BD150" i="2"/>
  <c r="BD151" i="2"/>
  <c r="BD152" i="2"/>
  <c r="BD153" i="2"/>
  <c r="BD154" i="2"/>
  <c r="BD155" i="2"/>
  <c r="BD156" i="2"/>
  <c r="BD157" i="2"/>
  <c r="BD158" i="2"/>
  <c r="BD159" i="2"/>
  <c r="BD160" i="2"/>
  <c r="BD161" i="2"/>
  <c r="BD162" i="2"/>
  <c r="BD163" i="2"/>
  <c r="BD164" i="2"/>
  <c r="BD165" i="2"/>
  <c r="BD166" i="2"/>
  <c r="BD167" i="2"/>
  <c r="BD168" i="2"/>
  <c r="BD169" i="2"/>
  <c r="BD170" i="2"/>
  <c r="BD171" i="2"/>
  <c r="BD172" i="2"/>
  <c r="BD173" i="2"/>
  <c r="BD174" i="2"/>
  <c r="BD175" i="2"/>
  <c r="BD176" i="2"/>
  <c r="BD177" i="2"/>
  <c r="BD178" i="2"/>
  <c r="BD179" i="2"/>
  <c r="BD180" i="2"/>
  <c r="BD181" i="2"/>
  <c r="BD182" i="2"/>
  <c r="BD183" i="2"/>
  <c r="BD184" i="2"/>
  <c r="BD185" i="2"/>
  <c r="BD186" i="2"/>
  <c r="BD187" i="2"/>
  <c r="BD188" i="2"/>
  <c r="BD189" i="2"/>
  <c r="BD190" i="2"/>
  <c r="BD191" i="2"/>
  <c r="BD192" i="2"/>
  <c r="BD193" i="2"/>
  <c r="BD194" i="2"/>
  <c r="BD195" i="2"/>
  <c r="BD196" i="2"/>
  <c r="BD197" i="2"/>
  <c r="BD198" i="2"/>
  <c r="BD199" i="2"/>
  <c r="BD200" i="2"/>
  <c r="BD201" i="2"/>
  <c r="BD202" i="2"/>
  <c r="BD203" i="2"/>
  <c r="BD204" i="2"/>
  <c r="BD205" i="2"/>
  <c r="BD206" i="2"/>
  <c r="BD207" i="2"/>
  <c r="BD208" i="2"/>
  <c r="BD209" i="2"/>
  <c r="BD210" i="2"/>
  <c r="BD211" i="2"/>
  <c r="BD212" i="2"/>
  <c r="BD213" i="2"/>
  <c r="BD214" i="2"/>
  <c r="BD215" i="2"/>
  <c r="BD216" i="2"/>
  <c r="BD217" i="2"/>
  <c r="BD218" i="2"/>
  <c r="BD219" i="2"/>
  <c r="BD220" i="2"/>
  <c r="BD221" i="2"/>
  <c r="BD222" i="2"/>
  <c r="BD223" i="2"/>
  <c r="BD224" i="2"/>
  <c r="BD225" i="2"/>
  <c r="BD226" i="2"/>
  <c r="BD227" i="2"/>
  <c r="BD228" i="2"/>
  <c r="BD229" i="2"/>
  <c r="BD230" i="2"/>
  <c r="BD231" i="2"/>
  <c r="BD232" i="2"/>
  <c r="BD233" i="2"/>
  <c r="BD234" i="2"/>
  <c r="BD235" i="2"/>
  <c r="BD236" i="2"/>
  <c r="BD237" i="2"/>
  <c r="BD238" i="2"/>
  <c r="BD239" i="2"/>
  <c r="BD240" i="2"/>
  <c r="BD241" i="2"/>
  <c r="BD242" i="2"/>
  <c r="BD243" i="2"/>
  <c r="BD244" i="2"/>
  <c r="BD245" i="2"/>
  <c r="BD246" i="2"/>
  <c r="BD247" i="2"/>
  <c r="BD248" i="2"/>
  <c r="BD249" i="2"/>
  <c r="BD250" i="2"/>
  <c r="BD251" i="2"/>
  <c r="BD252" i="2"/>
  <c r="BD253" i="2"/>
  <c r="BD254" i="2"/>
  <c r="BD255" i="2"/>
  <c r="BD256" i="2"/>
  <c r="BD257" i="2"/>
  <c r="BD258" i="2"/>
  <c r="BD259" i="2"/>
  <c r="BD260" i="2"/>
  <c r="BD261" i="2"/>
  <c r="BD262" i="2"/>
  <c r="BD263" i="2"/>
  <c r="BD264" i="2"/>
  <c r="BD265" i="2"/>
  <c r="BD266" i="2"/>
  <c r="BD267" i="2"/>
  <c r="BD268" i="2"/>
  <c r="BD269" i="2"/>
  <c r="BD270" i="2"/>
  <c r="BD271" i="2"/>
  <c r="BD272" i="2"/>
  <c r="BD273" i="2"/>
  <c r="BD274" i="2"/>
  <c r="BD275" i="2"/>
  <c r="BD276" i="2"/>
  <c r="BD277" i="2"/>
  <c r="BD278" i="2"/>
  <c r="BD279" i="2"/>
  <c r="BD280" i="2"/>
  <c r="BD281" i="2"/>
  <c r="BD282" i="2"/>
  <c r="BD283" i="2"/>
  <c r="BD284" i="2"/>
  <c r="BD285" i="2"/>
  <c r="BD286" i="2"/>
  <c r="BD287" i="2"/>
  <c r="BD288" i="2"/>
  <c r="BD289" i="2"/>
  <c r="BD290" i="2"/>
  <c r="BD291" i="2"/>
  <c r="BD292" i="2"/>
  <c r="BD293" i="2"/>
  <c r="BD294" i="2"/>
  <c r="BD295" i="2"/>
  <c r="BD296" i="2"/>
  <c r="BD297" i="2"/>
  <c r="BD298" i="2"/>
  <c r="BD299" i="2"/>
  <c r="BD300" i="2"/>
  <c r="BD301" i="2"/>
  <c r="BD302" i="2"/>
  <c r="BD303" i="2"/>
  <c r="BD304" i="2"/>
  <c r="BD305" i="2"/>
  <c r="BD306" i="2"/>
  <c r="BD307" i="2"/>
  <c r="BD308" i="2"/>
  <c r="BD309" i="2"/>
  <c r="BD310" i="2"/>
  <c r="BD311" i="2"/>
  <c r="BD312" i="2"/>
  <c r="BD313" i="2"/>
  <c r="BD314" i="2"/>
  <c r="BD315" i="2"/>
  <c r="BD316" i="2"/>
  <c r="BD317" i="2"/>
  <c r="BD318" i="2"/>
  <c r="BD319" i="2"/>
  <c r="BD320" i="2"/>
  <c r="BD321" i="2"/>
  <c r="BD322" i="2"/>
  <c r="BD323" i="2"/>
  <c r="BD324" i="2"/>
  <c r="BD325" i="2"/>
  <c r="BD326" i="2"/>
  <c r="BD327" i="2"/>
  <c r="BD328" i="2"/>
  <c r="BD329" i="2"/>
  <c r="BD330" i="2"/>
  <c r="BD331" i="2"/>
  <c r="BD332" i="2"/>
  <c r="BD333" i="2"/>
  <c r="BD334" i="2"/>
  <c r="BD335" i="2"/>
  <c r="BD336" i="2"/>
  <c r="BD337" i="2"/>
  <c r="BD338" i="2"/>
  <c r="BD339" i="2"/>
  <c r="BD340" i="2"/>
  <c r="BD341" i="2"/>
  <c r="BD342" i="2"/>
  <c r="BD343" i="2"/>
  <c r="BD344" i="2"/>
  <c r="BD345" i="2"/>
  <c r="BD346" i="2"/>
  <c r="BD347" i="2"/>
  <c r="BD348" i="2"/>
  <c r="BD349" i="2"/>
  <c r="BD350" i="2"/>
  <c r="BD351" i="2"/>
  <c r="BD352" i="2"/>
  <c r="BD353" i="2"/>
  <c r="BD354" i="2"/>
  <c r="BD355" i="2"/>
  <c r="BD356" i="2"/>
  <c r="BD357" i="2"/>
  <c r="BD358" i="2"/>
  <c r="BD359" i="2"/>
  <c r="BD360" i="2"/>
  <c r="BD361" i="2"/>
  <c r="BD362" i="2"/>
  <c r="BD363" i="2"/>
  <c r="BD364" i="2"/>
  <c r="BD365" i="2"/>
  <c r="BD366" i="2"/>
  <c r="BD367" i="2"/>
  <c r="BD368" i="2"/>
  <c r="BD369" i="2"/>
  <c r="BD370" i="2"/>
  <c r="BD371" i="2"/>
  <c r="BD372" i="2"/>
  <c r="BD373" i="2"/>
  <c r="BD374" i="2"/>
  <c r="BD375" i="2"/>
  <c r="BD376" i="2"/>
  <c r="BD377" i="2"/>
  <c r="BD378" i="2"/>
  <c r="BD379" i="2"/>
  <c r="BD380" i="2"/>
  <c r="BD381" i="2"/>
  <c r="BD382" i="2"/>
  <c r="BD383" i="2"/>
  <c r="BD384" i="2"/>
  <c r="BD385" i="2"/>
  <c r="BD386" i="2"/>
  <c r="BD387" i="2"/>
  <c r="BD388" i="2"/>
  <c r="BD389" i="2"/>
  <c r="BD390" i="2"/>
  <c r="BD391" i="2"/>
  <c r="BD392" i="2"/>
  <c r="BD393" i="2"/>
  <c r="BD394" i="2"/>
  <c r="BD395" i="2"/>
  <c r="BD396" i="2"/>
  <c r="BD397" i="2"/>
  <c r="BD398" i="2"/>
  <c r="BD399" i="2"/>
  <c r="BD400" i="2"/>
  <c r="BD401" i="2"/>
  <c r="BD402" i="2"/>
  <c r="BD403" i="2"/>
  <c r="BD404" i="2"/>
  <c r="BD405" i="2"/>
  <c r="BD406" i="2"/>
  <c r="BD407" i="2"/>
  <c r="BD408" i="2"/>
  <c r="BD409" i="2"/>
  <c r="BD410" i="2"/>
  <c r="BD411" i="2"/>
  <c r="BD412" i="2"/>
  <c r="BD413" i="2"/>
  <c r="BD414" i="2"/>
  <c r="BD415" i="2"/>
  <c r="BD416" i="2"/>
  <c r="BD417" i="2"/>
  <c r="BD418" i="2"/>
  <c r="BD419" i="2"/>
  <c r="BD420" i="2"/>
  <c r="BD421" i="2"/>
  <c r="BD422" i="2"/>
  <c r="BD423" i="2"/>
  <c r="BD424" i="2"/>
  <c r="BD425" i="2"/>
  <c r="BD426" i="2"/>
  <c r="BD427" i="2"/>
  <c r="BD428" i="2"/>
  <c r="BD429" i="2"/>
  <c r="BD430" i="2"/>
  <c r="BD431" i="2"/>
  <c r="BD432" i="2"/>
  <c r="BD433" i="2"/>
  <c r="BD434" i="2"/>
  <c r="BD435" i="2"/>
  <c r="BD436" i="2"/>
  <c r="BD437" i="2"/>
  <c r="BD438" i="2"/>
  <c r="BD439" i="2"/>
  <c r="BD440" i="2"/>
  <c r="BD441" i="2"/>
  <c r="BD442" i="2"/>
  <c r="BD443" i="2"/>
  <c r="BD444" i="2"/>
  <c r="BD445" i="2"/>
  <c r="BD446" i="2"/>
  <c r="BD447" i="2"/>
  <c r="BD448" i="2"/>
  <c r="BD449" i="2"/>
  <c r="BD450" i="2"/>
  <c r="BD451" i="2"/>
  <c r="BD452" i="2"/>
  <c r="BD453" i="2"/>
  <c r="BD454" i="2"/>
  <c r="BD455" i="2"/>
  <c r="BD456" i="2"/>
  <c r="BD457" i="2"/>
  <c r="BD458" i="2"/>
  <c r="BD459" i="2"/>
  <c r="BD460" i="2"/>
  <c r="BD461" i="2"/>
  <c r="BD462" i="2"/>
  <c r="BD463" i="2"/>
  <c r="BD464" i="2"/>
  <c r="BD465" i="2"/>
  <c r="BD466" i="2"/>
  <c r="BD467" i="2"/>
  <c r="BD468" i="2"/>
  <c r="BD469" i="2"/>
  <c r="BD470" i="2"/>
  <c r="BD471" i="2"/>
  <c r="BD472" i="2"/>
  <c r="BD473" i="2"/>
  <c r="BD474" i="2"/>
  <c r="BD475" i="2"/>
  <c r="BD476" i="2"/>
  <c r="BD477" i="2"/>
  <c r="BD478" i="2"/>
  <c r="BD479" i="2"/>
  <c r="BD480" i="2"/>
  <c r="BD481" i="2"/>
  <c r="BD482" i="2"/>
  <c r="BD483" i="2"/>
  <c r="BD484" i="2"/>
  <c r="BD485" i="2"/>
  <c r="BD486" i="2"/>
  <c r="BD487" i="2"/>
  <c r="BD488" i="2"/>
  <c r="BD489" i="2"/>
  <c r="BD490" i="2"/>
  <c r="BD491" i="2"/>
  <c r="BD492" i="2"/>
  <c r="BD493" i="2"/>
  <c r="BD494" i="2"/>
  <c r="BD495" i="2"/>
  <c r="BD496" i="2"/>
  <c r="BD497" i="2"/>
  <c r="BD498" i="2"/>
  <c r="BD499" i="2"/>
  <c r="BD500" i="2"/>
  <c r="BD501" i="2"/>
  <c r="BD502" i="2"/>
  <c r="BD503" i="2"/>
  <c r="BD504" i="2"/>
  <c r="BD505" i="2"/>
  <c r="BD506" i="2"/>
  <c r="BD507" i="2"/>
  <c r="BD508" i="2"/>
  <c r="BD509" i="2"/>
  <c r="BD510" i="2"/>
  <c r="BD511" i="2"/>
  <c r="BD512" i="2"/>
  <c r="BD513" i="2"/>
  <c r="BD514" i="2"/>
  <c r="BD515" i="2"/>
  <c r="BD516" i="2"/>
  <c r="BD517" i="2"/>
  <c r="BD518" i="2"/>
  <c r="BD519" i="2"/>
  <c r="BD520" i="2"/>
  <c r="BD521" i="2"/>
  <c r="BD522" i="2"/>
  <c r="BD523" i="2"/>
  <c r="BD524" i="2"/>
  <c r="BD525" i="2"/>
  <c r="BD526" i="2"/>
  <c r="BD527" i="2"/>
  <c r="BD528" i="2"/>
  <c r="BD529" i="2"/>
  <c r="BD530" i="2"/>
  <c r="BD531" i="2"/>
  <c r="BD532" i="2"/>
  <c r="BD533" i="2"/>
  <c r="BD534" i="2"/>
  <c r="BD535" i="2"/>
  <c r="BD536" i="2"/>
  <c r="BD537" i="2"/>
  <c r="BD538" i="2"/>
  <c r="BD539" i="2"/>
  <c r="BD540" i="2"/>
  <c r="BD541" i="2"/>
  <c r="BD542" i="2"/>
  <c r="BD543" i="2"/>
  <c r="BD544" i="2"/>
  <c r="BD545" i="2"/>
  <c r="BD546" i="2"/>
  <c r="BD547" i="2"/>
  <c r="BD548" i="2"/>
  <c r="BD549" i="2"/>
  <c r="BD550" i="2"/>
  <c r="BD551" i="2"/>
  <c r="BD552" i="2"/>
  <c r="BD553" i="2"/>
  <c r="BD554" i="2"/>
  <c r="BD555" i="2"/>
  <c r="BD556" i="2"/>
  <c r="BD557" i="2"/>
  <c r="BD558" i="2"/>
  <c r="BD559" i="2"/>
  <c r="BD560" i="2"/>
  <c r="BD561" i="2"/>
  <c r="BD562" i="2"/>
  <c r="BD563" i="2"/>
  <c r="BD564" i="2"/>
  <c r="BD565" i="2"/>
  <c r="BD566" i="2"/>
  <c r="BD567" i="2"/>
  <c r="BD568" i="2"/>
  <c r="BD569" i="2"/>
  <c r="BD570" i="2"/>
  <c r="BD571" i="2"/>
  <c r="BD572" i="2"/>
  <c r="BD573" i="2"/>
  <c r="BD574" i="2"/>
  <c r="BD575" i="2"/>
  <c r="BD576" i="2"/>
  <c r="BD577" i="2"/>
  <c r="BD578" i="2"/>
  <c r="BD579" i="2"/>
  <c r="BD580" i="2"/>
  <c r="BD581" i="2"/>
  <c r="BD582" i="2"/>
  <c r="BD583" i="2"/>
  <c r="BD584" i="2"/>
  <c r="BD585" i="2"/>
  <c r="BD586" i="2"/>
  <c r="BD587" i="2"/>
  <c r="BD588" i="2"/>
  <c r="BD589" i="2"/>
  <c r="BD590" i="2"/>
  <c r="BD591" i="2"/>
  <c r="BD592" i="2"/>
  <c r="BD593" i="2"/>
  <c r="BD594" i="2"/>
  <c r="BD595" i="2"/>
  <c r="BD596" i="2"/>
  <c r="BD597" i="2"/>
  <c r="BD598" i="2"/>
  <c r="BD599" i="2"/>
  <c r="BD600" i="2"/>
  <c r="BD601" i="2"/>
  <c r="BD602" i="2"/>
  <c r="BD603" i="2"/>
  <c r="BD604" i="2"/>
  <c r="BD605" i="2"/>
  <c r="BD606" i="2"/>
  <c r="BD607" i="2"/>
  <c r="BD608" i="2"/>
  <c r="BD609" i="2"/>
  <c r="BD610" i="2"/>
  <c r="BD611" i="2"/>
  <c r="BD612" i="2"/>
  <c r="BD613" i="2"/>
  <c r="BD614" i="2"/>
  <c r="BD615" i="2"/>
  <c r="BD616" i="2"/>
  <c r="BD617" i="2"/>
  <c r="BD618" i="2"/>
  <c r="BD619" i="2"/>
  <c r="BD620" i="2"/>
  <c r="BD621" i="2"/>
  <c r="BD622" i="2"/>
  <c r="BD623" i="2"/>
  <c r="BD624" i="2"/>
  <c r="BD625" i="2"/>
  <c r="BD626" i="2"/>
  <c r="BD627" i="2"/>
  <c r="BD628" i="2"/>
  <c r="BD629" i="2"/>
  <c r="BD630" i="2"/>
  <c r="BD631" i="2"/>
  <c r="BD632" i="2"/>
  <c r="BD633" i="2"/>
  <c r="BD634" i="2"/>
  <c r="BD635" i="2"/>
  <c r="BD636" i="2"/>
  <c r="BD637" i="2"/>
  <c r="BD638" i="2"/>
  <c r="BD639" i="2"/>
  <c r="BD640" i="2"/>
  <c r="BD641" i="2"/>
  <c r="BD642" i="2"/>
  <c r="BD643" i="2"/>
  <c r="BD644" i="2"/>
  <c r="BD645" i="2"/>
  <c r="BD646" i="2"/>
  <c r="BD647" i="2"/>
  <c r="BD648" i="2"/>
  <c r="BD649" i="2"/>
  <c r="BD650" i="2"/>
  <c r="BD651" i="2"/>
  <c r="BD652" i="2"/>
  <c r="BD653" i="2"/>
  <c r="BD654" i="2"/>
  <c r="BD655" i="2"/>
  <c r="BD656" i="2"/>
  <c r="BD657" i="2"/>
  <c r="BD658" i="2"/>
  <c r="BD659" i="2"/>
  <c r="BD660" i="2"/>
  <c r="BD661" i="2"/>
  <c r="BD662" i="2"/>
  <c r="BD663" i="2"/>
  <c r="BD664" i="2"/>
  <c r="BD665" i="2"/>
  <c r="BD666" i="2"/>
  <c r="BD667" i="2"/>
  <c r="BD668" i="2"/>
  <c r="BD669" i="2"/>
  <c r="BD670" i="2"/>
  <c r="BD671" i="2"/>
  <c r="BD672" i="2"/>
  <c r="BD673" i="2"/>
  <c r="BD674" i="2"/>
  <c r="BD675" i="2"/>
  <c r="BD676" i="2"/>
  <c r="BD677" i="2"/>
  <c r="BD678" i="2"/>
  <c r="BD679" i="2"/>
  <c r="BD680" i="2"/>
  <c r="BD681" i="2"/>
  <c r="BD682" i="2"/>
  <c r="BD683" i="2"/>
  <c r="BD684" i="2"/>
  <c r="BD685" i="2"/>
  <c r="BD686" i="2"/>
  <c r="BD687" i="2"/>
  <c r="BD688" i="2"/>
  <c r="BD689" i="2"/>
  <c r="BD690" i="2"/>
  <c r="BD691" i="2"/>
  <c r="BD692" i="2"/>
  <c r="BD693" i="2"/>
  <c r="BD694" i="2"/>
  <c r="BD695" i="2"/>
  <c r="BD696" i="2"/>
  <c r="BD697" i="2"/>
  <c r="BD698" i="2"/>
  <c r="BD699" i="2"/>
  <c r="BD700" i="2"/>
  <c r="BD701" i="2"/>
  <c r="BD702" i="2"/>
  <c r="BD703" i="2"/>
  <c r="BD704" i="2"/>
  <c r="BD705" i="2"/>
  <c r="BD706" i="2"/>
  <c r="BD707" i="2"/>
  <c r="BD708" i="2"/>
  <c r="BD709" i="2"/>
  <c r="BD710" i="2"/>
  <c r="BD711" i="2"/>
  <c r="BD712" i="2"/>
  <c r="BD713" i="2"/>
  <c r="BD714" i="2"/>
  <c r="BD715" i="2"/>
  <c r="BD716" i="2"/>
  <c r="BD717" i="2"/>
  <c r="BD718" i="2"/>
  <c r="BD719" i="2"/>
  <c r="BD720" i="2"/>
  <c r="BD721" i="2"/>
  <c r="BD722" i="2"/>
  <c r="BD723" i="2"/>
  <c r="BD724" i="2"/>
  <c r="BD725" i="2"/>
  <c r="BD726" i="2"/>
  <c r="BD727" i="2"/>
  <c r="BD728" i="2"/>
  <c r="BD729" i="2"/>
  <c r="BD730" i="2"/>
  <c r="BD731" i="2"/>
  <c r="BD732" i="2"/>
  <c r="BD733" i="2"/>
  <c r="BD734" i="2"/>
  <c r="BD735" i="2"/>
  <c r="BD736" i="2"/>
  <c r="BD737" i="2"/>
  <c r="BD738" i="2"/>
  <c r="BD739" i="2"/>
  <c r="BD740" i="2"/>
  <c r="BD741" i="2"/>
  <c r="BD742" i="2"/>
  <c r="BD743" i="2"/>
  <c r="BD744" i="2"/>
  <c r="BD745" i="2"/>
  <c r="BD746" i="2"/>
  <c r="BD747" i="2"/>
  <c r="BD748" i="2"/>
  <c r="BD749" i="2"/>
  <c r="BD750" i="2"/>
  <c r="BD751" i="2"/>
  <c r="BD752" i="2"/>
  <c r="BD753" i="2"/>
  <c r="BD754" i="2"/>
  <c r="BD755" i="2"/>
  <c r="BD756" i="2"/>
  <c r="BD757" i="2"/>
  <c r="BD758" i="2"/>
  <c r="BD759" i="2"/>
  <c r="BD760" i="2"/>
  <c r="BD761" i="2"/>
  <c r="BD762" i="2"/>
  <c r="BD763" i="2"/>
  <c r="BD764" i="2"/>
  <c r="BD765" i="2"/>
  <c r="BD766" i="2"/>
  <c r="BD767" i="2"/>
  <c r="BD768" i="2"/>
  <c r="BD769" i="2"/>
  <c r="BD770" i="2"/>
  <c r="BD771" i="2"/>
  <c r="BD772" i="2"/>
  <c r="BD773" i="2"/>
  <c r="BD774" i="2"/>
  <c r="BD775" i="2"/>
  <c r="BD776" i="2"/>
  <c r="BD777" i="2"/>
  <c r="BD778" i="2"/>
  <c r="BD779" i="2"/>
  <c r="BD780" i="2"/>
  <c r="BD781" i="2"/>
  <c r="BD782" i="2"/>
  <c r="BD783" i="2"/>
  <c r="BD784" i="2"/>
  <c r="BD785" i="2"/>
  <c r="BD786" i="2"/>
  <c r="BD787" i="2"/>
  <c r="BD788" i="2"/>
  <c r="BD789" i="2"/>
  <c r="BD790" i="2"/>
  <c r="BD791" i="2"/>
  <c r="BD792" i="2"/>
  <c r="BD793" i="2"/>
  <c r="BD794" i="2"/>
  <c r="BD795" i="2"/>
  <c r="BD796" i="2"/>
  <c r="BD797" i="2"/>
  <c r="BD798" i="2"/>
  <c r="BD799" i="2"/>
  <c r="BD800" i="2"/>
  <c r="BD801" i="2"/>
  <c r="BD802" i="2"/>
  <c r="BD803" i="2"/>
  <c r="BD804" i="2"/>
  <c r="BD805" i="2"/>
  <c r="BD806" i="2"/>
  <c r="BD807" i="2"/>
  <c r="BD808" i="2"/>
  <c r="BD809" i="2"/>
  <c r="BD810" i="2"/>
  <c r="BD811" i="2"/>
  <c r="BD812" i="2"/>
  <c r="BD813" i="2"/>
  <c r="BD814" i="2"/>
  <c r="BD815" i="2"/>
  <c r="BD816" i="2"/>
  <c r="BD817" i="2"/>
  <c r="BD818" i="2"/>
  <c r="BD819" i="2"/>
  <c r="BD820" i="2"/>
  <c r="BD821" i="2"/>
  <c r="BD822" i="2"/>
  <c r="BD823" i="2"/>
  <c r="BD824" i="2"/>
  <c r="BD825" i="2"/>
  <c r="BD826" i="2"/>
  <c r="BD827" i="2"/>
  <c r="BD828" i="2"/>
  <c r="BD829" i="2"/>
  <c r="BD830" i="2"/>
  <c r="BD831" i="2"/>
  <c r="BD832" i="2"/>
  <c r="BD833" i="2"/>
  <c r="BD834" i="2"/>
  <c r="BD835" i="2"/>
  <c r="BD836" i="2"/>
  <c r="BD837" i="2"/>
  <c r="BD838" i="2"/>
  <c r="BD839" i="2"/>
  <c r="BD840" i="2"/>
  <c r="BD841" i="2"/>
  <c r="BD842" i="2"/>
  <c r="BD843" i="2"/>
  <c r="BD844" i="2"/>
  <c r="BD845" i="2"/>
  <c r="BD846" i="2"/>
  <c r="BD847" i="2"/>
  <c r="BD848" i="2"/>
  <c r="BD849" i="2"/>
  <c r="BD850" i="2"/>
  <c r="BD851" i="2"/>
  <c r="BD852" i="2"/>
  <c r="BD853" i="2"/>
  <c r="BD854" i="2"/>
  <c r="BD855" i="2"/>
  <c r="BD856" i="2"/>
  <c r="BD857" i="2"/>
  <c r="BD858" i="2"/>
  <c r="BD859" i="2"/>
  <c r="BD860" i="2"/>
  <c r="BD861" i="2"/>
  <c r="BD862" i="2"/>
  <c r="BD863" i="2"/>
  <c r="BD864" i="2"/>
  <c r="BD865" i="2"/>
  <c r="BD866" i="2"/>
  <c r="BD867" i="2"/>
  <c r="BD868" i="2"/>
  <c r="BD869" i="2"/>
  <c r="BD870" i="2"/>
  <c r="BD871" i="2"/>
  <c r="BD872" i="2"/>
  <c r="BD873" i="2"/>
  <c r="BD874" i="2"/>
  <c r="BD875" i="2"/>
  <c r="BD876" i="2"/>
  <c r="BD877" i="2"/>
  <c r="BD878" i="2"/>
  <c r="BD879" i="2"/>
  <c r="BD880" i="2"/>
  <c r="BD881" i="2"/>
  <c r="BD882" i="2"/>
  <c r="BD883" i="2"/>
  <c r="BD884" i="2"/>
  <c r="BD885" i="2"/>
  <c r="BD886" i="2"/>
  <c r="BD887" i="2"/>
  <c r="BD888" i="2"/>
  <c r="BD889" i="2"/>
  <c r="BD890" i="2"/>
  <c r="BD891" i="2"/>
  <c r="BD892" i="2"/>
  <c r="BD893" i="2"/>
  <c r="BD894" i="2"/>
  <c r="BD895" i="2"/>
  <c r="BD896" i="2"/>
  <c r="BD897" i="2"/>
  <c r="BD898" i="2"/>
  <c r="BD899" i="2"/>
  <c r="BD900" i="2"/>
  <c r="BD901" i="2"/>
  <c r="BD902" i="2"/>
  <c r="BD903" i="2"/>
  <c r="BD904" i="2"/>
  <c r="BD905" i="2"/>
  <c r="BD906" i="2"/>
  <c r="BD907" i="2"/>
  <c r="BD908" i="2"/>
  <c r="BD909" i="2"/>
  <c r="BD910" i="2"/>
  <c r="BD911" i="2"/>
  <c r="BD912" i="2"/>
  <c r="BD913" i="2"/>
  <c r="BD914" i="2"/>
  <c r="BD915" i="2"/>
  <c r="BD916" i="2"/>
  <c r="BD917" i="2"/>
  <c r="BD918" i="2"/>
  <c r="BD919" i="2"/>
  <c r="BD920" i="2"/>
  <c r="BD921" i="2"/>
  <c r="BD922" i="2"/>
  <c r="BD923" i="2"/>
  <c r="BD924" i="2"/>
  <c r="BD925" i="2"/>
  <c r="BD926" i="2"/>
  <c r="BD927" i="2"/>
  <c r="BD928" i="2"/>
  <c r="BD929" i="2"/>
  <c r="BD930" i="2"/>
  <c r="BD931" i="2"/>
  <c r="BD932" i="2"/>
  <c r="BD933" i="2"/>
  <c r="BD934" i="2"/>
  <c r="BD935" i="2"/>
  <c r="BD936" i="2"/>
  <c r="BD937" i="2"/>
  <c r="BD938" i="2"/>
  <c r="BD939" i="2"/>
  <c r="BD940" i="2"/>
  <c r="BD941" i="2"/>
  <c r="BD942" i="2"/>
  <c r="BD943" i="2"/>
  <c r="BD944" i="2"/>
  <c r="BD945" i="2"/>
  <c r="BD946" i="2"/>
  <c r="BD947" i="2"/>
  <c r="BD948" i="2"/>
  <c r="BD949" i="2"/>
  <c r="BD950" i="2"/>
  <c r="BD951" i="2"/>
  <c r="BD952" i="2"/>
  <c r="BD953" i="2"/>
  <c r="BD954" i="2"/>
  <c r="BD955" i="2"/>
  <c r="BD956" i="2"/>
  <c r="BD957" i="2"/>
  <c r="BD958" i="2"/>
  <c r="BD959" i="2"/>
  <c r="BD960" i="2"/>
  <c r="BD961" i="2"/>
  <c r="BD962" i="2"/>
  <c r="BD963" i="2"/>
  <c r="BD964" i="2"/>
  <c r="BD965" i="2"/>
  <c r="BD966" i="2"/>
  <c r="BD967" i="2"/>
  <c r="BD968" i="2"/>
  <c r="BD969" i="2"/>
  <c r="BD970" i="2"/>
  <c r="BD971" i="2"/>
  <c r="BD972" i="2"/>
  <c r="BD973" i="2"/>
  <c r="BD974" i="2"/>
  <c r="BD975" i="2"/>
  <c r="BD976" i="2"/>
  <c r="BD977" i="2"/>
  <c r="BD978" i="2"/>
  <c r="BD979" i="2"/>
  <c r="BD980" i="2"/>
  <c r="BD981" i="2"/>
  <c r="BD982" i="2"/>
  <c r="BD983" i="2"/>
  <c r="BD984" i="2"/>
  <c r="BD985" i="2"/>
  <c r="BD986" i="2"/>
  <c r="BD987" i="2"/>
  <c r="BD988" i="2"/>
  <c r="BD989" i="2"/>
  <c r="BD990" i="2"/>
  <c r="BD991" i="2"/>
  <c r="BD992" i="2"/>
  <c r="BD993" i="2"/>
  <c r="BD994" i="2"/>
  <c r="BD995" i="2"/>
  <c r="BD996" i="2"/>
  <c r="BD997" i="2"/>
  <c r="BD998" i="2"/>
  <c r="BD999" i="2"/>
  <c r="BD1000" i="2"/>
  <c r="BD1001" i="2"/>
  <c r="BD1002" i="2"/>
  <c r="BC3" i="2"/>
  <c r="BC4" i="2"/>
  <c r="BC5" i="2"/>
  <c r="BC6" i="2"/>
  <c r="BC7" i="2"/>
  <c r="BC8" i="2"/>
  <c r="BC9" i="2"/>
  <c r="BC10" i="2"/>
  <c r="BC11" i="2"/>
  <c r="BC12" i="2"/>
  <c r="BC13" i="2"/>
  <c r="BC14" i="2"/>
  <c r="BC15" i="2"/>
  <c r="BC16" i="2"/>
  <c r="BC17" i="2"/>
  <c r="BC18" i="2"/>
  <c r="BC19" i="2"/>
  <c r="BC20" i="2"/>
  <c r="BC21" i="2"/>
  <c r="BC22" i="2"/>
  <c r="BC23" i="2"/>
  <c r="BC24" i="2"/>
  <c r="BC25" i="2"/>
  <c r="BC26" i="2"/>
  <c r="BC27" i="2"/>
  <c r="BC28" i="2"/>
  <c r="BC29" i="2"/>
  <c r="BC30" i="2"/>
  <c r="BC31" i="2"/>
  <c r="BC32" i="2"/>
  <c r="BC33" i="2"/>
  <c r="BC34" i="2"/>
  <c r="BC35" i="2"/>
  <c r="BC36" i="2"/>
  <c r="BC37" i="2"/>
  <c r="BC38" i="2"/>
  <c r="BC39" i="2"/>
  <c r="BC40" i="2"/>
  <c r="BC41" i="2"/>
  <c r="BC42" i="2"/>
  <c r="BC43" i="2"/>
  <c r="BC44" i="2"/>
  <c r="BC45" i="2"/>
  <c r="BC46" i="2"/>
  <c r="BC47" i="2"/>
  <c r="BC48" i="2"/>
  <c r="BC49" i="2"/>
  <c r="BC50" i="2"/>
  <c r="BC51" i="2"/>
  <c r="BC52" i="2"/>
  <c r="BC53" i="2"/>
  <c r="BC54" i="2"/>
  <c r="BC55" i="2"/>
  <c r="BC56" i="2"/>
  <c r="BC57" i="2"/>
  <c r="BC58" i="2"/>
  <c r="BC59" i="2"/>
  <c r="BC60" i="2"/>
  <c r="BC61" i="2"/>
  <c r="BC62" i="2"/>
  <c r="BC63" i="2"/>
  <c r="BC64" i="2"/>
  <c r="BC65" i="2"/>
  <c r="BC66" i="2"/>
  <c r="BC67" i="2"/>
  <c r="BC68" i="2"/>
  <c r="BC69" i="2"/>
  <c r="BC70" i="2"/>
  <c r="BC71" i="2"/>
  <c r="BC72" i="2"/>
  <c r="BC73" i="2"/>
  <c r="BC74" i="2"/>
  <c r="BC75" i="2"/>
  <c r="BC76" i="2"/>
  <c r="BC77" i="2"/>
  <c r="BC78" i="2"/>
  <c r="BC79" i="2"/>
  <c r="BC80" i="2"/>
  <c r="BC81" i="2"/>
  <c r="BC82" i="2"/>
  <c r="BC83" i="2"/>
  <c r="BC84" i="2"/>
  <c r="BC85" i="2"/>
  <c r="BC86" i="2"/>
  <c r="BC87" i="2"/>
  <c r="BC88" i="2"/>
  <c r="BC89" i="2"/>
  <c r="BC90" i="2"/>
  <c r="BC91" i="2"/>
  <c r="BC92" i="2"/>
  <c r="BC93" i="2"/>
  <c r="BC94" i="2"/>
  <c r="BC95" i="2"/>
  <c r="BC96" i="2"/>
  <c r="BC97" i="2"/>
  <c r="BC98" i="2"/>
  <c r="BC99" i="2"/>
  <c r="BC100" i="2"/>
  <c r="BC101" i="2"/>
  <c r="BC102" i="2"/>
  <c r="BC103" i="2"/>
  <c r="BC104" i="2"/>
  <c r="BC105" i="2"/>
  <c r="BC106" i="2"/>
  <c r="BC107" i="2"/>
  <c r="BC108" i="2"/>
  <c r="BC109" i="2"/>
  <c r="BC110" i="2"/>
  <c r="BC111" i="2"/>
  <c r="BC112" i="2"/>
  <c r="BC113" i="2"/>
  <c r="BC114" i="2"/>
  <c r="BC115" i="2"/>
  <c r="BC116" i="2"/>
  <c r="BC117" i="2"/>
  <c r="BC118" i="2"/>
  <c r="BC119" i="2"/>
  <c r="BC120" i="2"/>
  <c r="BC121" i="2"/>
  <c r="BC122" i="2"/>
  <c r="BC123" i="2"/>
  <c r="BC124" i="2"/>
  <c r="BC125" i="2"/>
  <c r="BC126" i="2"/>
  <c r="BC127" i="2"/>
  <c r="BC128" i="2"/>
  <c r="BC129" i="2"/>
  <c r="BC130" i="2"/>
  <c r="BC131" i="2"/>
  <c r="BC132" i="2"/>
  <c r="BC133" i="2"/>
  <c r="BC134" i="2"/>
  <c r="BC135" i="2"/>
  <c r="BC136" i="2"/>
  <c r="BC137" i="2"/>
  <c r="BC138" i="2"/>
  <c r="BC139" i="2"/>
  <c r="BC140" i="2"/>
  <c r="BC141" i="2"/>
  <c r="BC142" i="2"/>
  <c r="BC143" i="2"/>
  <c r="BC144" i="2"/>
  <c r="BC145" i="2"/>
  <c r="BC146" i="2"/>
  <c r="BC147" i="2"/>
  <c r="BC148" i="2"/>
  <c r="BC149" i="2"/>
  <c r="BC150" i="2"/>
  <c r="BC151" i="2"/>
  <c r="BC152" i="2"/>
  <c r="BC153" i="2"/>
  <c r="BC154" i="2"/>
  <c r="BC155" i="2"/>
  <c r="BC156" i="2"/>
  <c r="BC157" i="2"/>
  <c r="BC158" i="2"/>
  <c r="BC159" i="2"/>
  <c r="BC160" i="2"/>
  <c r="BC161" i="2"/>
  <c r="BC162" i="2"/>
  <c r="BC163" i="2"/>
  <c r="BC164" i="2"/>
  <c r="BC165" i="2"/>
  <c r="BC166" i="2"/>
  <c r="BC167" i="2"/>
  <c r="BC168" i="2"/>
  <c r="BC169" i="2"/>
  <c r="BC170" i="2"/>
  <c r="BC171" i="2"/>
  <c r="BC172" i="2"/>
  <c r="BC173" i="2"/>
  <c r="BC174" i="2"/>
  <c r="BC175" i="2"/>
  <c r="BC176" i="2"/>
  <c r="BC177" i="2"/>
  <c r="BC178" i="2"/>
  <c r="BC179" i="2"/>
  <c r="BC180" i="2"/>
  <c r="BC181" i="2"/>
  <c r="BC182" i="2"/>
  <c r="BC183" i="2"/>
  <c r="BC184" i="2"/>
  <c r="BC185" i="2"/>
  <c r="BC186" i="2"/>
  <c r="BC187" i="2"/>
  <c r="BC188" i="2"/>
  <c r="BC189" i="2"/>
  <c r="BC190" i="2"/>
  <c r="BC191" i="2"/>
  <c r="BC192" i="2"/>
  <c r="BC193" i="2"/>
  <c r="BC194" i="2"/>
  <c r="BC195" i="2"/>
  <c r="BC196" i="2"/>
  <c r="BC197" i="2"/>
  <c r="BC198" i="2"/>
  <c r="BC199" i="2"/>
  <c r="BC200" i="2"/>
  <c r="BC201" i="2"/>
  <c r="BC202" i="2"/>
  <c r="BC203" i="2"/>
  <c r="BC204" i="2"/>
  <c r="BC205" i="2"/>
  <c r="BC206" i="2"/>
  <c r="BC207" i="2"/>
  <c r="BC208" i="2"/>
  <c r="BC209" i="2"/>
  <c r="BC210" i="2"/>
  <c r="BC211" i="2"/>
  <c r="BC212" i="2"/>
  <c r="BC213" i="2"/>
  <c r="BC214" i="2"/>
  <c r="BC215" i="2"/>
  <c r="BC216" i="2"/>
  <c r="BC217" i="2"/>
  <c r="BC218" i="2"/>
  <c r="BC219" i="2"/>
  <c r="BC220" i="2"/>
  <c r="BC221" i="2"/>
  <c r="BC222" i="2"/>
  <c r="BC223" i="2"/>
  <c r="BC224" i="2"/>
  <c r="BC225" i="2"/>
  <c r="BC226" i="2"/>
  <c r="BC227" i="2"/>
  <c r="BC228" i="2"/>
  <c r="BC229" i="2"/>
  <c r="BC230" i="2"/>
  <c r="BC231" i="2"/>
  <c r="BC232" i="2"/>
  <c r="BC233" i="2"/>
  <c r="BC234" i="2"/>
  <c r="BC235" i="2"/>
  <c r="BC236" i="2"/>
  <c r="BC237" i="2"/>
  <c r="BC238" i="2"/>
  <c r="BC239" i="2"/>
  <c r="BC240" i="2"/>
  <c r="BC241" i="2"/>
  <c r="BC242" i="2"/>
  <c r="BC243" i="2"/>
  <c r="BC244" i="2"/>
  <c r="BC245" i="2"/>
  <c r="BC246" i="2"/>
  <c r="BC247" i="2"/>
  <c r="BC248" i="2"/>
  <c r="BC249" i="2"/>
  <c r="BC250" i="2"/>
  <c r="BC251" i="2"/>
  <c r="BC252" i="2"/>
  <c r="BC253" i="2"/>
  <c r="BC254" i="2"/>
  <c r="BC255" i="2"/>
  <c r="BC256" i="2"/>
  <c r="BC257" i="2"/>
  <c r="BC258" i="2"/>
  <c r="BC259" i="2"/>
  <c r="BC260" i="2"/>
  <c r="BC261" i="2"/>
  <c r="BC262" i="2"/>
  <c r="BC263" i="2"/>
  <c r="BC264" i="2"/>
  <c r="BC265" i="2"/>
  <c r="BC266" i="2"/>
  <c r="BC267" i="2"/>
  <c r="BC268" i="2"/>
  <c r="BC269" i="2"/>
  <c r="BC270" i="2"/>
  <c r="BC271" i="2"/>
  <c r="BC272" i="2"/>
  <c r="BC273" i="2"/>
  <c r="BC274" i="2"/>
  <c r="BC275" i="2"/>
  <c r="BC276" i="2"/>
  <c r="BC277" i="2"/>
  <c r="BC278" i="2"/>
  <c r="BC279" i="2"/>
  <c r="BC280" i="2"/>
  <c r="BC281" i="2"/>
  <c r="BC282" i="2"/>
  <c r="BC283" i="2"/>
  <c r="BC284" i="2"/>
  <c r="BC285" i="2"/>
  <c r="BC286" i="2"/>
  <c r="BC287" i="2"/>
  <c r="BC288" i="2"/>
  <c r="BC289" i="2"/>
  <c r="BC290" i="2"/>
  <c r="BC291" i="2"/>
  <c r="BC292" i="2"/>
  <c r="BC293" i="2"/>
  <c r="BC294" i="2"/>
  <c r="BC295" i="2"/>
  <c r="BC296" i="2"/>
  <c r="BC297" i="2"/>
  <c r="BC298" i="2"/>
  <c r="BC299" i="2"/>
  <c r="BC300" i="2"/>
  <c r="BC301" i="2"/>
  <c r="BC302" i="2"/>
  <c r="BC303" i="2"/>
  <c r="BC304" i="2"/>
  <c r="BC305" i="2"/>
  <c r="BC306" i="2"/>
  <c r="BC307" i="2"/>
  <c r="BC308" i="2"/>
  <c r="BC309" i="2"/>
  <c r="BC310" i="2"/>
  <c r="BC311" i="2"/>
  <c r="BC312" i="2"/>
  <c r="BC313" i="2"/>
  <c r="BC314" i="2"/>
  <c r="BC315" i="2"/>
  <c r="BC316" i="2"/>
  <c r="BC317" i="2"/>
  <c r="BC318" i="2"/>
  <c r="BC319" i="2"/>
  <c r="BC320" i="2"/>
  <c r="BC321" i="2"/>
  <c r="BC322" i="2"/>
  <c r="BC323" i="2"/>
  <c r="BC324" i="2"/>
  <c r="BC325" i="2"/>
  <c r="BC326" i="2"/>
  <c r="BC327" i="2"/>
  <c r="BC328" i="2"/>
  <c r="BC329" i="2"/>
  <c r="BC330" i="2"/>
  <c r="BC331" i="2"/>
  <c r="BC332" i="2"/>
  <c r="BC333" i="2"/>
  <c r="BC334" i="2"/>
  <c r="BC335" i="2"/>
  <c r="BC336" i="2"/>
  <c r="BC337" i="2"/>
  <c r="BC338" i="2"/>
  <c r="BC339" i="2"/>
  <c r="BC340" i="2"/>
  <c r="BC341" i="2"/>
  <c r="BC342" i="2"/>
  <c r="BC343" i="2"/>
  <c r="BC344" i="2"/>
  <c r="BC345" i="2"/>
  <c r="BC346" i="2"/>
  <c r="BC347" i="2"/>
  <c r="BC348" i="2"/>
  <c r="BC349" i="2"/>
  <c r="BC350" i="2"/>
  <c r="BC351" i="2"/>
  <c r="BC352" i="2"/>
  <c r="BC353" i="2"/>
  <c r="BC354" i="2"/>
  <c r="BC355" i="2"/>
  <c r="BC356" i="2"/>
  <c r="BC357" i="2"/>
  <c r="BC358" i="2"/>
  <c r="BC359" i="2"/>
  <c r="BC360" i="2"/>
  <c r="BC361" i="2"/>
  <c r="BC362" i="2"/>
  <c r="BC363" i="2"/>
  <c r="BC364" i="2"/>
  <c r="BC365" i="2"/>
  <c r="BC366" i="2"/>
  <c r="BC367" i="2"/>
  <c r="BC368" i="2"/>
  <c r="BC369" i="2"/>
  <c r="BC370" i="2"/>
  <c r="BC371" i="2"/>
  <c r="BC372" i="2"/>
  <c r="BC373" i="2"/>
  <c r="BC374" i="2"/>
  <c r="BC375" i="2"/>
  <c r="BC376" i="2"/>
  <c r="BC377" i="2"/>
  <c r="BC378" i="2"/>
  <c r="BC379" i="2"/>
  <c r="BC380" i="2"/>
  <c r="BC381" i="2"/>
  <c r="BC382" i="2"/>
  <c r="BC383" i="2"/>
  <c r="BC384" i="2"/>
  <c r="BC385" i="2"/>
  <c r="BC386" i="2"/>
  <c r="BC387" i="2"/>
  <c r="BC388" i="2"/>
  <c r="BC389" i="2"/>
  <c r="BC390" i="2"/>
  <c r="BC391" i="2"/>
  <c r="BC392" i="2"/>
  <c r="BC393" i="2"/>
  <c r="BC394" i="2"/>
  <c r="BC395" i="2"/>
  <c r="BC396" i="2"/>
  <c r="BC397" i="2"/>
  <c r="BC398" i="2"/>
  <c r="BC399" i="2"/>
  <c r="BC400" i="2"/>
  <c r="BC401" i="2"/>
  <c r="BC402" i="2"/>
  <c r="BC403" i="2"/>
  <c r="BC404" i="2"/>
  <c r="BC405" i="2"/>
  <c r="BC406" i="2"/>
  <c r="BC407" i="2"/>
  <c r="BC408" i="2"/>
  <c r="BC409" i="2"/>
  <c r="BC410" i="2"/>
  <c r="BC411" i="2"/>
  <c r="BC412" i="2"/>
  <c r="BC413" i="2"/>
  <c r="BC414" i="2"/>
  <c r="BC415" i="2"/>
  <c r="BC416" i="2"/>
  <c r="BC417" i="2"/>
  <c r="BC418" i="2"/>
  <c r="BC419" i="2"/>
  <c r="BC420" i="2"/>
  <c r="BC421" i="2"/>
  <c r="BC422" i="2"/>
  <c r="BC423" i="2"/>
  <c r="BC424" i="2"/>
  <c r="BC425" i="2"/>
  <c r="BC426" i="2"/>
  <c r="BC427" i="2"/>
  <c r="BC428" i="2"/>
  <c r="BC429" i="2"/>
  <c r="BC430" i="2"/>
  <c r="BC431" i="2"/>
  <c r="BC432" i="2"/>
  <c r="BC433" i="2"/>
  <c r="BC434" i="2"/>
  <c r="BC435" i="2"/>
  <c r="BC436" i="2"/>
  <c r="BC437" i="2"/>
  <c r="BC438" i="2"/>
  <c r="BC439" i="2"/>
  <c r="BC440" i="2"/>
  <c r="BC441" i="2"/>
  <c r="BC442" i="2"/>
  <c r="BC443" i="2"/>
  <c r="BC444" i="2"/>
  <c r="BC445" i="2"/>
  <c r="BC446" i="2"/>
  <c r="BC447" i="2"/>
  <c r="BC448" i="2"/>
  <c r="BC449" i="2"/>
  <c r="BC450" i="2"/>
  <c r="BC451" i="2"/>
  <c r="BC452" i="2"/>
  <c r="BC453" i="2"/>
  <c r="BC454" i="2"/>
  <c r="BC455" i="2"/>
  <c r="BC456" i="2"/>
  <c r="BC457" i="2"/>
  <c r="BC458" i="2"/>
  <c r="BC459" i="2"/>
  <c r="BC460" i="2"/>
  <c r="BC461" i="2"/>
  <c r="BC462" i="2"/>
  <c r="BC463" i="2"/>
  <c r="BC464" i="2"/>
  <c r="BC465" i="2"/>
  <c r="BC466" i="2"/>
  <c r="BC467" i="2"/>
  <c r="BC468" i="2"/>
  <c r="BC469" i="2"/>
  <c r="BC470" i="2"/>
  <c r="BC471" i="2"/>
  <c r="BC472" i="2"/>
  <c r="BC473" i="2"/>
  <c r="BC474" i="2"/>
  <c r="BC475" i="2"/>
  <c r="BC476" i="2"/>
  <c r="BC477" i="2"/>
  <c r="BC478" i="2"/>
  <c r="BC479" i="2"/>
  <c r="BC480" i="2"/>
  <c r="BC481" i="2"/>
  <c r="BC482" i="2"/>
  <c r="BC483" i="2"/>
  <c r="BC484" i="2"/>
  <c r="BC485" i="2"/>
  <c r="BC486" i="2"/>
  <c r="BC487" i="2"/>
  <c r="BC488" i="2"/>
  <c r="BC489" i="2"/>
  <c r="BC490" i="2"/>
  <c r="BC491" i="2"/>
  <c r="BC492" i="2"/>
  <c r="BC493" i="2"/>
  <c r="BC494" i="2"/>
  <c r="BC495" i="2"/>
  <c r="BC496" i="2"/>
  <c r="BC497" i="2"/>
  <c r="BC498" i="2"/>
  <c r="BC499" i="2"/>
  <c r="BC500" i="2"/>
  <c r="BC501" i="2"/>
  <c r="BC502" i="2"/>
  <c r="BC503" i="2"/>
  <c r="BC504" i="2"/>
  <c r="BC505" i="2"/>
  <c r="BC506" i="2"/>
  <c r="BC507" i="2"/>
  <c r="BC508" i="2"/>
  <c r="BC509" i="2"/>
  <c r="BC510" i="2"/>
  <c r="BC511" i="2"/>
  <c r="BC512" i="2"/>
  <c r="BC513" i="2"/>
  <c r="BC514" i="2"/>
  <c r="BC515" i="2"/>
  <c r="BC516" i="2"/>
  <c r="BC517" i="2"/>
  <c r="BC518" i="2"/>
  <c r="BC519" i="2"/>
  <c r="BC520" i="2"/>
  <c r="BC521" i="2"/>
  <c r="BC522" i="2"/>
  <c r="BC523" i="2"/>
  <c r="BC524" i="2"/>
  <c r="BC525" i="2"/>
  <c r="BC526" i="2"/>
  <c r="BC527" i="2"/>
  <c r="BC528" i="2"/>
  <c r="BC529" i="2"/>
  <c r="BC530" i="2"/>
  <c r="BC531" i="2"/>
  <c r="BC532" i="2"/>
  <c r="BC533" i="2"/>
  <c r="BC534" i="2"/>
  <c r="BC535" i="2"/>
  <c r="BC536" i="2"/>
  <c r="BC537" i="2"/>
  <c r="BC538" i="2"/>
  <c r="BC539" i="2"/>
  <c r="BC540" i="2"/>
  <c r="BC541" i="2"/>
  <c r="BC542" i="2"/>
  <c r="BC543" i="2"/>
  <c r="BC544" i="2"/>
  <c r="BC545" i="2"/>
  <c r="BC546" i="2"/>
  <c r="BC547" i="2"/>
  <c r="BC548" i="2"/>
  <c r="BC549" i="2"/>
  <c r="BC550" i="2"/>
  <c r="BC551" i="2"/>
  <c r="BC552" i="2"/>
  <c r="BC553" i="2"/>
  <c r="BC554" i="2"/>
  <c r="BC555" i="2"/>
  <c r="BC556" i="2"/>
  <c r="BC557" i="2"/>
  <c r="BC558" i="2"/>
  <c r="BC559" i="2"/>
  <c r="BC560" i="2"/>
  <c r="BC561" i="2"/>
  <c r="BC562" i="2"/>
  <c r="BC563" i="2"/>
  <c r="BC564" i="2"/>
  <c r="BC565" i="2"/>
  <c r="BC566" i="2"/>
  <c r="BC567" i="2"/>
  <c r="BC568" i="2"/>
  <c r="BC569" i="2"/>
  <c r="BC570" i="2"/>
  <c r="BC571" i="2"/>
  <c r="BC572" i="2"/>
  <c r="BC573" i="2"/>
  <c r="BC574" i="2"/>
  <c r="BC575" i="2"/>
  <c r="BC576" i="2"/>
  <c r="BC577" i="2"/>
  <c r="BC578" i="2"/>
  <c r="BC579" i="2"/>
  <c r="BC580" i="2"/>
  <c r="BC581" i="2"/>
  <c r="BC582" i="2"/>
  <c r="BC583" i="2"/>
  <c r="BC584" i="2"/>
  <c r="BC585" i="2"/>
  <c r="BC586" i="2"/>
  <c r="BC587" i="2"/>
  <c r="BC588" i="2"/>
  <c r="BC589" i="2"/>
  <c r="BC590" i="2"/>
  <c r="BC591" i="2"/>
  <c r="BC592" i="2"/>
  <c r="BC593" i="2"/>
  <c r="BC594" i="2"/>
  <c r="BC595" i="2"/>
  <c r="BC596" i="2"/>
  <c r="BC597" i="2"/>
  <c r="BC598" i="2"/>
  <c r="BC599" i="2"/>
  <c r="BC600" i="2"/>
  <c r="BC601" i="2"/>
  <c r="BC602" i="2"/>
  <c r="BC603" i="2"/>
  <c r="BC604" i="2"/>
  <c r="BC605" i="2"/>
  <c r="BC606" i="2"/>
  <c r="BC607" i="2"/>
  <c r="BC608" i="2"/>
  <c r="BC609" i="2"/>
  <c r="BC610" i="2"/>
  <c r="BC611" i="2"/>
  <c r="BC612" i="2"/>
  <c r="BC613" i="2"/>
  <c r="BC614" i="2"/>
  <c r="BC615" i="2"/>
  <c r="BC616" i="2"/>
  <c r="BC617" i="2"/>
  <c r="BC618" i="2"/>
  <c r="BC619" i="2"/>
  <c r="BC620" i="2"/>
  <c r="BC621" i="2"/>
  <c r="BC622" i="2"/>
  <c r="BC623" i="2"/>
  <c r="BC624" i="2"/>
  <c r="BC625" i="2"/>
  <c r="BC626" i="2"/>
  <c r="BC627" i="2"/>
  <c r="BC628" i="2"/>
  <c r="BC629" i="2"/>
  <c r="BC630" i="2"/>
  <c r="BC631" i="2"/>
  <c r="BC632" i="2"/>
  <c r="BC633" i="2"/>
  <c r="BC634" i="2"/>
  <c r="BC635" i="2"/>
  <c r="BC636" i="2"/>
  <c r="BC637" i="2"/>
  <c r="BC638" i="2"/>
  <c r="BC639" i="2"/>
  <c r="BC640" i="2"/>
  <c r="BC641" i="2"/>
  <c r="BC642" i="2"/>
  <c r="BC643" i="2"/>
  <c r="BC644" i="2"/>
  <c r="BC645" i="2"/>
  <c r="BC646" i="2"/>
  <c r="BC647" i="2"/>
  <c r="BC648" i="2"/>
  <c r="BC649" i="2"/>
  <c r="BC650" i="2"/>
  <c r="BC651" i="2"/>
  <c r="BC652" i="2"/>
  <c r="BC653" i="2"/>
  <c r="BC654" i="2"/>
  <c r="BC655" i="2"/>
  <c r="BC656" i="2"/>
  <c r="BC657" i="2"/>
  <c r="BC658" i="2"/>
  <c r="BC659" i="2"/>
  <c r="BC660" i="2"/>
  <c r="BC661" i="2"/>
  <c r="BC662" i="2"/>
  <c r="BC663" i="2"/>
  <c r="BC664" i="2"/>
  <c r="BC665" i="2"/>
  <c r="BC666" i="2"/>
  <c r="BC667" i="2"/>
  <c r="BC668" i="2"/>
  <c r="BC669" i="2"/>
  <c r="BC670" i="2"/>
  <c r="BC671" i="2"/>
  <c r="BC672" i="2"/>
  <c r="BC673" i="2"/>
  <c r="BC674" i="2"/>
  <c r="BC675" i="2"/>
  <c r="BC676" i="2"/>
  <c r="BC677" i="2"/>
  <c r="BC678" i="2"/>
  <c r="BC679" i="2"/>
  <c r="BC680" i="2"/>
  <c r="BC681" i="2"/>
  <c r="BC682" i="2"/>
  <c r="BC683" i="2"/>
  <c r="BC684" i="2"/>
  <c r="BC685" i="2"/>
  <c r="BC686" i="2"/>
  <c r="BC687" i="2"/>
  <c r="BC688" i="2"/>
  <c r="BC689" i="2"/>
  <c r="BC690" i="2"/>
  <c r="BC691" i="2"/>
  <c r="BC692" i="2"/>
  <c r="BC693" i="2"/>
  <c r="BC694" i="2"/>
  <c r="BC695" i="2"/>
  <c r="BC696" i="2"/>
  <c r="BC697" i="2"/>
  <c r="BC698" i="2"/>
  <c r="BC699" i="2"/>
  <c r="BC700" i="2"/>
  <c r="BC701" i="2"/>
  <c r="BC702" i="2"/>
  <c r="BC703" i="2"/>
  <c r="BC704" i="2"/>
  <c r="BC705" i="2"/>
  <c r="BC706" i="2"/>
  <c r="BC707" i="2"/>
  <c r="BC708" i="2"/>
  <c r="BC709" i="2"/>
  <c r="BC710" i="2"/>
  <c r="BC711" i="2"/>
  <c r="BC712" i="2"/>
  <c r="BC713" i="2"/>
  <c r="BC714" i="2"/>
  <c r="BC715" i="2"/>
  <c r="BC716" i="2"/>
  <c r="BC717" i="2"/>
  <c r="BC718" i="2"/>
  <c r="BC719" i="2"/>
  <c r="BC720" i="2"/>
  <c r="BC721" i="2"/>
  <c r="BC722" i="2"/>
  <c r="BC723" i="2"/>
  <c r="BC724" i="2"/>
  <c r="BC725" i="2"/>
  <c r="BC726" i="2"/>
  <c r="BC727" i="2"/>
  <c r="BC728" i="2"/>
  <c r="BC729" i="2"/>
  <c r="BC730" i="2"/>
  <c r="BC731" i="2"/>
  <c r="BC732" i="2"/>
  <c r="BC733" i="2"/>
  <c r="BC734" i="2"/>
  <c r="BC735" i="2"/>
  <c r="BC736" i="2"/>
  <c r="BC737" i="2"/>
  <c r="BC738" i="2"/>
  <c r="BC739" i="2"/>
  <c r="BC740" i="2"/>
  <c r="BC741" i="2"/>
  <c r="BC742" i="2"/>
  <c r="BC743" i="2"/>
  <c r="BC744" i="2"/>
  <c r="BC745" i="2"/>
  <c r="BC746" i="2"/>
  <c r="BC747" i="2"/>
  <c r="BC748" i="2"/>
  <c r="BC749" i="2"/>
  <c r="BC750" i="2"/>
  <c r="BC751" i="2"/>
  <c r="BC752" i="2"/>
  <c r="BC753" i="2"/>
  <c r="BC754" i="2"/>
  <c r="BC755" i="2"/>
  <c r="BC756" i="2"/>
  <c r="BC757" i="2"/>
  <c r="BC758" i="2"/>
  <c r="BC759" i="2"/>
  <c r="BC760" i="2"/>
  <c r="BC761" i="2"/>
  <c r="BC762" i="2"/>
  <c r="BC763" i="2"/>
  <c r="BC764" i="2"/>
  <c r="BC765" i="2"/>
  <c r="BC766" i="2"/>
  <c r="BC767" i="2"/>
  <c r="BC768" i="2"/>
  <c r="BC769" i="2"/>
  <c r="BC770" i="2"/>
  <c r="BC771" i="2"/>
  <c r="BC772" i="2"/>
  <c r="BC773" i="2"/>
  <c r="BC774" i="2"/>
  <c r="BC775" i="2"/>
  <c r="BC776" i="2"/>
  <c r="BC777" i="2"/>
  <c r="BC778" i="2"/>
  <c r="BC779" i="2"/>
  <c r="BC780" i="2"/>
  <c r="BC781" i="2"/>
  <c r="BC782" i="2"/>
  <c r="BC783" i="2"/>
  <c r="BC784" i="2"/>
  <c r="BC785" i="2"/>
  <c r="BC786" i="2"/>
  <c r="BC787" i="2"/>
  <c r="BC788" i="2"/>
  <c r="BC789" i="2"/>
  <c r="BC790" i="2"/>
  <c r="BC791" i="2"/>
  <c r="BC792" i="2"/>
  <c r="BC793" i="2"/>
  <c r="BC794" i="2"/>
  <c r="BC795" i="2"/>
  <c r="BC796" i="2"/>
  <c r="BC797" i="2"/>
  <c r="BC798" i="2"/>
  <c r="BC799" i="2"/>
  <c r="BC800" i="2"/>
  <c r="BC801" i="2"/>
  <c r="BC802" i="2"/>
  <c r="BC803" i="2"/>
  <c r="BC804" i="2"/>
  <c r="BC805" i="2"/>
  <c r="BC806" i="2"/>
  <c r="BC807" i="2"/>
  <c r="BC808" i="2"/>
  <c r="BC809" i="2"/>
  <c r="BC810" i="2"/>
  <c r="BC811" i="2"/>
  <c r="BC812" i="2"/>
  <c r="BC813" i="2"/>
  <c r="BC814" i="2"/>
  <c r="BC815" i="2"/>
  <c r="BC816" i="2"/>
  <c r="BC817" i="2"/>
  <c r="BC818" i="2"/>
  <c r="BC819" i="2"/>
  <c r="BC820" i="2"/>
  <c r="BC821" i="2"/>
  <c r="BC822" i="2"/>
  <c r="BC823" i="2"/>
  <c r="BC824" i="2"/>
  <c r="BC825" i="2"/>
  <c r="BC826" i="2"/>
  <c r="BC827" i="2"/>
  <c r="BC828" i="2"/>
  <c r="BC829" i="2"/>
  <c r="BC830" i="2"/>
  <c r="BC831" i="2"/>
  <c r="BC832" i="2"/>
  <c r="BC833" i="2"/>
  <c r="BC834" i="2"/>
  <c r="BC835" i="2"/>
  <c r="BC836" i="2"/>
  <c r="BC837" i="2"/>
  <c r="BC838" i="2"/>
  <c r="BC839" i="2"/>
  <c r="BC840" i="2"/>
  <c r="BC841" i="2"/>
  <c r="BC842" i="2"/>
  <c r="BC843" i="2"/>
  <c r="BC844" i="2"/>
  <c r="BC845" i="2"/>
  <c r="BC846" i="2"/>
  <c r="BC847" i="2"/>
  <c r="BC848" i="2"/>
  <c r="BC849" i="2"/>
  <c r="BC850" i="2"/>
  <c r="BC851" i="2"/>
  <c r="BC852" i="2"/>
  <c r="BC853" i="2"/>
  <c r="BC854" i="2"/>
  <c r="BC855" i="2"/>
  <c r="BC856" i="2"/>
  <c r="BC857" i="2"/>
  <c r="BC858" i="2"/>
  <c r="BC859" i="2"/>
  <c r="BC860" i="2"/>
  <c r="BC861" i="2"/>
  <c r="BC862" i="2"/>
  <c r="BC863" i="2"/>
  <c r="BC864" i="2"/>
  <c r="BC865" i="2"/>
  <c r="BC866" i="2"/>
  <c r="BC867" i="2"/>
  <c r="BC868" i="2"/>
  <c r="BC869" i="2"/>
  <c r="BC870" i="2"/>
  <c r="BC871" i="2"/>
  <c r="BC872" i="2"/>
  <c r="BC873" i="2"/>
  <c r="BC874" i="2"/>
  <c r="BC875" i="2"/>
  <c r="BC876" i="2"/>
  <c r="BC877" i="2"/>
  <c r="BC878" i="2"/>
  <c r="BC879" i="2"/>
  <c r="BC880" i="2"/>
  <c r="BC881" i="2"/>
  <c r="BC882" i="2"/>
  <c r="BC883" i="2"/>
  <c r="BC884" i="2"/>
  <c r="BC885" i="2"/>
  <c r="BC886" i="2"/>
  <c r="BC887" i="2"/>
  <c r="BC888" i="2"/>
  <c r="BC889" i="2"/>
  <c r="BC890" i="2"/>
  <c r="BC891" i="2"/>
  <c r="BC892" i="2"/>
  <c r="BC893" i="2"/>
  <c r="BC894" i="2"/>
  <c r="BC895" i="2"/>
  <c r="BC896" i="2"/>
  <c r="BC897" i="2"/>
  <c r="BC898" i="2"/>
  <c r="BC899" i="2"/>
  <c r="BC900" i="2"/>
  <c r="BC901" i="2"/>
  <c r="BC902" i="2"/>
  <c r="BC903" i="2"/>
  <c r="BC904" i="2"/>
  <c r="BC905" i="2"/>
  <c r="BC906" i="2"/>
  <c r="BC907" i="2"/>
  <c r="BC908" i="2"/>
  <c r="BC909" i="2"/>
  <c r="BC910" i="2"/>
  <c r="BC911" i="2"/>
  <c r="BC912" i="2"/>
  <c r="BC913" i="2"/>
  <c r="BC914" i="2"/>
  <c r="BC915" i="2"/>
  <c r="BC916" i="2"/>
  <c r="BC917" i="2"/>
  <c r="BC918" i="2"/>
  <c r="BC919" i="2"/>
  <c r="BC920" i="2"/>
  <c r="BC921" i="2"/>
  <c r="BC922" i="2"/>
  <c r="BC923" i="2"/>
  <c r="BC924" i="2"/>
  <c r="BC925" i="2"/>
  <c r="BC926" i="2"/>
  <c r="BC927" i="2"/>
  <c r="BC928" i="2"/>
  <c r="BC929" i="2"/>
  <c r="BC930" i="2"/>
  <c r="BC931" i="2"/>
  <c r="BC932" i="2"/>
  <c r="BC933" i="2"/>
  <c r="BC934" i="2"/>
  <c r="BC935" i="2"/>
  <c r="BC936" i="2"/>
  <c r="BC937" i="2"/>
  <c r="BC938" i="2"/>
  <c r="BC939" i="2"/>
  <c r="BC940" i="2"/>
  <c r="BC941" i="2"/>
  <c r="BC942" i="2"/>
  <c r="BC943" i="2"/>
  <c r="BC944" i="2"/>
  <c r="BC945" i="2"/>
  <c r="BC946" i="2"/>
  <c r="BC947" i="2"/>
  <c r="BC948" i="2"/>
  <c r="BC949" i="2"/>
  <c r="BC950" i="2"/>
  <c r="BC951" i="2"/>
  <c r="BC952" i="2"/>
  <c r="BC953" i="2"/>
  <c r="BC954" i="2"/>
  <c r="BC955" i="2"/>
  <c r="BC956" i="2"/>
  <c r="BC957" i="2"/>
  <c r="BC958" i="2"/>
  <c r="BC959" i="2"/>
  <c r="BC960" i="2"/>
  <c r="BC961" i="2"/>
  <c r="BC962" i="2"/>
  <c r="BC963" i="2"/>
  <c r="BC964" i="2"/>
  <c r="BC965" i="2"/>
  <c r="BC966" i="2"/>
  <c r="BC967" i="2"/>
  <c r="BC968" i="2"/>
  <c r="BC969" i="2"/>
  <c r="BC970" i="2"/>
  <c r="BC971" i="2"/>
  <c r="BC972" i="2"/>
  <c r="BC973" i="2"/>
  <c r="BC974" i="2"/>
  <c r="BC975" i="2"/>
  <c r="BC976" i="2"/>
  <c r="BC977" i="2"/>
  <c r="BC978" i="2"/>
  <c r="BC979" i="2"/>
  <c r="BC980" i="2"/>
  <c r="BC981" i="2"/>
  <c r="BC982" i="2"/>
  <c r="BC983" i="2"/>
  <c r="BC984" i="2"/>
  <c r="BC985" i="2"/>
  <c r="BC986" i="2"/>
  <c r="BC987" i="2"/>
  <c r="BC988" i="2"/>
  <c r="BC989" i="2"/>
  <c r="BC990" i="2"/>
  <c r="BC991" i="2"/>
  <c r="BC992" i="2"/>
  <c r="BC993" i="2"/>
  <c r="BC994" i="2"/>
  <c r="BC995" i="2"/>
  <c r="BC996" i="2"/>
  <c r="BC997" i="2"/>
  <c r="BC998" i="2"/>
  <c r="BC999" i="2"/>
  <c r="BC1000" i="2"/>
  <c r="BC1001" i="2"/>
  <c r="BC1002" i="2"/>
  <c r="BB4" i="2"/>
  <c r="BB5" i="2"/>
  <c r="BB6" i="2"/>
  <c r="BB7" i="2"/>
  <c r="BB8" i="2"/>
  <c r="BB9" i="2"/>
  <c r="BB10" i="2"/>
  <c r="BB11" i="2"/>
  <c r="BB12" i="2"/>
  <c r="BB13" i="2"/>
  <c r="BB14" i="2"/>
  <c r="BB15" i="2"/>
  <c r="BB16" i="2"/>
  <c r="BB17" i="2"/>
  <c r="BB18" i="2"/>
  <c r="BB19" i="2"/>
  <c r="BB20" i="2"/>
  <c r="BB21" i="2"/>
  <c r="BB22" i="2"/>
  <c r="BB23" i="2"/>
  <c r="BB24" i="2"/>
  <c r="BB25" i="2"/>
  <c r="BB26" i="2"/>
  <c r="BB27" i="2"/>
  <c r="BB28" i="2"/>
  <c r="BB29" i="2"/>
  <c r="BB30" i="2"/>
  <c r="BB31" i="2"/>
  <c r="BB32" i="2"/>
  <c r="BB33" i="2"/>
  <c r="BB34" i="2"/>
  <c r="BB35" i="2"/>
  <c r="BB36" i="2"/>
  <c r="BB37" i="2"/>
  <c r="BB38" i="2"/>
  <c r="BB39" i="2"/>
  <c r="BB40" i="2"/>
  <c r="BB41" i="2"/>
  <c r="BB42" i="2"/>
  <c r="BB43" i="2"/>
  <c r="BB44" i="2"/>
  <c r="BB45" i="2"/>
  <c r="BB46" i="2"/>
  <c r="BB47" i="2"/>
  <c r="BB48" i="2"/>
  <c r="BB49" i="2"/>
  <c r="BB50" i="2"/>
  <c r="BB51" i="2"/>
  <c r="BB52" i="2"/>
  <c r="BB53" i="2"/>
  <c r="BB54" i="2"/>
  <c r="BB55" i="2"/>
  <c r="BB56" i="2"/>
  <c r="BB57" i="2"/>
  <c r="BB58" i="2"/>
  <c r="BB59" i="2"/>
  <c r="BB60" i="2"/>
  <c r="BB61" i="2"/>
  <c r="BB62" i="2"/>
  <c r="BB63" i="2"/>
  <c r="BB64" i="2"/>
  <c r="BB65" i="2"/>
  <c r="BB66" i="2"/>
  <c r="BB67" i="2"/>
  <c r="BB68" i="2"/>
  <c r="BB69" i="2"/>
  <c r="BB70" i="2"/>
  <c r="BB71" i="2"/>
  <c r="BB72" i="2"/>
  <c r="BB73" i="2"/>
  <c r="BB74" i="2"/>
  <c r="BB75" i="2"/>
  <c r="BB76" i="2"/>
  <c r="BB77" i="2"/>
  <c r="BB78" i="2"/>
  <c r="BB79" i="2"/>
  <c r="BB80" i="2"/>
  <c r="BB81" i="2"/>
  <c r="BB82" i="2"/>
  <c r="BB83" i="2"/>
  <c r="BB84" i="2"/>
  <c r="BB85" i="2"/>
  <c r="BB86" i="2"/>
  <c r="BB87" i="2"/>
  <c r="BB88" i="2"/>
  <c r="BB89" i="2"/>
  <c r="BB90" i="2"/>
  <c r="BB91" i="2"/>
  <c r="BB92" i="2"/>
  <c r="BB93" i="2"/>
  <c r="BB94" i="2"/>
  <c r="BB95" i="2"/>
  <c r="BB96" i="2"/>
  <c r="BB97" i="2"/>
  <c r="BB98" i="2"/>
  <c r="BB99" i="2"/>
  <c r="BB100" i="2"/>
  <c r="BB101" i="2"/>
  <c r="BB102" i="2"/>
  <c r="BB103" i="2"/>
  <c r="BB104" i="2"/>
  <c r="BB105" i="2"/>
  <c r="BB106" i="2"/>
  <c r="BB107" i="2"/>
  <c r="BB108" i="2"/>
  <c r="BB109" i="2"/>
  <c r="BB110" i="2"/>
  <c r="BB111" i="2"/>
  <c r="BB112" i="2"/>
  <c r="BB113" i="2"/>
  <c r="BB114" i="2"/>
  <c r="BB115" i="2"/>
  <c r="BB116" i="2"/>
  <c r="BB117" i="2"/>
  <c r="BB118" i="2"/>
  <c r="BB119" i="2"/>
  <c r="BB120" i="2"/>
  <c r="BB121" i="2"/>
  <c r="BB122" i="2"/>
  <c r="BB123" i="2"/>
  <c r="BB124" i="2"/>
  <c r="BB125" i="2"/>
  <c r="BB126" i="2"/>
  <c r="BB127" i="2"/>
  <c r="BB128" i="2"/>
  <c r="BB129" i="2"/>
  <c r="BB130" i="2"/>
  <c r="BB131" i="2"/>
  <c r="BB132" i="2"/>
  <c r="BB133" i="2"/>
  <c r="BB134" i="2"/>
  <c r="BB135" i="2"/>
  <c r="BB136" i="2"/>
  <c r="BB137" i="2"/>
  <c r="BB138" i="2"/>
  <c r="BB139" i="2"/>
  <c r="BB140" i="2"/>
  <c r="BB141" i="2"/>
  <c r="BB142" i="2"/>
  <c r="BB143" i="2"/>
  <c r="BB144" i="2"/>
  <c r="BB145" i="2"/>
  <c r="BB146" i="2"/>
  <c r="BB147" i="2"/>
  <c r="BB148" i="2"/>
  <c r="BB149" i="2"/>
  <c r="BB150" i="2"/>
  <c r="BB151" i="2"/>
  <c r="BB152" i="2"/>
  <c r="BB153" i="2"/>
  <c r="BB154" i="2"/>
  <c r="BB155" i="2"/>
  <c r="BB156" i="2"/>
  <c r="BB157" i="2"/>
  <c r="BB158" i="2"/>
  <c r="BB159" i="2"/>
  <c r="BB160" i="2"/>
  <c r="BB161" i="2"/>
  <c r="BB162" i="2"/>
  <c r="BB163" i="2"/>
  <c r="BB164" i="2"/>
  <c r="BB165" i="2"/>
  <c r="BB166" i="2"/>
  <c r="BB167" i="2"/>
  <c r="BB168" i="2"/>
  <c r="BB169" i="2"/>
  <c r="BB170" i="2"/>
  <c r="BB171" i="2"/>
  <c r="BB172" i="2"/>
  <c r="BB173" i="2"/>
  <c r="BB174" i="2"/>
  <c r="BB175" i="2"/>
  <c r="BB176" i="2"/>
  <c r="BB177" i="2"/>
  <c r="BB178" i="2"/>
  <c r="BB179" i="2"/>
  <c r="BB180" i="2"/>
  <c r="BB181" i="2"/>
  <c r="BB182" i="2"/>
  <c r="BB183" i="2"/>
  <c r="BB184" i="2"/>
  <c r="BB185" i="2"/>
  <c r="BB186" i="2"/>
  <c r="BB187" i="2"/>
  <c r="BB188" i="2"/>
  <c r="BB189" i="2"/>
  <c r="BB190" i="2"/>
  <c r="BB191" i="2"/>
  <c r="BB192" i="2"/>
  <c r="BB193" i="2"/>
  <c r="BB194" i="2"/>
  <c r="BB195" i="2"/>
  <c r="BB196" i="2"/>
  <c r="BB197" i="2"/>
  <c r="BB198" i="2"/>
  <c r="BB199" i="2"/>
  <c r="BB200" i="2"/>
  <c r="BB201" i="2"/>
  <c r="BB202" i="2"/>
  <c r="BB203" i="2"/>
  <c r="BB204" i="2"/>
  <c r="BB205" i="2"/>
  <c r="BB206" i="2"/>
  <c r="BB207" i="2"/>
  <c r="BB208" i="2"/>
  <c r="BB209" i="2"/>
  <c r="BB210" i="2"/>
  <c r="BB211" i="2"/>
  <c r="BB212" i="2"/>
  <c r="BB213" i="2"/>
  <c r="BB214" i="2"/>
  <c r="BB215" i="2"/>
  <c r="BB216" i="2"/>
  <c r="BB217" i="2"/>
  <c r="BB218" i="2"/>
  <c r="BB219" i="2"/>
  <c r="BB220" i="2"/>
  <c r="BB221" i="2"/>
  <c r="BB222" i="2"/>
  <c r="BB223" i="2"/>
  <c r="BB224" i="2"/>
  <c r="BB225" i="2"/>
  <c r="BB226" i="2"/>
  <c r="BB227" i="2"/>
  <c r="BB228" i="2"/>
  <c r="BB229" i="2"/>
  <c r="BB230" i="2"/>
  <c r="BB231" i="2"/>
  <c r="BB232" i="2"/>
  <c r="BB233" i="2"/>
  <c r="BB234" i="2"/>
  <c r="BB235" i="2"/>
  <c r="BB236" i="2"/>
  <c r="BB237" i="2"/>
  <c r="BB238" i="2"/>
  <c r="BB239" i="2"/>
  <c r="BB240" i="2"/>
  <c r="BB241" i="2"/>
  <c r="BB242" i="2"/>
  <c r="BB243" i="2"/>
  <c r="BB244" i="2"/>
  <c r="BB245" i="2"/>
  <c r="BB246" i="2"/>
  <c r="BB247" i="2"/>
  <c r="BB248" i="2"/>
  <c r="BB249" i="2"/>
  <c r="BB250" i="2"/>
  <c r="BB251" i="2"/>
  <c r="BB252" i="2"/>
  <c r="BB253" i="2"/>
  <c r="BB254" i="2"/>
  <c r="BB255" i="2"/>
  <c r="BB256" i="2"/>
  <c r="BB257" i="2"/>
  <c r="BB258" i="2"/>
  <c r="BB259" i="2"/>
  <c r="BB260" i="2"/>
  <c r="BB261" i="2"/>
  <c r="BB262" i="2"/>
  <c r="BB263" i="2"/>
  <c r="BB264" i="2"/>
  <c r="BB265" i="2"/>
  <c r="BB266" i="2"/>
  <c r="BB267" i="2"/>
  <c r="BB268" i="2"/>
  <c r="BB269" i="2"/>
  <c r="BB270" i="2"/>
  <c r="BB271" i="2"/>
  <c r="BB272" i="2"/>
  <c r="BB273" i="2"/>
  <c r="BB274" i="2"/>
  <c r="BB275" i="2"/>
  <c r="BB276" i="2"/>
  <c r="BB277" i="2"/>
  <c r="BB278" i="2"/>
  <c r="BB279" i="2"/>
  <c r="BB280" i="2"/>
  <c r="BB281" i="2"/>
  <c r="BB282" i="2"/>
  <c r="BB283" i="2"/>
  <c r="BB284" i="2"/>
  <c r="BB285" i="2"/>
  <c r="BB286" i="2"/>
  <c r="BB287" i="2"/>
  <c r="BB288" i="2"/>
  <c r="BB289" i="2"/>
  <c r="BB290" i="2"/>
  <c r="BB291" i="2"/>
  <c r="BB292" i="2"/>
  <c r="BB293" i="2"/>
  <c r="BB294" i="2"/>
  <c r="BB295" i="2"/>
  <c r="BB296" i="2"/>
  <c r="BB297" i="2"/>
  <c r="BB298" i="2"/>
  <c r="BB299" i="2"/>
  <c r="BB300" i="2"/>
  <c r="BB301" i="2"/>
  <c r="BB302" i="2"/>
  <c r="BB303" i="2"/>
  <c r="BB304" i="2"/>
  <c r="BB305" i="2"/>
  <c r="BB306" i="2"/>
  <c r="BB307" i="2"/>
  <c r="BB308" i="2"/>
  <c r="BB309" i="2"/>
  <c r="BB310" i="2"/>
  <c r="BB311" i="2"/>
  <c r="BB312" i="2"/>
  <c r="BB313" i="2"/>
  <c r="BB314" i="2"/>
  <c r="BB315" i="2"/>
  <c r="BB316" i="2"/>
  <c r="BB317" i="2"/>
  <c r="BB318" i="2"/>
  <c r="BB319" i="2"/>
  <c r="BB320" i="2"/>
  <c r="BB321" i="2"/>
  <c r="BB322" i="2"/>
  <c r="BB323" i="2"/>
  <c r="BB324" i="2"/>
  <c r="BB325" i="2"/>
  <c r="BB326" i="2"/>
  <c r="BB327" i="2"/>
  <c r="BB328" i="2"/>
  <c r="BB329" i="2"/>
  <c r="BB330" i="2"/>
  <c r="BB331" i="2"/>
  <c r="BB332" i="2"/>
  <c r="BB333" i="2"/>
  <c r="BB334" i="2"/>
  <c r="BB335" i="2"/>
  <c r="BB336" i="2"/>
  <c r="BB337" i="2"/>
  <c r="BB338" i="2"/>
  <c r="BB339" i="2"/>
  <c r="BB340" i="2"/>
  <c r="BB341" i="2"/>
  <c r="BB342" i="2"/>
  <c r="BB343" i="2"/>
  <c r="BB344" i="2"/>
  <c r="BB345" i="2"/>
  <c r="BB346" i="2"/>
  <c r="BB347" i="2"/>
  <c r="BB348" i="2"/>
  <c r="BB349" i="2"/>
  <c r="BB350" i="2"/>
  <c r="BB351" i="2"/>
  <c r="BB352" i="2"/>
  <c r="BB353" i="2"/>
  <c r="BB354" i="2"/>
  <c r="BB355" i="2"/>
  <c r="BB356" i="2"/>
  <c r="BB357" i="2"/>
  <c r="BB358" i="2"/>
  <c r="BB359" i="2"/>
  <c r="BB360" i="2"/>
  <c r="BB361" i="2"/>
  <c r="BB362" i="2"/>
  <c r="BB363" i="2"/>
  <c r="BB364" i="2"/>
  <c r="BB365" i="2"/>
  <c r="BB366" i="2"/>
  <c r="BB367" i="2"/>
  <c r="BB368" i="2"/>
  <c r="BB369" i="2"/>
  <c r="BB370" i="2"/>
  <c r="BB371" i="2"/>
  <c r="BB372" i="2"/>
  <c r="BB373" i="2"/>
  <c r="BB374" i="2"/>
  <c r="BB375" i="2"/>
  <c r="BB376" i="2"/>
  <c r="BB377" i="2"/>
  <c r="BB378" i="2"/>
  <c r="BB379" i="2"/>
  <c r="BB380" i="2"/>
  <c r="BB381" i="2"/>
  <c r="BB382" i="2"/>
  <c r="BB383" i="2"/>
  <c r="BB384" i="2"/>
  <c r="BB385" i="2"/>
  <c r="BB386" i="2"/>
  <c r="BB387" i="2"/>
  <c r="BB388" i="2"/>
  <c r="BB389" i="2"/>
  <c r="BB390" i="2"/>
  <c r="BB391" i="2"/>
  <c r="BB392" i="2"/>
  <c r="BB393" i="2"/>
  <c r="BB394" i="2"/>
  <c r="BB395" i="2"/>
  <c r="BB396" i="2"/>
  <c r="BB397" i="2"/>
  <c r="BB398" i="2"/>
  <c r="BB399" i="2"/>
  <c r="BB400" i="2"/>
  <c r="BB401" i="2"/>
  <c r="BB402" i="2"/>
  <c r="BB403" i="2"/>
  <c r="BB404" i="2"/>
  <c r="BB405" i="2"/>
  <c r="BB406" i="2"/>
  <c r="BB407" i="2"/>
  <c r="BB408" i="2"/>
  <c r="BB409" i="2"/>
  <c r="BB410" i="2"/>
  <c r="BB411" i="2"/>
  <c r="BB412" i="2"/>
  <c r="BB413" i="2"/>
  <c r="BB414" i="2"/>
  <c r="BB415" i="2"/>
  <c r="BB416" i="2"/>
  <c r="BB417" i="2"/>
  <c r="BB418" i="2"/>
  <c r="BB419" i="2"/>
  <c r="BB420" i="2"/>
  <c r="BB421" i="2"/>
  <c r="BB422" i="2"/>
  <c r="BB423" i="2"/>
  <c r="BB424" i="2"/>
  <c r="BB425" i="2"/>
  <c r="BB426" i="2"/>
  <c r="BB427" i="2"/>
  <c r="BB428" i="2"/>
  <c r="BB429" i="2"/>
  <c r="BB430" i="2"/>
  <c r="BB431" i="2"/>
  <c r="BB432" i="2"/>
  <c r="BB433" i="2"/>
  <c r="BB434" i="2"/>
  <c r="BB435" i="2"/>
  <c r="BB436" i="2"/>
  <c r="BB437" i="2"/>
  <c r="BB438" i="2"/>
  <c r="BB439" i="2"/>
  <c r="BB440" i="2"/>
  <c r="BB441" i="2"/>
  <c r="BB442" i="2"/>
  <c r="BB443" i="2"/>
  <c r="BB444" i="2"/>
  <c r="BB445" i="2"/>
  <c r="BB446" i="2"/>
  <c r="BB447" i="2"/>
  <c r="BB448" i="2"/>
  <c r="BB449" i="2"/>
  <c r="BB450" i="2"/>
  <c r="BB451" i="2"/>
  <c r="BB452" i="2"/>
  <c r="BB453" i="2"/>
  <c r="BB454" i="2"/>
  <c r="BB455" i="2"/>
  <c r="BB456" i="2"/>
  <c r="BB457" i="2"/>
  <c r="BB458" i="2"/>
  <c r="BB459" i="2"/>
  <c r="BB460" i="2"/>
  <c r="BB461" i="2"/>
  <c r="BB462" i="2"/>
  <c r="BB463" i="2"/>
  <c r="BB464" i="2"/>
  <c r="BB465" i="2"/>
  <c r="BB466" i="2"/>
  <c r="BB467" i="2"/>
  <c r="BB468" i="2"/>
  <c r="BB469" i="2"/>
  <c r="BB470" i="2"/>
  <c r="BB471" i="2"/>
  <c r="BB472" i="2"/>
  <c r="BB473" i="2"/>
  <c r="BB474" i="2"/>
  <c r="BB475" i="2"/>
  <c r="BB476" i="2"/>
  <c r="BB477" i="2"/>
  <c r="BB478" i="2"/>
  <c r="BB479" i="2"/>
  <c r="BB480" i="2"/>
  <c r="BB481" i="2"/>
  <c r="BB482" i="2"/>
  <c r="BB483" i="2"/>
  <c r="BB484" i="2"/>
  <c r="BB485" i="2"/>
  <c r="BB486" i="2"/>
  <c r="BB487" i="2"/>
  <c r="BB488" i="2"/>
  <c r="BB489" i="2"/>
  <c r="BB490" i="2"/>
  <c r="BB491" i="2"/>
  <c r="BB492" i="2"/>
  <c r="BB493" i="2"/>
  <c r="BB494" i="2"/>
  <c r="BB495" i="2"/>
  <c r="BB496" i="2"/>
  <c r="BB497" i="2"/>
  <c r="BB498" i="2"/>
  <c r="BB499" i="2"/>
  <c r="BB500" i="2"/>
  <c r="BB501" i="2"/>
  <c r="BB502" i="2"/>
  <c r="BB503" i="2"/>
  <c r="BB504" i="2"/>
  <c r="BB505" i="2"/>
  <c r="BB506" i="2"/>
  <c r="BB507" i="2"/>
  <c r="BB508" i="2"/>
  <c r="BB509" i="2"/>
  <c r="BB510" i="2"/>
  <c r="BB511" i="2"/>
  <c r="BB512" i="2"/>
  <c r="BB513" i="2"/>
  <c r="BB514" i="2"/>
  <c r="BB515" i="2"/>
  <c r="BB516" i="2"/>
  <c r="BB517" i="2"/>
  <c r="BB518" i="2"/>
  <c r="BB519" i="2"/>
  <c r="BB520" i="2"/>
  <c r="BB521" i="2"/>
  <c r="BB522" i="2"/>
  <c r="BB523" i="2"/>
  <c r="BB524" i="2"/>
  <c r="BB525" i="2"/>
  <c r="BB526" i="2"/>
  <c r="BB527" i="2"/>
  <c r="BB528" i="2"/>
  <c r="BB529" i="2"/>
  <c r="BB530" i="2"/>
  <c r="BB531" i="2"/>
  <c r="BB532" i="2"/>
  <c r="BB533" i="2"/>
  <c r="BB534" i="2"/>
  <c r="BB535" i="2"/>
  <c r="BB536" i="2"/>
  <c r="BB537" i="2"/>
  <c r="BB538" i="2"/>
  <c r="BB539" i="2"/>
  <c r="BB540" i="2"/>
  <c r="BB541" i="2"/>
  <c r="BB542" i="2"/>
  <c r="BB543" i="2"/>
  <c r="BB544" i="2"/>
  <c r="BB545" i="2"/>
  <c r="BB546" i="2"/>
  <c r="BB547" i="2"/>
  <c r="BB548" i="2"/>
  <c r="BB549" i="2"/>
  <c r="BB550" i="2"/>
  <c r="BB551" i="2"/>
  <c r="BB552" i="2"/>
  <c r="BB553" i="2"/>
  <c r="BB554" i="2"/>
  <c r="BB555" i="2"/>
  <c r="BB556" i="2"/>
  <c r="BB557" i="2"/>
  <c r="BB558" i="2"/>
  <c r="BB559" i="2"/>
  <c r="BB560" i="2"/>
  <c r="BB561" i="2"/>
  <c r="BB562" i="2"/>
  <c r="BB563" i="2"/>
  <c r="BB564" i="2"/>
  <c r="BB565" i="2"/>
  <c r="BB566" i="2"/>
  <c r="BB567" i="2"/>
  <c r="BB568" i="2"/>
  <c r="BB569" i="2"/>
  <c r="BB570" i="2"/>
  <c r="BB571" i="2"/>
  <c r="BB572" i="2"/>
  <c r="BB573" i="2"/>
  <c r="BB574" i="2"/>
  <c r="BB575" i="2"/>
  <c r="BB576" i="2"/>
  <c r="BB577" i="2"/>
  <c r="BB578" i="2"/>
  <c r="BB579" i="2"/>
  <c r="BB580" i="2"/>
  <c r="BB581" i="2"/>
  <c r="BB582" i="2"/>
  <c r="BB583" i="2"/>
  <c r="BB584" i="2"/>
  <c r="BB585" i="2"/>
  <c r="BB586" i="2"/>
  <c r="BB587" i="2"/>
  <c r="BB588" i="2"/>
  <c r="BB589" i="2"/>
  <c r="BB590" i="2"/>
  <c r="BB591" i="2"/>
  <c r="BB592" i="2"/>
  <c r="BB593" i="2"/>
  <c r="BB594" i="2"/>
  <c r="BB595" i="2"/>
  <c r="BB596" i="2"/>
  <c r="BB597" i="2"/>
  <c r="BB598" i="2"/>
  <c r="BB599" i="2"/>
  <c r="BB600" i="2"/>
  <c r="BB601" i="2"/>
  <c r="BB602" i="2"/>
  <c r="BB603" i="2"/>
  <c r="BB604" i="2"/>
  <c r="BB605" i="2"/>
  <c r="BB606" i="2"/>
  <c r="BB607" i="2"/>
  <c r="BB608" i="2"/>
  <c r="BB609" i="2"/>
  <c r="BB610" i="2"/>
  <c r="BB611" i="2"/>
  <c r="BB612" i="2"/>
  <c r="BB613" i="2"/>
  <c r="BB614" i="2"/>
  <c r="BB615" i="2"/>
  <c r="BB616" i="2"/>
  <c r="BB617" i="2"/>
  <c r="BB618" i="2"/>
  <c r="BB619" i="2"/>
  <c r="BB620" i="2"/>
  <c r="BB621" i="2"/>
  <c r="BB622" i="2"/>
  <c r="BB623" i="2"/>
  <c r="BB624" i="2"/>
  <c r="BB625" i="2"/>
  <c r="BB626" i="2"/>
  <c r="BB627" i="2"/>
  <c r="BB628" i="2"/>
  <c r="BB629" i="2"/>
  <c r="BB630" i="2"/>
  <c r="BB631" i="2"/>
  <c r="BB632" i="2"/>
  <c r="BB633" i="2"/>
  <c r="BB634" i="2"/>
  <c r="BB635" i="2"/>
  <c r="BB636" i="2"/>
  <c r="BB637" i="2"/>
  <c r="BB638" i="2"/>
  <c r="BB639" i="2"/>
  <c r="BB640" i="2"/>
  <c r="BB641" i="2"/>
  <c r="BB642" i="2"/>
  <c r="BB643" i="2"/>
  <c r="BB644" i="2"/>
  <c r="BB645" i="2"/>
  <c r="BB646" i="2"/>
  <c r="BB647" i="2"/>
  <c r="BB648" i="2"/>
  <c r="BB649" i="2"/>
  <c r="BB650" i="2"/>
  <c r="BB651" i="2"/>
  <c r="BB652" i="2"/>
  <c r="BB653" i="2"/>
  <c r="BB654" i="2"/>
  <c r="BB655" i="2"/>
  <c r="BB656" i="2"/>
  <c r="BB657" i="2"/>
  <c r="BB658" i="2"/>
  <c r="BB659" i="2"/>
  <c r="BB660" i="2"/>
  <c r="BB661" i="2"/>
  <c r="BB662" i="2"/>
  <c r="BB663" i="2"/>
  <c r="BB664" i="2"/>
  <c r="BB665" i="2"/>
  <c r="BB666" i="2"/>
  <c r="BB667" i="2"/>
  <c r="BB668" i="2"/>
  <c r="BB669" i="2"/>
  <c r="BB670" i="2"/>
  <c r="BB671" i="2"/>
  <c r="BB672" i="2"/>
  <c r="BB673" i="2"/>
  <c r="BB674" i="2"/>
  <c r="BB675" i="2"/>
  <c r="BB676" i="2"/>
  <c r="BB677" i="2"/>
  <c r="BB678" i="2"/>
  <c r="BB679" i="2"/>
  <c r="BB680" i="2"/>
  <c r="BB681" i="2"/>
  <c r="BB682" i="2"/>
  <c r="BB683" i="2"/>
  <c r="BB684" i="2"/>
  <c r="BB685" i="2"/>
  <c r="BB686" i="2"/>
  <c r="BB687" i="2"/>
  <c r="BB688" i="2"/>
  <c r="BB689" i="2"/>
  <c r="BB690" i="2"/>
  <c r="BB691" i="2"/>
  <c r="BB692" i="2"/>
  <c r="BB693" i="2"/>
  <c r="BB694" i="2"/>
  <c r="BB695" i="2"/>
  <c r="BB696" i="2"/>
  <c r="BB697" i="2"/>
  <c r="BB698" i="2"/>
  <c r="BB699" i="2"/>
  <c r="BB700" i="2"/>
  <c r="BB701" i="2"/>
  <c r="BB702" i="2"/>
  <c r="BB703" i="2"/>
  <c r="BB704" i="2"/>
  <c r="BB705" i="2"/>
  <c r="BB706" i="2"/>
  <c r="BB707" i="2"/>
  <c r="BB708" i="2"/>
  <c r="BB709" i="2"/>
  <c r="BB710" i="2"/>
  <c r="BB711" i="2"/>
  <c r="BB712" i="2"/>
  <c r="BB713" i="2"/>
  <c r="BB714" i="2"/>
  <c r="BB715" i="2"/>
  <c r="BB716" i="2"/>
  <c r="BB717" i="2"/>
  <c r="BB718" i="2"/>
  <c r="BB719" i="2"/>
  <c r="BB720" i="2"/>
  <c r="BB721" i="2"/>
  <c r="BB722" i="2"/>
  <c r="BB723" i="2"/>
  <c r="BB724" i="2"/>
  <c r="BB725" i="2"/>
  <c r="BB726" i="2"/>
  <c r="BB727" i="2"/>
  <c r="BB728" i="2"/>
  <c r="BB729" i="2"/>
  <c r="BB730" i="2"/>
  <c r="BB731" i="2"/>
  <c r="BB732" i="2"/>
  <c r="BB733" i="2"/>
  <c r="BB734" i="2"/>
  <c r="BB735" i="2"/>
  <c r="BB736" i="2"/>
  <c r="BB737" i="2"/>
  <c r="BB738" i="2"/>
  <c r="BB739" i="2"/>
  <c r="BB740" i="2"/>
  <c r="BB741" i="2"/>
  <c r="BB742" i="2"/>
  <c r="BB743" i="2"/>
  <c r="BB744" i="2"/>
  <c r="BB745" i="2"/>
  <c r="BB746" i="2"/>
  <c r="BB747" i="2"/>
  <c r="BB748" i="2"/>
  <c r="BB749" i="2"/>
  <c r="BB750" i="2"/>
  <c r="BB751" i="2"/>
  <c r="BB752" i="2"/>
  <c r="BB753" i="2"/>
  <c r="BB754" i="2"/>
  <c r="BB755" i="2"/>
  <c r="BB756" i="2"/>
  <c r="BB757" i="2"/>
  <c r="BB758" i="2"/>
  <c r="BB759" i="2"/>
  <c r="BB760" i="2"/>
  <c r="BB761" i="2"/>
  <c r="BB762" i="2"/>
  <c r="BB763" i="2"/>
  <c r="BB764" i="2"/>
  <c r="BB765" i="2"/>
  <c r="BB766" i="2"/>
  <c r="BB767" i="2"/>
  <c r="BB768" i="2"/>
  <c r="BB769" i="2"/>
  <c r="BB770" i="2"/>
  <c r="BB771" i="2"/>
  <c r="BB772" i="2"/>
  <c r="BB773" i="2"/>
  <c r="BB774" i="2"/>
  <c r="BB775" i="2"/>
  <c r="BB776" i="2"/>
  <c r="BB777" i="2"/>
  <c r="BB778" i="2"/>
  <c r="BB779" i="2"/>
  <c r="BB780" i="2"/>
  <c r="BB781" i="2"/>
  <c r="BB782" i="2"/>
  <c r="BB783" i="2"/>
  <c r="BB784" i="2"/>
  <c r="BB785" i="2"/>
  <c r="BB786" i="2"/>
  <c r="BB787" i="2"/>
  <c r="BB788" i="2"/>
  <c r="BB789" i="2"/>
  <c r="BB790" i="2"/>
  <c r="BB791" i="2"/>
  <c r="BB792" i="2"/>
  <c r="BB793" i="2"/>
  <c r="BB794" i="2"/>
  <c r="BB795" i="2"/>
  <c r="BB796" i="2"/>
  <c r="BB797" i="2"/>
  <c r="BB798" i="2"/>
  <c r="BB799" i="2"/>
  <c r="BB800" i="2"/>
  <c r="BB801" i="2"/>
  <c r="BB802" i="2"/>
  <c r="BB803" i="2"/>
  <c r="BB804" i="2"/>
  <c r="BB805" i="2"/>
  <c r="BB806" i="2"/>
  <c r="BB807" i="2"/>
  <c r="BB808" i="2"/>
  <c r="BB809" i="2"/>
  <c r="BB810" i="2"/>
  <c r="BB811" i="2"/>
  <c r="BB812" i="2"/>
  <c r="BB813" i="2"/>
  <c r="BB814" i="2"/>
  <c r="BB815" i="2"/>
  <c r="BB816" i="2"/>
  <c r="BB817" i="2"/>
  <c r="BB818" i="2"/>
  <c r="BB819" i="2"/>
  <c r="BB820" i="2"/>
  <c r="BB821" i="2"/>
  <c r="BB822" i="2"/>
  <c r="BB823" i="2"/>
  <c r="BB824" i="2"/>
  <c r="BB825" i="2"/>
  <c r="BB826" i="2"/>
  <c r="BB827" i="2"/>
  <c r="BB828" i="2"/>
  <c r="BB829" i="2"/>
  <c r="BB830" i="2"/>
  <c r="BB831" i="2"/>
  <c r="BB832" i="2"/>
  <c r="BB833" i="2"/>
  <c r="BB834" i="2"/>
  <c r="BB835" i="2"/>
  <c r="BB836" i="2"/>
  <c r="BB837" i="2"/>
  <c r="BB838" i="2"/>
  <c r="BB839" i="2"/>
  <c r="BB840" i="2"/>
  <c r="BB841" i="2"/>
  <c r="BB842" i="2"/>
  <c r="BB843" i="2"/>
  <c r="BB844" i="2"/>
  <c r="BB845" i="2"/>
  <c r="BB846" i="2"/>
  <c r="BB847" i="2"/>
  <c r="BB848" i="2"/>
  <c r="BB849" i="2"/>
  <c r="BB850" i="2"/>
  <c r="BB851" i="2"/>
  <c r="BB852" i="2"/>
  <c r="BB853" i="2"/>
  <c r="BB854" i="2"/>
  <c r="BB855" i="2"/>
  <c r="BB856" i="2"/>
  <c r="BB857" i="2"/>
  <c r="BB858" i="2"/>
  <c r="BB859" i="2"/>
  <c r="BB860" i="2"/>
  <c r="BB861" i="2"/>
  <c r="BB862" i="2"/>
  <c r="BB863" i="2"/>
  <c r="BB864" i="2"/>
  <c r="BB865" i="2"/>
  <c r="BB866" i="2"/>
  <c r="BB867" i="2"/>
  <c r="BB868" i="2"/>
  <c r="BB869" i="2"/>
  <c r="BB870" i="2"/>
  <c r="BB871" i="2"/>
  <c r="BB872" i="2"/>
  <c r="BB873" i="2"/>
  <c r="BB874" i="2"/>
  <c r="BB875" i="2"/>
  <c r="BB876" i="2"/>
  <c r="BB877" i="2"/>
  <c r="BB878" i="2"/>
  <c r="BB879" i="2"/>
  <c r="BB880" i="2"/>
  <c r="BB881" i="2"/>
  <c r="BB882" i="2"/>
  <c r="BB883" i="2"/>
  <c r="BB884" i="2"/>
  <c r="BB885" i="2"/>
  <c r="BB886" i="2"/>
  <c r="BB887" i="2"/>
  <c r="BB888" i="2"/>
  <c r="BB889" i="2"/>
  <c r="BB890" i="2"/>
  <c r="BB891" i="2"/>
  <c r="BB892" i="2"/>
  <c r="BB893" i="2"/>
  <c r="BB894" i="2"/>
  <c r="BB895" i="2"/>
  <c r="BB896" i="2"/>
  <c r="BB897" i="2"/>
  <c r="BB898" i="2"/>
  <c r="BB899" i="2"/>
  <c r="BB900" i="2"/>
  <c r="BB901" i="2"/>
  <c r="BB902" i="2"/>
  <c r="BB903" i="2"/>
  <c r="BB904" i="2"/>
  <c r="BB905" i="2"/>
  <c r="BB906" i="2"/>
  <c r="BB907" i="2"/>
  <c r="BB908" i="2"/>
  <c r="BB909" i="2"/>
  <c r="BB910" i="2"/>
  <c r="BB911" i="2"/>
  <c r="BB912" i="2"/>
  <c r="BB913" i="2"/>
  <c r="BB914" i="2"/>
  <c r="BB915" i="2"/>
  <c r="BB916" i="2"/>
  <c r="BB917" i="2"/>
  <c r="BB918" i="2"/>
  <c r="BB919" i="2"/>
  <c r="BB920" i="2"/>
  <c r="BB921" i="2"/>
  <c r="BB922" i="2"/>
  <c r="BB923" i="2"/>
  <c r="BB924" i="2"/>
  <c r="BB925" i="2"/>
  <c r="BB926" i="2"/>
  <c r="BB927" i="2"/>
  <c r="BB928" i="2"/>
  <c r="BB929" i="2"/>
  <c r="BB930" i="2"/>
  <c r="BB931" i="2"/>
  <c r="BB932" i="2"/>
  <c r="BB933" i="2"/>
  <c r="BB934" i="2"/>
  <c r="BB935" i="2"/>
  <c r="BB936" i="2"/>
  <c r="BB937" i="2"/>
  <c r="BB938" i="2"/>
  <c r="BB939" i="2"/>
  <c r="BB940" i="2"/>
  <c r="BB941" i="2"/>
  <c r="BB942" i="2"/>
  <c r="BB943" i="2"/>
  <c r="BB944" i="2"/>
  <c r="BB945" i="2"/>
  <c r="BB946" i="2"/>
  <c r="BB947" i="2"/>
  <c r="BB948" i="2"/>
  <c r="BB949" i="2"/>
  <c r="BB950" i="2"/>
  <c r="BB951" i="2"/>
  <c r="BB952" i="2"/>
  <c r="BB953" i="2"/>
  <c r="BB954" i="2"/>
  <c r="BB955" i="2"/>
  <c r="BB956" i="2"/>
  <c r="BB957" i="2"/>
  <c r="BB958" i="2"/>
  <c r="BB959" i="2"/>
  <c r="BB960" i="2"/>
  <c r="BB961" i="2"/>
  <c r="BB962" i="2"/>
  <c r="BB963" i="2"/>
  <c r="BB964" i="2"/>
  <c r="BB965" i="2"/>
  <c r="BB966" i="2"/>
  <c r="BB967" i="2"/>
  <c r="BB968" i="2"/>
  <c r="BB969" i="2"/>
  <c r="BB970" i="2"/>
  <c r="BB971" i="2"/>
  <c r="BB972" i="2"/>
  <c r="BB973" i="2"/>
  <c r="BB974" i="2"/>
  <c r="BB975" i="2"/>
  <c r="BB976" i="2"/>
  <c r="BB977" i="2"/>
  <c r="BB978" i="2"/>
  <c r="BB979" i="2"/>
  <c r="BB980" i="2"/>
  <c r="BB981" i="2"/>
  <c r="BB982" i="2"/>
  <c r="BB983" i="2"/>
  <c r="BB984" i="2"/>
  <c r="BB985" i="2"/>
  <c r="BB986" i="2"/>
  <c r="BB987" i="2"/>
  <c r="BB988" i="2"/>
  <c r="BB989" i="2"/>
  <c r="BB990" i="2"/>
  <c r="BB991" i="2"/>
  <c r="BB992" i="2"/>
  <c r="BB993" i="2"/>
  <c r="BB994" i="2"/>
  <c r="BB995" i="2"/>
  <c r="BB996" i="2"/>
  <c r="BB997" i="2"/>
  <c r="BB998" i="2"/>
  <c r="BB999" i="2"/>
  <c r="BB1000" i="2"/>
  <c r="BB1001" i="2"/>
  <c r="BB1002" i="2"/>
  <c r="BA4" i="2"/>
  <c r="BA5" i="2"/>
  <c r="BA6" i="2"/>
  <c r="BA7" i="2"/>
  <c r="BA8" i="2"/>
  <c r="BA9" i="2"/>
  <c r="BA10" i="2"/>
  <c r="BA11" i="2"/>
  <c r="BA12" i="2"/>
  <c r="BA13" i="2"/>
  <c r="BA14" i="2"/>
  <c r="BA15" i="2"/>
  <c r="BA16" i="2"/>
  <c r="BA17" i="2"/>
  <c r="BA18" i="2"/>
  <c r="BA19" i="2"/>
  <c r="BA20" i="2"/>
  <c r="BA21" i="2"/>
  <c r="BA22" i="2"/>
  <c r="BA23" i="2"/>
  <c r="BA24" i="2"/>
  <c r="BA25" i="2"/>
  <c r="BA26" i="2"/>
  <c r="BA27" i="2"/>
  <c r="BA28" i="2"/>
  <c r="BA29" i="2"/>
  <c r="BA30" i="2"/>
  <c r="BA31" i="2"/>
  <c r="BA32" i="2"/>
  <c r="BA33" i="2"/>
  <c r="BA34" i="2"/>
  <c r="BA35" i="2"/>
  <c r="BA36" i="2"/>
  <c r="BA37" i="2"/>
  <c r="BA38" i="2"/>
  <c r="BA39" i="2"/>
  <c r="BA40" i="2"/>
  <c r="BA41" i="2"/>
  <c r="BA42" i="2"/>
  <c r="BA43" i="2"/>
  <c r="BA44" i="2"/>
  <c r="BA45" i="2"/>
  <c r="BA46" i="2"/>
  <c r="BA47" i="2"/>
  <c r="BA48" i="2"/>
  <c r="BA49" i="2"/>
  <c r="BA50" i="2"/>
  <c r="BA51" i="2"/>
  <c r="BA52" i="2"/>
  <c r="BA53" i="2"/>
  <c r="BA54" i="2"/>
  <c r="BA55" i="2"/>
  <c r="BA56" i="2"/>
  <c r="BA57" i="2"/>
  <c r="BA58" i="2"/>
  <c r="BA59" i="2"/>
  <c r="BA60" i="2"/>
  <c r="BA61" i="2"/>
  <c r="BA62" i="2"/>
  <c r="BA63" i="2"/>
  <c r="BA64" i="2"/>
  <c r="BA65" i="2"/>
  <c r="BA66" i="2"/>
  <c r="BA67" i="2"/>
  <c r="BA68" i="2"/>
  <c r="BA69" i="2"/>
  <c r="BA70" i="2"/>
  <c r="BA71" i="2"/>
  <c r="BA72" i="2"/>
  <c r="BA73" i="2"/>
  <c r="BA74" i="2"/>
  <c r="BA75" i="2"/>
  <c r="BA76" i="2"/>
  <c r="BA77" i="2"/>
  <c r="BA78" i="2"/>
  <c r="BA79" i="2"/>
  <c r="BA80" i="2"/>
  <c r="BA81" i="2"/>
  <c r="BA82" i="2"/>
  <c r="BA83" i="2"/>
  <c r="BA84" i="2"/>
  <c r="BA85" i="2"/>
  <c r="BA86" i="2"/>
  <c r="BA87" i="2"/>
  <c r="BA88" i="2"/>
  <c r="BA89" i="2"/>
  <c r="BA90" i="2"/>
  <c r="BA91" i="2"/>
  <c r="BA92" i="2"/>
  <c r="BA93" i="2"/>
  <c r="BA94" i="2"/>
  <c r="BA95" i="2"/>
  <c r="BA96" i="2"/>
  <c r="BA97" i="2"/>
  <c r="BA98" i="2"/>
  <c r="BA99" i="2"/>
  <c r="BA100" i="2"/>
  <c r="BA101" i="2"/>
  <c r="BA102" i="2"/>
  <c r="BA103" i="2"/>
  <c r="BA104" i="2"/>
  <c r="BA105" i="2"/>
  <c r="BA106" i="2"/>
  <c r="BA107" i="2"/>
  <c r="BA108" i="2"/>
  <c r="BA109" i="2"/>
  <c r="BA110" i="2"/>
  <c r="BA111" i="2"/>
  <c r="BA112" i="2"/>
  <c r="BA113" i="2"/>
  <c r="BA114" i="2"/>
  <c r="BA115" i="2"/>
  <c r="BA116" i="2"/>
  <c r="BA117" i="2"/>
  <c r="BA118" i="2"/>
  <c r="BA119" i="2"/>
  <c r="BA120" i="2"/>
  <c r="BA121" i="2"/>
  <c r="BA122" i="2"/>
  <c r="BA123" i="2"/>
  <c r="BA124" i="2"/>
  <c r="BA125" i="2"/>
  <c r="BA126" i="2"/>
  <c r="BA127" i="2"/>
  <c r="BA128" i="2"/>
  <c r="BA129" i="2"/>
  <c r="BA130" i="2"/>
  <c r="BA131" i="2"/>
  <c r="BA132" i="2"/>
  <c r="BA133" i="2"/>
  <c r="BA134" i="2"/>
  <c r="BA135" i="2"/>
  <c r="BA136" i="2"/>
  <c r="BA137" i="2"/>
  <c r="BA138" i="2"/>
  <c r="BA139" i="2"/>
  <c r="BA140" i="2"/>
  <c r="BA141" i="2"/>
  <c r="BA142" i="2"/>
  <c r="BA143" i="2"/>
  <c r="BA144" i="2"/>
  <c r="BA145" i="2"/>
  <c r="BA146" i="2"/>
  <c r="BA147" i="2"/>
  <c r="BA148" i="2"/>
  <c r="BA149" i="2"/>
  <c r="BA150" i="2"/>
  <c r="BA151" i="2"/>
  <c r="BA152" i="2"/>
  <c r="BA153" i="2"/>
  <c r="BA154" i="2"/>
  <c r="BA155" i="2"/>
  <c r="BA156" i="2"/>
  <c r="BA157" i="2"/>
  <c r="BA158" i="2"/>
  <c r="BA159" i="2"/>
  <c r="BA160" i="2"/>
  <c r="BA161" i="2"/>
  <c r="BA162" i="2"/>
  <c r="BA163" i="2"/>
  <c r="BA164" i="2"/>
  <c r="BA165" i="2"/>
  <c r="BA166" i="2"/>
  <c r="BA167" i="2"/>
  <c r="BA168" i="2"/>
  <c r="BA169" i="2"/>
  <c r="BA170" i="2"/>
  <c r="BA171" i="2"/>
  <c r="BA172" i="2"/>
  <c r="BA173" i="2"/>
  <c r="BA174" i="2"/>
  <c r="BA175" i="2"/>
  <c r="BA176" i="2"/>
  <c r="BA177" i="2"/>
  <c r="BA178" i="2"/>
  <c r="BA179" i="2"/>
  <c r="BA180" i="2"/>
  <c r="BA181" i="2"/>
  <c r="BA182" i="2"/>
  <c r="BA183" i="2"/>
  <c r="BA184" i="2"/>
  <c r="BA185" i="2"/>
  <c r="BA186" i="2"/>
  <c r="BA187" i="2"/>
  <c r="BA188" i="2"/>
  <c r="BA189" i="2"/>
  <c r="BA190" i="2"/>
  <c r="BA191" i="2"/>
  <c r="BA192" i="2"/>
  <c r="BA193" i="2"/>
  <c r="BA194" i="2"/>
  <c r="BA195" i="2"/>
  <c r="BA196" i="2"/>
  <c r="BA197" i="2"/>
  <c r="BA198" i="2"/>
  <c r="BA199" i="2"/>
  <c r="BA200" i="2"/>
  <c r="BA201" i="2"/>
  <c r="BA202" i="2"/>
  <c r="BA203" i="2"/>
  <c r="BA204" i="2"/>
  <c r="BA205" i="2"/>
  <c r="BA206" i="2"/>
  <c r="BA207" i="2"/>
  <c r="BA208" i="2"/>
  <c r="BA209" i="2"/>
  <c r="BA210" i="2"/>
  <c r="BA211" i="2"/>
  <c r="BA212" i="2"/>
  <c r="BA213" i="2"/>
  <c r="BA214" i="2"/>
  <c r="BA215" i="2"/>
  <c r="BA216" i="2"/>
  <c r="BA217" i="2"/>
  <c r="BA218" i="2"/>
  <c r="BA219" i="2"/>
  <c r="BA220" i="2"/>
  <c r="BA221" i="2"/>
  <c r="BA222" i="2"/>
  <c r="BA223" i="2"/>
  <c r="BA224" i="2"/>
  <c r="BA225" i="2"/>
  <c r="BA226" i="2"/>
  <c r="BA227" i="2"/>
  <c r="BA228" i="2"/>
  <c r="BA229" i="2"/>
  <c r="BA230" i="2"/>
  <c r="BA231" i="2"/>
  <c r="BA232" i="2"/>
  <c r="BA233" i="2"/>
  <c r="BA234" i="2"/>
  <c r="BA235" i="2"/>
  <c r="BA236" i="2"/>
  <c r="BA237" i="2"/>
  <c r="BA238" i="2"/>
  <c r="BA239" i="2"/>
  <c r="BA240" i="2"/>
  <c r="BA241" i="2"/>
  <c r="BA242" i="2"/>
  <c r="BA243" i="2"/>
  <c r="BA244" i="2"/>
  <c r="BA245" i="2"/>
  <c r="BA246" i="2"/>
  <c r="BA247" i="2"/>
  <c r="BA248" i="2"/>
  <c r="BA249" i="2"/>
  <c r="BA250" i="2"/>
  <c r="BA251" i="2"/>
  <c r="BA252" i="2"/>
  <c r="BA253" i="2"/>
  <c r="BA254" i="2"/>
  <c r="BA255" i="2"/>
  <c r="BA256" i="2"/>
  <c r="BA257" i="2"/>
  <c r="BA258" i="2"/>
  <c r="BA259" i="2"/>
  <c r="BA260" i="2"/>
  <c r="BA261" i="2"/>
  <c r="BA262" i="2"/>
  <c r="BA263" i="2"/>
  <c r="BA264" i="2"/>
  <c r="BA265" i="2"/>
  <c r="BA266" i="2"/>
  <c r="BA267" i="2"/>
  <c r="BA268" i="2"/>
  <c r="BA269" i="2"/>
  <c r="BA270" i="2"/>
  <c r="BA271" i="2"/>
  <c r="BA272" i="2"/>
  <c r="BA273" i="2"/>
  <c r="BA274" i="2"/>
  <c r="BA275" i="2"/>
  <c r="BA276" i="2"/>
  <c r="BA277" i="2"/>
  <c r="BA278" i="2"/>
  <c r="BA279" i="2"/>
  <c r="BA280" i="2"/>
  <c r="BA281" i="2"/>
  <c r="BA282" i="2"/>
  <c r="BA283" i="2"/>
  <c r="BA284" i="2"/>
  <c r="BA285" i="2"/>
  <c r="BA286" i="2"/>
  <c r="BA287" i="2"/>
  <c r="BA288" i="2"/>
  <c r="BA289" i="2"/>
  <c r="BA290" i="2"/>
  <c r="BA291" i="2"/>
  <c r="BA292" i="2"/>
  <c r="BA293" i="2"/>
  <c r="BA294" i="2"/>
  <c r="BA295" i="2"/>
  <c r="BA296" i="2"/>
  <c r="BA297" i="2"/>
  <c r="BA298" i="2"/>
  <c r="BA299" i="2"/>
  <c r="BA300" i="2"/>
  <c r="BA301" i="2"/>
  <c r="BA302" i="2"/>
  <c r="BA303" i="2"/>
  <c r="BA304" i="2"/>
  <c r="BA305" i="2"/>
  <c r="BA306" i="2"/>
  <c r="BA307" i="2"/>
  <c r="BA308" i="2"/>
  <c r="BA309" i="2"/>
  <c r="BA310" i="2"/>
  <c r="BA311" i="2"/>
  <c r="BA312" i="2"/>
  <c r="BA313" i="2"/>
  <c r="BA314" i="2"/>
  <c r="BA315" i="2"/>
  <c r="BA316" i="2"/>
  <c r="BA317" i="2"/>
  <c r="BA318" i="2"/>
  <c r="BA319" i="2"/>
  <c r="BA320" i="2"/>
  <c r="BA321" i="2"/>
  <c r="BA322" i="2"/>
  <c r="BA323" i="2"/>
  <c r="BA324" i="2"/>
  <c r="BA325" i="2"/>
  <c r="BA326" i="2"/>
  <c r="BA327" i="2"/>
  <c r="BA328" i="2"/>
  <c r="BA329" i="2"/>
  <c r="BA330" i="2"/>
  <c r="BA331" i="2"/>
  <c r="BA332" i="2"/>
  <c r="BA333" i="2"/>
  <c r="BA334" i="2"/>
  <c r="BA335" i="2"/>
  <c r="BA336" i="2"/>
  <c r="BA337" i="2"/>
  <c r="BA338" i="2"/>
  <c r="BA339" i="2"/>
  <c r="BA340" i="2"/>
  <c r="BA341" i="2"/>
  <c r="BA342" i="2"/>
  <c r="BA343" i="2"/>
  <c r="BA344" i="2"/>
  <c r="BA345" i="2"/>
  <c r="BA346" i="2"/>
  <c r="BA347" i="2"/>
  <c r="BA348" i="2"/>
  <c r="BA349" i="2"/>
  <c r="BA350" i="2"/>
  <c r="BA351" i="2"/>
  <c r="BA352" i="2"/>
  <c r="BA353" i="2"/>
  <c r="BA354" i="2"/>
  <c r="BA355" i="2"/>
  <c r="BA356" i="2"/>
  <c r="BA357" i="2"/>
  <c r="BA358" i="2"/>
  <c r="BA359" i="2"/>
  <c r="BA360" i="2"/>
  <c r="BA361" i="2"/>
  <c r="BA362" i="2"/>
  <c r="BA363" i="2"/>
  <c r="BA364" i="2"/>
  <c r="BA365" i="2"/>
  <c r="BA366" i="2"/>
  <c r="BA367" i="2"/>
  <c r="BA368" i="2"/>
  <c r="BA369" i="2"/>
  <c r="BA370" i="2"/>
  <c r="BA371" i="2"/>
  <c r="BA372" i="2"/>
  <c r="BA373" i="2"/>
  <c r="BA374" i="2"/>
  <c r="BA375" i="2"/>
  <c r="BA376" i="2"/>
  <c r="BA377" i="2"/>
  <c r="BA378" i="2"/>
  <c r="BA379" i="2"/>
  <c r="BA380" i="2"/>
  <c r="BA381" i="2"/>
  <c r="BA382" i="2"/>
  <c r="BA383" i="2"/>
  <c r="BA384" i="2"/>
  <c r="BA385" i="2"/>
  <c r="BA386" i="2"/>
  <c r="BA387" i="2"/>
  <c r="BA388" i="2"/>
  <c r="BA389" i="2"/>
  <c r="BA390" i="2"/>
  <c r="BA391" i="2"/>
  <c r="BA392" i="2"/>
  <c r="BA393" i="2"/>
  <c r="BA394" i="2"/>
  <c r="BA395" i="2"/>
  <c r="BA396" i="2"/>
  <c r="BA397" i="2"/>
  <c r="BA398" i="2"/>
  <c r="BA399" i="2"/>
  <c r="BA400" i="2"/>
  <c r="BA401" i="2"/>
  <c r="BA402" i="2"/>
  <c r="BA403" i="2"/>
  <c r="BA404" i="2"/>
  <c r="BA405" i="2"/>
  <c r="BA406" i="2"/>
  <c r="BA407" i="2"/>
  <c r="BA408" i="2"/>
  <c r="BA409" i="2"/>
  <c r="BA410" i="2"/>
  <c r="BA411" i="2"/>
  <c r="BA412" i="2"/>
  <c r="BA413" i="2"/>
  <c r="BA414" i="2"/>
  <c r="BA415" i="2"/>
  <c r="BA416" i="2"/>
  <c r="BA417" i="2"/>
  <c r="BA418" i="2"/>
  <c r="BA419" i="2"/>
  <c r="BA420" i="2"/>
  <c r="BA421" i="2"/>
  <c r="BA422" i="2"/>
  <c r="BA423" i="2"/>
  <c r="BA424" i="2"/>
  <c r="BA425" i="2"/>
  <c r="BA426" i="2"/>
  <c r="BA427" i="2"/>
  <c r="BA428" i="2"/>
  <c r="BA429" i="2"/>
  <c r="BA430" i="2"/>
  <c r="BA431" i="2"/>
  <c r="BA432" i="2"/>
  <c r="BA433" i="2"/>
  <c r="BA434" i="2"/>
  <c r="BA435" i="2"/>
  <c r="BA436" i="2"/>
  <c r="BA437" i="2"/>
  <c r="BA438" i="2"/>
  <c r="BA439" i="2"/>
  <c r="BA440" i="2"/>
  <c r="BA441" i="2"/>
  <c r="BA442" i="2"/>
  <c r="BA443" i="2"/>
  <c r="BA444" i="2"/>
  <c r="BA445" i="2"/>
  <c r="BA446" i="2"/>
  <c r="BA447" i="2"/>
  <c r="BA448" i="2"/>
  <c r="BA449" i="2"/>
  <c r="BA450" i="2"/>
  <c r="BA451" i="2"/>
  <c r="BA452" i="2"/>
  <c r="BA453" i="2"/>
  <c r="BA454" i="2"/>
  <c r="BA455" i="2"/>
  <c r="BA456" i="2"/>
  <c r="BA457" i="2"/>
  <c r="BA458" i="2"/>
  <c r="BA459" i="2"/>
  <c r="BA460" i="2"/>
  <c r="BA461" i="2"/>
  <c r="BA462" i="2"/>
  <c r="BA463" i="2"/>
  <c r="BA464" i="2"/>
  <c r="BA465" i="2"/>
  <c r="BA466" i="2"/>
  <c r="BA467" i="2"/>
  <c r="BA468" i="2"/>
  <c r="BA469" i="2"/>
  <c r="BA470" i="2"/>
  <c r="BA471" i="2"/>
  <c r="BA472" i="2"/>
  <c r="BA473" i="2"/>
  <c r="BA474" i="2"/>
  <c r="BA475" i="2"/>
  <c r="BA476" i="2"/>
  <c r="BA477" i="2"/>
  <c r="BA478" i="2"/>
  <c r="BA479" i="2"/>
  <c r="BA480" i="2"/>
  <c r="BA481" i="2"/>
  <c r="BA482" i="2"/>
  <c r="BA483" i="2"/>
  <c r="BA484" i="2"/>
  <c r="BA485" i="2"/>
  <c r="BA486" i="2"/>
  <c r="BA487" i="2"/>
  <c r="BA488" i="2"/>
  <c r="BA489" i="2"/>
  <c r="BA490" i="2"/>
  <c r="BA491" i="2"/>
  <c r="BA492" i="2"/>
  <c r="BA493" i="2"/>
  <c r="BA494" i="2"/>
  <c r="BA495" i="2"/>
  <c r="BA496" i="2"/>
  <c r="BA497" i="2"/>
  <c r="BA498" i="2"/>
  <c r="BA499" i="2"/>
  <c r="BA500" i="2"/>
  <c r="BA501" i="2"/>
  <c r="BA502" i="2"/>
  <c r="BA503" i="2"/>
  <c r="BA504" i="2"/>
  <c r="BA505" i="2"/>
  <c r="BA506" i="2"/>
  <c r="BA507" i="2"/>
  <c r="BA508" i="2"/>
  <c r="BA509" i="2"/>
  <c r="BA510" i="2"/>
  <c r="BA511" i="2"/>
  <c r="BA512" i="2"/>
  <c r="BA513" i="2"/>
  <c r="BA514" i="2"/>
  <c r="BA515" i="2"/>
  <c r="BA516" i="2"/>
  <c r="BA517" i="2"/>
  <c r="BA518" i="2"/>
  <c r="BA519" i="2"/>
  <c r="BA520" i="2"/>
  <c r="BA521" i="2"/>
  <c r="BA522" i="2"/>
  <c r="BA523" i="2"/>
  <c r="BA524" i="2"/>
  <c r="BA525" i="2"/>
  <c r="BA526" i="2"/>
  <c r="BA527" i="2"/>
  <c r="BA528" i="2"/>
  <c r="BA529" i="2"/>
  <c r="BA530" i="2"/>
  <c r="BA531" i="2"/>
  <c r="BA532" i="2"/>
  <c r="BA533" i="2"/>
  <c r="BA534" i="2"/>
  <c r="BA535" i="2"/>
  <c r="BA536" i="2"/>
  <c r="BA537" i="2"/>
  <c r="BA538" i="2"/>
  <c r="BA539" i="2"/>
  <c r="BA540" i="2"/>
  <c r="BA541" i="2"/>
  <c r="BA542" i="2"/>
  <c r="BA543" i="2"/>
  <c r="BA544" i="2"/>
  <c r="BA545" i="2"/>
  <c r="BA546" i="2"/>
  <c r="BA547" i="2"/>
  <c r="BA548" i="2"/>
  <c r="BA549" i="2"/>
  <c r="BA550" i="2"/>
  <c r="BA551" i="2"/>
  <c r="BA552" i="2"/>
  <c r="BA553" i="2"/>
  <c r="BA554" i="2"/>
  <c r="BA555" i="2"/>
  <c r="BA556" i="2"/>
  <c r="BA557" i="2"/>
  <c r="BA558" i="2"/>
  <c r="BA559" i="2"/>
  <c r="BA560" i="2"/>
  <c r="BA561" i="2"/>
  <c r="BA562" i="2"/>
  <c r="BA563" i="2"/>
  <c r="BA564" i="2"/>
  <c r="BA565" i="2"/>
  <c r="BA566" i="2"/>
  <c r="BA567" i="2"/>
  <c r="BA568" i="2"/>
  <c r="BA569" i="2"/>
  <c r="BA570" i="2"/>
  <c r="BA571" i="2"/>
  <c r="BA572" i="2"/>
  <c r="BA573" i="2"/>
  <c r="BA574" i="2"/>
  <c r="BA575" i="2"/>
  <c r="BA576" i="2"/>
  <c r="BA577" i="2"/>
  <c r="BA578" i="2"/>
  <c r="BA579" i="2"/>
  <c r="BA580" i="2"/>
  <c r="BA581" i="2"/>
  <c r="BA582" i="2"/>
  <c r="BA583" i="2"/>
  <c r="BA584" i="2"/>
  <c r="BA585" i="2"/>
  <c r="BA586" i="2"/>
  <c r="BA587" i="2"/>
  <c r="BA588" i="2"/>
  <c r="BA589" i="2"/>
  <c r="BA590" i="2"/>
  <c r="BA591" i="2"/>
  <c r="BA592" i="2"/>
  <c r="BA593" i="2"/>
  <c r="BA594" i="2"/>
  <c r="BA595" i="2"/>
  <c r="BA596" i="2"/>
  <c r="BA597" i="2"/>
  <c r="BA598" i="2"/>
  <c r="BA599" i="2"/>
  <c r="BA600" i="2"/>
  <c r="BA601" i="2"/>
  <c r="BA602" i="2"/>
  <c r="BA603" i="2"/>
  <c r="BA604" i="2"/>
  <c r="BA605" i="2"/>
  <c r="BA606" i="2"/>
  <c r="BA607" i="2"/>
  <c r="BA608" i="2"/>
  <c r="BA609" i="2"/>
  <c r="BA610" i="2"/>
  <c r="BA611" i="2"/>
  <c r="BA612" i="2"/>
  <c r="BA613" i="2"/>
  <c r="BA614" i="2"/>
  <c r="BA615" i="2"/>
  <c r="BA616" i="2"/>
  <c r="BA617" i="2"/>
  <c r="BA618" i="2"/>
  <c r="BA619" i="2"/>
  <c r="BA620" i="2"/>
  <c r="BA621" i="2"/>
  <c r="BA622" i="2"/>
  <c r="BA623" i="2"/>
  <c r="BA624" i="2"/>
  <c r="BA625" i="2"/>
  <c r="BA626" i="2"/>
  <c r="BA627" i="2"/>
  <c r="BA628" i="2"/>
  <c r="BA629" i="2"/>
  <c r="BA630" i="2"/>
  <c r="BA631" i="2"/>
  <c r="BA632" i="2"/>
  <c r="BA633" i="2"/>
  <c r="BA634" i="2"/>
  <c r="BA635" i="2"/>
  <c r="BA636" i="2"/>
  <c r="BA637" i="2"/>
  <c r="BA638" i="2"/>
  <c r="BA639" i="2"/>
  <c r="BA640" i="2"/>
  <c r="BA641" i="2"/>
  <c r="BA642" i="2"/>
  <c r="BA643" i="2"/>
  <c r="BA644" i="2"/>
  <c r="BA645" i="2"/>
  <c r="BA646" i="2"/>
  <c r="BA647" i="2"/>
  <c r="BA648" i="2"/>
  <c r="BA649" i="2"/>
  <c r="BA650" i="2"/>
  <c r="BA651" i="2"/>
  <c r="BA652" i="2"/>
  <c r="BA653" i="2"/>
  <c r="BA654" i="2"/>
  <c r="BA655" i="2"/>
  <c r="BA656" i="2"/>
  <c r="BA657" i="2"/>
  <c r="BA658" i="2"/>
  <c r="BA659" i="2"/>
  <c r="BA660" i="2"/>
  <c r="BA661" i="2"/>
  <c r="BA662" i="2"/>
  <c r="BA663" i="2"/>
  <c r="BA664" i="2"/>
  <c r="BA665" i="2"/>
  <c r="BA666" i="2"/>
  <c r="BA667" i="2"/>
  <c r="BA668" i="2"/>
  <c r="BA669" i="2"/>
  <c r="BA670" i="2"/>
  <c r="BA671" i="2"/>
  <c r="BA672" i="2"/>
  <c r="BA673" i="2"/>
  <c r="BA674" i="2"/>
  <c r="BA675" i="2"/>
  <c r="BA676" i="2"/>
  <c r="BA677" i="2"/>
  <c r="BA678" i="2"/>
  <c r="BA679" i="2"/>
  <c r="BA680" i="2"/>
  <c r="BA681" i="2"/>
  <c r="BA682" i="2"/>
  <c r="BA683" i="2"/>
  <c r="BA684" i="2"/>
  <c r="BA685" i="2"/>
  <c r="BA686" i="2"/>
  <c r="BA687" i="2"/>
  <c r="BA688" i="2"/>
  <c r="BA689" i="2"/>
  <c r="BA690" i="2"/>
  <c r="BA691" i="2"/>
  <c r="BA692" i="2"/>
  <c r="BA693" i="2"/>
  <c r="BA694" i="2"/>
  <c r="BA695" i="2"/>
  <c r="BA696" i="2"/>
  <c r="BA697" i="2"/>
  <c r="BA698" i="2"/>
  <c r="BA699" i="2"/>
  <c r="BA700" i="2"/>
  <c r="BA701" i="2"/>
  <c r="BA702" i="2"/>
  <c r="BA703" i="2"/>
  <c r="BA704" i="2"/>
  <c r="BA705" i="2"/>
  <c r="BA706" i="2"/>
  <c r="BA707" i="2"/>
  <c r="BA708" i="2"/>
  <c r="BA709" i="2"/>
  <c r="BA710" i="2"/>
  <c r="BA711" i="2"/>
  <c r="BA712" i="2"/>
  <c r="BA713" i="2"/>
  <c r="BA714" i="2"/>
  <c r="BA715" i="2"/>
  <c r="BA716" i="2"/>
  <c r="BA717" i="2"/>
  <c r="BA718" i="2"/>
  <c r="BA719" i="2"/>
  <c r="BA720" i="2"/>
  <c r="BA721" i="2"/>
  <c r="BA722" i="2"/>
  <c r="BA723" i="2"/>
  <c r="BA724" i="2"/>
  <c r="BA725" i="2"/>
  <c r="BA726" i="2"/>
  <c r="BA727" i="2"/>
  <c r="BA728" i="2"/>
  <c r="BA729" i="2"/>
  <c r="BA730" i="2"/>
  <c r="BA731" i="2"/>
  <c r="BA732" i="2"/>
  <c r="BA733" i="2"/>
  <c r="BA734" i="2"/>
  <c r="BA735" i="2"/>
  <c r="BA736" i="2"/>
  <c r="BA737" i="2"/>
  <c r="BA738" i="2"/>
  <c r="BA739" i="2"/>
  <c r="BA740" i="2"/>
  <c r="BA741" i="2"/>
  <c r="BA742" i="2"/>
  <c r="BA743" i="2"/>
  <c r="BA744" i="2"/>
  <c r="BA745" i="2"/>
  <c r="BA746" i="2"/>
  <c r="BA747" i="2"/>
  <c r="BA748" i="2"/>
  <c r="BA749" i="2"/>
  <c r="BA750" i="2"/>
  <c r="BA751" i="2"/>
  <c r="BA752" i="2"/>
  <c r="BA753" i="2"/>
  <c r="BA754" i="2"/>
  <c r="BA755" i="2"/>
  <c r="BA756" i="2"/>
  <c r="BA757" i="2"/>
  <c r="BA758" i="2"/>
  <c r="BA759" i="2"/>
  <c r="BA760" i="2"/>
  <c r="BA761" i="2"/>
  <c r="BA762" i="2"/>
  <c r="BA763" i="2"/>
  <c r="BA764" i="2"/>
  <c r="BA765" i="2"/>
  <c r="BA766" i="2"/>
  <c r="BA767" i="2"/>
  <c r="BA768" i="2"/>
  <c r="BA769" i="2"/>
  <c r="BA770" i="2"/>
  <c r="BA771" i="2"/>
  <c r="BA772" i="2"/>
  <c r="BA773" i="2"/>
  <c r="BA774" i="2"/>
  <c r="BA775" i="2"/>
  <c r="BA776" i="2"/>
  <c r="BA777" i="2"/>
  <c r="BA778" i="2"/>
  <c r="BA779" i="2"/>
  <c r="BA780" i="2"/>
  <c r="BA781" i="2"/>
  <c r="BA782" i="2"/>
  <c r="BA783" i="2"/>
  <c r="BA784" i="2"/>
  <c r="BA785" i="2"/>
  <c r="BA786" i="2"/>
  <c r="BA787" i="2"/>
  <c r="BA788" i="2"/>
  <c r="BA789" i="2"/>
  <c r="BA790" i="2"/>
  <c r="BA791" i="2"/>
  <c r="BA792" i="2"/>
  <c r="BA793" i="2"/>
  <c r="BA794" i="2"/>
  <c r="BA795" i="2"/>
  <c r="BA796" i="2"/>
  <c r="BA797" i="2"/>
  <c r="BA798" i="2"/>
  <c r="BA799" i="2"/>
  <c r="BA800" i="2"/>
  <c r="BA801" i="2"/>
  <c r="BA802" i="2"/>
  <c r="BA803" i="2"/>
  <c r="BA804" i="2"/>
  <c r="BA805" i="2"/>
  <c r="BA806" i="2"/>
  <c r="BA807" i="2"/>
  <c r="BA808" i="2"/>
  <c r="BA809" i="2"/>
  <c r="BA810" i="2"/>
  <c r="BA811" i="2"/>
  <c r="BA812" i="2"/>
  <c r="BA813" i="2"/>
  <c r="BA814" i="2"/>
  <c r="BA815" i="2"/>
  <c r="BA816" i="2"/>
  <c r="BA817" i="2"/>
  <c r="BA818" i="2"/>
  <c r="BA819" i="2"/>
  <c r="BA820" i="2"/>
  <c r="BA821" i="2"/>
  <c r="BA822" i="2"/>
  <c r="BA823" i="2"/>
  <c r="BA824" i="2"/>
  <c r="BA825" i="2"/>
  <c r="BA826" i="2"/>
  <c r="BA827" i="2"/>
  <c r="BA828" i="2"/>
  <c r="BA829" i="2"/>
  <c r="BA830" i="2"/>
  <c r="BA831" i="2"/>
  <c r="BA832" i="2"/>
  <c r="BA833" i="2"/>
  <c r="BA834" i="2"/>
  <c r="BA835" i="2"/>
  <c r="BA836" i="2"/>
  <c r="BA837" i="2"/>
  <c r="BA838" i="2"/>
  <c r="BA839" i="2"/>
  <c r="BA840" i="2"/>
  <c r="BA841" i="2"/>
  <c r="BA842" i="2"/>
  <c r="BA843" i="2"/>
  <c r="BA844" i="2"/>
  <c r="BA845" i="2"/>
  <c r="BA846" i="2"/>
  <c r="BA847" i="2"/>
  <c r="BA848" i="2"/>
  <c r="BA849" i="2"/>
  <c r="BA850" i="2"/>
  <c r="BA851" i="2"/>
  <c r="BA852" i="2"/>
  <c r="BA853" i="2"/>
  <c r="BA854" i="2"/>
  <c r="BA855" i="2"/>
  <c r="BA856" i="2"/>
  <c r="BA857" i="2"/>
  <c r="BA858" i="2"/>
  <c r="BA859" i="2"/>
  <c r="BA860" i="2"/>
  <c r="BA861" i="2"/>
  <c r="BA862" i="2"/>
  <c r="BA863" i="2"/>
  <c r="BA864" i="2"/>
  <c r="BA865" i="2"/>
  <c r="BA866" i="2"/>
  <c r="BA867" i="2"/>
  <c r="BA868" i="2"/>
  <c r="BA869" i="2"/>
  <c r="BA870" i="2"/>
  <c r="BA871" i="2"/>
  <c r="BA872" i="2"/>
  <c r="BA873" i="2"/>
  <c r="BA874" i="2"/>
  <c r="BA875" i="2"/>
  <c r="BA876" i="2"/>
  <c r="BA877" i="2"/>
  <c r="BA878" i="2"/>
  <c r="BA879" i="2"/>
  <c r="BA880" i="2"/>
  <c r="BA881" i="2"/>
  <c r="BA882" i="2"/>
  <c r="BA883" i="2"/>
  <c r="BA884" i="2"/>
  <c r="BA885" i="2"/>
  <c r="BA886" i="2"/>
  <c r="BA887" i="2"/>
  <c r="BA888" i="2"/>
  <c r="BA889" i="2"/>
  <c r="BA890" i="2"/>
  <c r="BA891" i="2"/>
  <c r="BA892" i="2"/>
  <c r="BA893" i="2"/>
  <c r="BA894" i="2"/>
  <c r="BA895" i="2"/>
  <c r="BA896" i="2"/>
  <c r="BA897" i="2"/>
  <c r="BA898" i="2"/>
  <c r="BA899" i="2"/>
  <c r="BA900" i="2"/>
  <c r="BA901" i="2"/>
  <c r="BA902" i="2"/>
  <c r="BA903" i="2"/>
  <c r="BA904" i="2"/>
  <c r="BA905" i="2"/>
  <c r="BA906" i="2"/>
  <c r="BA907" i="2"/>
  <c r="BA908" i="2"/>
  <c r="BA909" i="2"/>
  <c r="BA910" i="2"/>
  <c r="BA911" i="2"/>
  <c r="BA912" i="2"/>
  <c r="BA913" i="2"/>
  <c r="BA914" i="2"/>
  <c r="BA915" i="2"/>
  <c r="BA916" i="2"/>
  <c r="BA917" i="2"/>
  <c r="BA918" i="2"/>
  <c r="BA919" i="2"/>
  <c r="BA920" i="2"/>
  <c r="BA921" i="2"/>
  <c r="BA922" i="2"/>
  <c r="BA923" i="2"/>
  <c r="BA924" i="2"/>
  <c r="BA925" i="2"/>
  <c r="BA926" i="2"/>
  <c r="BA927" i="2"/>
  <c r="BA928" i="2"/>
  <c r="BA929" i="2"/>
  <c r="BA930" i="2"/>
  <c r="BA931" i="2"/>
  <c r="BA932" i="2"/>
  <c r="BA933" i="2"/>
  <c r="BA934" i="2"/>
  <c r="BA935" i="2"/>
  <c r="BA936" i="2"/>
  <c r="BA937" i="2"/>
  <c r="BA938" i="2"/>
  <c r="BA939" i="2"/>
  <c r="BA940" i="2"/>
  <c r="BA941" i="2"/>
  <c r="BA942" i="2"/>
  <c r="BA943" i="2"/>
  <c r="BA944" i="2"/>
  <c r="BA945" i="2"/>
  <c r="BA946" i="2"/>
  <c r="BA947" i="2"/>
  <c r="BA948" i="2"/>
  <c r="BA949" i="2"/>
  <c r="BA950" i="2"/>
  <c r="BA951" i="2"/>
  <c r="BA952" i="2"/>
  <c r="BA953" i="2"/>
  <c r="BA954" i="2"/>
  <c r="BA955" i="2"/>
  <c r="BA956" i="2"/>
  <c r="BA957" i="2"/>
  <c r="BA958" i="2"/>
  <c r="BA959" i="2"/>
  <c r="BA960" i="2"/>
  <c r="BA961" i="2"/>
  <c r="BA962" i="2"/>
  <c r="BA963" i="2"/>
  <c r="BA964" i="2"/>
  <c r="BA965" i="2"/>
  <c r="BA966" i="2"/>
  <c r="BA967" i="2"/>
  <c r="BA968" i="2"/>
  <c r="BA969" i="2"/>
  <c r="BA970" i="2"/>
  <c r="BA971" i="2"/>
  <c r="BA972" i="2"/>
  <c r="BA973" i="2"/>
  <c r="BA974" i="2"/>
  <c r="BA975" i="2"/>
  <c r="BA976" i="2"/>
  <c r="BA977" i="2"/>
  <c r="BA978" i="2"/>
  <c r="BA979" i="2"/>
  <c r="BA980" i="2"/>
  <c r="BA981" i="2"/>
  <c r="BA982" i="2"/>
  <c r="BA983" i="2"/>
  <c r="BA984" i="2"/>
  <c r="BA985" i="2"/>
  <c r="BA986" i="2"/>
  <c r="BA987" i="2"/>
  <c r="BA988" i="2"/>
  <c r="BA989" i="2"/>
  <c r="BA990" i="2"/>
  <c r="BA991" i="2"/>
  <c r="BA992" i="2"/>
  <c r="BA993" i="2"/>
  <c r="BA994" i="2"/>
  <c r="BA995" i="2"/>
  <c r="BA996" i="2"/>
  <c r="BA997" i="2"/>
  <c r="BA998" i="2"/>
  <c r="BA999" i="2"/>
  <c r="BA1000" i="2"/>
  <c r="BA1001" i="2"/>
  <c r="BA1002" i="2"/>
  <c r="BE3" i="2"/>
  <c r="BF3" i="2" s="1"/>
  <c r="BE4" i="2"/>
  <c r="BF4" i="2" s="1"/>
  <c r="BE5" i="2"/>
  <c r="BF5" i="2" s="1"/>
  <c r="BE6" i="2"/>
  <c r="BF6" i="2" s="1"/>
  <c r="BE7" i="2"/>
  <c r="BF7" i="2" s="1"/>
  <c r="BE8" i="2"/>
  <c r="BF8" i="2" s="1"/>
  <c r="BE9" i="2"/>
  <c r="BF9" i="2" s="1"/>
  <c r="BE10" i="2"/>
  <c r="BF10" i="2" s="1"/>
  <c r="BE11" i="2"/>
  <c r="BF11" i="2" s="1"/>
  <c r="BE12" i="2"/>
  <c r="BF12" i="2" s="1"/>
  <c r="BE13" i="2"/>
  <c r="BF13" i="2" s="1"/>
  <c r="BE14" i="2"/>
  <c r="BF14" i="2" s="1"/>
  <c r="BE15" i="2"/>
  <c r="BF15" i="2" s="1"/>
  <c r="BE16" i="2"/>
  <c r="BF16" i="2" s="1"/>
  <c r="BE17" i="2"/>
  <c r="BF17" i="2" s="1"/>
  <c r="BE18" i="2"/>
  <c r="BF18" i="2" s="1"/>
  <c r="BE19" i="2"/>
  <c r="BF19" i="2" s="1"/>
  <c r="BE20" i="2"/>
  <c r="BF20" i="2" s="1"/>
  <c r="BE21" i="2"/>
  <c r="BF21" i="2" s="1"/>
  <c r="BE22" i="2"/>
  <c r="BF22" i="2" s="1"/>
  <c r="BE23" i="2"/>
  <c r="BF23" i="2" s="1"/>
  <c r="BE24" i="2"/>
  <c r="BF24" i="2" s="1"/>
  <c r="BE25" i="2"/>
  <c r="BF25" i="2" s="1"/>
  <c r="BE26" i="2"/>
  <c r="BF26" i="2" s="1"/>
  <c r="BE27" i="2"/>
  <c r="BF27" i="2" s="1"/>
  <c r="BE28" i="2"/>
  <c r="BF28" i="2" s="1"/>
  <c r="BE29" i="2"/>
  <c r="BF29" i="2" s="1"/>
  <c r="BE30" i="2"/>
  <c r="BF30" i="2" s="1"/>
  <c r="BE31" i="2"/>
  <c r="BF31" i="2" s="1"/>
  <c r="BE32" i="2"/>
  <c r="BF32" i="2" s="1"/>
  <c r="BE33" i="2"/>
  <c r="BF33" i="2" s="1"/>
  <c r="BE34" i="2"/>
  <c r="BF34" i="2" s="1"/>
  <c r="BE35" i="2"/>
  <c r="BF35" i="2" s="1"/>
  <c r="BE36" i="2"/>
  <c r="BF36" i="2" s="1"/>
  <c r="BE37" i="2"/>
  <c r="BF37" i="2" s="1"/>
  <c r="BE38" i="2"/>
  <c r="BF38" i="2" s="1"/>
  <c r="BE39" i="2"/>
  <c r="BF39" i="2" s="1"/>
  <c r="BE40" i="2"/>
  <c r="BF40" i="2" s="1"/>
  <c r="BE41" i="2"/>
  <c r="BF41" i="2" s="1"/>
  <c r="BE42" i="2"/>
  <c r="BF42" i="2" s="1"/>
  <c r="BE43" i="2"/>
  <c r="BF43" i="2" s="1"/>
  <c r="BE44" i="2"/>
  <c r="BF44" i="2" s="1"/>
  <c r="BE45" i="2"/>
  <c r="BF45" i="2" s="1"/>
  <c r="BE46" i="2"/>
  <c r="BF46" i="2" s="1"/>
  <c r="BE47" i="2"/>
  <c r="BF47" i="2" s="1"/>
  <c r="BE48" i="2"/>
  <c r="BF48" i="2" s="1"/>
  <c r="BE49" i="2"/>
  <c r="BF49" i="2" s="1"/>
  <c r="BE50" i="2"/>
  <c r="BF50" i="2" s="1"/>
  <c r="BE51" i="2"/>
  <c r="BF51" i="2" s="1"/>
  <c r="BE52" i="2"/>
  <c r="BF52" i="2" s="1"/>
  <c r="BE53" i="2"/>
  <c r="BF53" i="2" s="1"/>
  <c r="BE54" i="2"/>
  <c r="BF54" i="2" s="1"/>
  <c r="BE55" i="2"/>
  <c r="BF55" i="2" s="1"/>
  <c r="BE56" i="2"/>
  <c r="BF56" i="2" s="1"/>
  <c r="BE57" i="2"/>
  <c r="BF57" i="2" s="1"/>
  <c r="BE58" i="2"/>
  <c r="BF58" i="2" s="1"/>
  <c r="BE59" i="2"/>
  <c r="BF59" i="2" s="1"/>
  <c r="BE60" i="2"/>
  <c r="BF60" i="2" s="1"/>
  <c r="BE61" i="2"/>
  <c r="BF61" i="2" s="1"/>
  <c r="BE62" i="2"/>
  <c r="BF62" i="2" s="1"/>
  <c r="BE63" i="2"/>
  <c r="BF63" i="2" s="1"/>
  <c r="BE64" i="2"/>
  <c r="BF64" i="2" s="1"/>
  <c r="BE65" i="2"/>
  <c r="BF65" i="2" s="1"/>
  <c r="BE66" i="2"/>
  <c r="BF66" i="2" s="1"/>
  <c r="BE67" i="2"/>
  <c r="BF67" i="2" s="1"/>
  <c r="BE68" i="2"/>
  <c r="BF68" i="2" s="1"/>
  <c r="BE69" i="2"/>
  <c r="BF69" i="2" s="1"/>
  <c r="BE70" i="2"/>
  <c r="BF70" i="2" s="1"/>
  <c r="BE71" i="2"/>
  <c r="BF71" i="2" s="1"/>
  <c r="BE72" i="2"/>
  <c r="BF72" i="2" s="1"/>
  <c r="BE73" i="2"/>
  <c r="BF73" i="2" s="1"/>
  <c r="BE74" i="2"/>
  <c r="BF74" i="2" s="1"/>
  <c r="BE75" i="2"/>
  <c r="BF75" i="2" s="1"/>
  <c r="BE76" i="2"/>
  <c r="BF76" i="2" s="1"/>
  <c r="BE77" i="2"/>
  <c r="BF77" i="2" s="1"/>
  <c r="BE78" i="2"/>
  <c r="BF78" i="2" s="1"/>
  <c r="BE79" i="2"/>
  <c r="BF79" i="2" s="1"/>
  <c r="BE80" i="2"/>
  <c r="BF80" i="2" s="1"/>
  <c r="BE81" i="2"/>
  <c r="BF81" i="2" s="1"/>
  <c r="BE82" i="2"/>
  <c r="BF82" i="2" s="1"/>
  <c r="BE83" i="2"/>
  <c r="BF83" i="2" s="1"/>
  <c r="BE84" i="2"/>
  <c r="BF84" i="2" s="1"/>
  <c r="BE85" i="2"/>
  <c r="BF85" i="2" s="1"/>
  <c r="BE86" i="2"/>
  <c r="BF86" i="2" s="1"/>
  <c r="BE87" i="2"/>
  <c r="BF87" i="2" s="1"/>
  <c r="BE88" i="2"/>
  <c r="BF88" i="2" s="1"/>
  <c r="BE89" i="2"/>
  <c r="BF89" i="2" s="1"/>
  <c r="BE90" i="2"/>
  <c r="BF90" i="2" s="1"/>
  <c r="BE91" i="2"/>
  <c r="BF91" i="2" s="1"/>
  <c r="BE92" i="2"/>
  <c r="BF92" i="2" s="1"/>
  <c r="BE93" i="2"/>
  <c r="BF93" i="2" s="1"/>
  <c r="BE94" i="2"/>
  <c r="BF94" i="2" s="1"/>
  <c r="BE95" i="2"/>
  <c r="BF95" i="2" s="1"/>
  <c r="BE96" i="2"/>
  <c r="BF96" i="2" s="1"/>
  <c r="BE97" i="2"/>
  <c r="BF97" i="2" s="1"/>
  <c r="BE98" i="2"/>
  <c r="BF98" i="2" s="1"/>
  <c r="BE99" i="2"/>
  <c r="BF99" i="2" s="1"/>
  <c r="BE100" i="2"/>
  <c r="BF100" i="2" s="1"/>
  <c r="BE101" i="2"/>
  <c r="BF101" i="2" s="1"/>
  <c r="BE102" i="2"/>
  <c r="BF102" i="2" s="1"/>
  <c r="BE103" i="2"/>
  <c r="BF103" i="2" s="1"/>
  <c r="BE104" i="2"/>
  <c r="BF104" i="2" s="1"/>
  <c r="BE105" i="2"/>
  <c r="BF105" i="2" s="1"/>
  <c r="BE106" i="2"/>
  <c r="BF106" i="2" s="1"/>
  <c r="BE107" i="2"/>
  <c r="BF107" i="2" s="1"/>
  <c r="BE108" i="2"/>
  <c r="BF108" i="2" s="1"/>
  <c r="BE109" i="2"/>
  <c r="BF109" i="2" s="1"/>
  <c r="BE110" i="2"/>
  <c r="BF110" i="2" s="1"/>
  <c r="BE111" i="2"/>
  <c r="BF111" i="2" s="1"/>
  <c r="BE112" i="2"/>
  <c r="BF112" i="2" s="1"/>
  <c r="BE113" i="2"/>
  <c r="BF113" i="2" s="1"/>
  <c r="BE114" i="2"/>
  <c r="BF114" i="2" s="1"/>
  <c r="BE115" i="2"/>
  <c r="BF115" i="2" s="1"/>
  <c r="BE116" i="2"/>
  <c r="BF116" i="2" s="1"/>
  <c r="BE117" i="2"/>
  <c r="BF117" i="2" s="1"/>
  <c r="BE118" i="2"/>
  <c r="BF118" i="2" s="1"/>
  <c r="BE119" i="2"/>
  <c r="BF119" i="2" s="1"/>
  <c r="BE120" i="2"/>
  <c r="BF120" i="2" s="1"/>
  <c r="BE121" i="2"/>
  <c r="BF121" i="2" s="1"/>
  <c r="BE122" i="2"/>
  <c r="BF122" i="2" s="1"/>
  <c r="BE123" i="2"/>
  <c r="BF123" i="2" s="1"/>
  <c r="BE124" i="2"/>
  <c r="BF124" i="2" s="1"/>
  <c r="BE125" i="2"/>
  <c r="BF125" i="2" s="1"/>
  <c r="BE126" i="2"/>
  <c r="BF126" i="2" s="1"/>
  <c r="BE127" i="2"/>
  <c r="BF127" i="2" s="1"/>
  <c r="BE128" i="2"/>
  <c r="BF128" i="2" s="1"/>
  <c r="BE129" i="2"/>
  <c r="BF129" i="2" s="1"/>
  <c r="BE130" i="2"/>
  <c r="BF130" i="2" s="1"/>
  <c r="BE131" i="2"/>
  <c r="BF131" i="2" s="1"/>
  <c r="BE132" i="2"/>
  <c r="BF132" i="2" s="1"/>
  <c r="BE133" i="2"/>
  <c r="BF133" i="2" s="1"/>
  <c r="BE134" i="2"/>
  <c r="BF134" i="2" s="1"/>
  <c r="BE135" i="2"/>
  <c r="BF135" i="2" s="1"/>
  <c r="BE136" i="2"/>
  <c r="BF136" i="2" s="1"/>
  <c r="BE137" i="2"/>
  <c r="BF137" i="2" s="1"/>
  <c r="BE138" i="2"/>
  <c r="BF138" i="2" s="1"/>
  <c r="BE139" i="2"/>
  <c r="BF139" i="2" s="1"/>
  <c r="BE140" i="2"/>
  <c r="BF140" i="2" s="1"/>
  <c r="BE141" i="2"/>
  <c r="BF141" i="2" s="1"/>
  <c r="BE142" i="2"/>
  <c r="BF142" i="2" s="1"/>
  <c r="BE143" i="2"/>
  <c r="BF143" i="2" s="1"/>
  <c r="BE144" i="2"/>
  <c r="BF144" i="2" s="1"/>
  <c r="BE145" i="2"/>
  <c r="BF145" i="2" s="1"/>
  <c r="BE146" i="2"/>
  <c r="BF146" i="2" s="1"/>
  <c r="BE147" i="2"/>
  <c r="BF147" i="2" s="1"/>
  <c r="BE148" i="2"/>
  <c r="BF148" i="2" s="1"/>
  <c r="BE149" i="2"/>
  <c r="BF149" i="2" s="1"/>
  <c r="BE150" i="2"/>
  <c r="BF150" i="2" s="1"/>
  <c r="BE151" i="2"/>
  <c r="BF151" i="2" s="1"/>
  <c r="BE152" i="2"/>
  <c r="BF152" i="2" s="1"/>
  <c r="BE153" i="2"/>
  <c r="BF153" i="2" s="1"/>
  <c r="BE154" i="2"/>
  <c r="BF154" i="2" s="1"/>
  <c r="BE155" i="2"/>
  <c r="BF155" i="2" s="1"/>
  <c r="BE156" i="2"/>
  <c r="BF156" i="2" s="1"/>
  <c r="BE157" i="2"/>
  <c r="BF157" i="2" s="1"/>
  <c r="BE158" i="2"/>
  <c r="BF158" i="2" s="1"/>
  <c r="BE159" i="2"/>
  <c r="BF159" i="2" s="1"/>
  <c r="BE160" i="2"/>
  <c r="BF160" i="2" s="1"/>
  <c r="BE161" i="2"/>
  <c r="BF161" i="2" s="1"/>
  <c r="BE162" i="2"/>
  <c r="BF162" i="2" s="1"/>
  <c r="BE163" i="2"/>
  <c r="BF163" i="2" s="1"/>
  <c r="BE164" i="2"/>
  <c r="BF164" i="2" s="1"/>
  <c r="BE165" i="2"/>
  <c r="BF165" i="2" s="1"/>
  <c r="BE166" i="2"/>
  <c r="BF166" i="2" s="1"/>
  <c r="BE167" i="2"/>
  <c r="BF167" i="2" s="1"/>
  <c r="BE168" i="2"/>
  <c r="BF168" i="2" s="1"/>
  <c r="BE169" i="2"/>
  <c r="BF169" i="2" s="1"/>
  <c r="BE170" i="2"/>
  <c r="BF170" i="2" s="1"/>
  <c r="BE171" i="2"/>
  <c r="BF171" i="2" s="1"/>
  <c r="BE172" i="2"/>
  <c r="BF172" i="2" s="1"/>
  <c r="BE173" i="2"/>
  <c r="BF173" i="2" s="1"/>
  <c r="BE174" i="2"/>
  <c r="BF174" i="2" s="1"/>
  <c r="BE175" i="2"/>
  <c r="BF175" i="2" s="1"/>
  <c r="BE176" i="2"/>
  <c r="BF176" i="2" s="1"/>
  <c r="BE177" i="2"/>
  <c r="BF177" i="2" s="1"/>
  <c r="BE178" i="2"/>
  <c r="BF178" i="2" s="1"/>
  <c r="BE179" i="2"/>
  <c r="BF179" i="2" s="1"/>
  <c r="BE180" i="2"/>
  <c r="BF180" i="2" s="1"/>
  <c r="BE181" i="2"/>
  <c r="BF181" i="2" s="1"/>
  <c r="BE182" i="2"/>
  <c r="BF182" i="2" s="1"/>
  <c r="BE183" i="2"/>
  <c r="BF183" i="2" s="1"/>
  <c r="BE184" i="2"/>
  <c r="BF184" i="2" s="1"/>
  <c r="BE185" i="2"/>
  <c r="BF185" i="2" s="1"/>
  <c r="BE186" i="2"/>
  <c r="BF186" i="2" s="1"/>
  <c r="BE187" i="2"/>
  <c r="BF187" i="2" s="1"/>
  <c r="BE188" i="2"/>
  <c r="BF188" i="2" s="1"/>
  <c r="BE189" i="2"/>
  <c r="BF189" i="2" s="1"/>
  <c r="BE190" i="2"/>
  <c r="BF190" i="2" s="1"/>
  <c r="BE191" i="2"/>
  <c r="BF191" i="2" s="1"/>
  <c r="BE192" i="2"/>
  <c r="BF192" i="2" s="1"/>
  <c r="BE193" i="2"/>
  <c r="BF193" i="2" s="1"/>
  <c r="BE194" i="2"/>
  <c r="BF194" i="2" s="1"/>
  <c r="BE195" i="2"/>
  <c r="BF195" i="2" s="1"/>
  <c r="BE196" i="2"/>
  <c r="BF196" i="2" s="1"/>
  <c r="BE197" i="2"/>
  <c r="BF197" i="2" s="1"/>
  <c r="BE198" i="2"/>
  <c r="BF198" i="2" s="1"/>
  <c r="BE199" i="2"/>
  <c r="BF199" i="2" s="1"/>
  <c r="BE200" i="2"/>
  <c r="BF200" i="2" s="1"/>
  <c r="BE201" i="2"/>
  <c r="BF201" i="2" s="1"/>
  <c r="BE202" i="2"/>
  <c r="BF202" i="2" s="1"/>
  <c r="BE203" i="2"/>
  <c r="BF203" i="2" s="1"/>
  <c r="BE204" i="2"/>
  <c r="BF204" i="2" s="1"/>
  <c r="BE205" i="2"/>
  <c r="BF205" i="2" s="1"/>
  <c r="BE206" i="2"/>
  <c r="BF206" i="2" s="1"/>
  <c r="BE207" i="2"/>
  <c r="BF207" i="2" s="1"/>
  <c r="BE208" i="2"/>
  <c r="BF208" i="2" s="1"/>
  <c r="BE209" i="2"/>
  <c r="BF209" i="2" s="1"/>
  <c r="BE210" i="2"/>
  <c r="BF210" i="2" s="1"/>
  <c r="BE211" i="2"/>
  <c r="BF211" i="2" s="1"/>
  <c r="BE212" i="2"/>
  <c r="BF212" i="2" s="1"/>
  <c r="BE213" i="2"/>
  <c r="BF213" i="2" s="1"/>
  <c r="BE214" i="2"/>
  <c r="BF214" i="2" s="1"/>
  <c r="BE215" i="2"/>
  <c r="BF215" i="2" s="1"/>
  <c r="BE216" i="2"/>
  <c r="BF216" i="2" s="1"/>
  <c r="BE217" i="2"/>
  <c r="BF217" i="2" s="1"/>
  <c r="BE218" i="2"/>
  <c r="BF218" i="2" s="1"/>
  <c r="BE219" i="2"/>
  <c r="BF219" i="2" s="1"/>
  <c r="BE220" i="2"/>
  <c r="BF220" i="2" s="1"/>
  <c r="BE221" i="2"/>
  <c r="BF221" i="2" s="1"/>
  <c r="BE222" i="2"/>
  <c r="BF222" i="2" s="1"/>
  <c r="BE223" i="2"/>
  <c r="BF223" i="2" s="1"/>
  <c r="BE224" i="2"/>
  <c r="BF224" i="2" s="1"/>
  <c r="BE225" i="2"/>
  <c r="BF225" i="2" s="1"/>
  <c r="BE226" i="2"/>
  <c r="BF226" i="2" s="1"/>
  <c r="BE227" i="2"/>
  <c r="BF227" i="2" s="1"/>
  <c r="BE228" i="2"/>
  <c r="BF228" i="2" s="1"/>
  <c r="BE229" i="2"/>
  <c r="BF229" i="2" s="1"/>
  <c r="BE230" i="2"/>
  <c r="BF230" i="2" s="1"/>
  <c r="BE231" i="2"/>
  <c r="BF231" i="2" s="1"/>
  <c r="BE232" i="2"/>
  <c r="BF232" i="2" s="1"/>
  <c r="BE233" i="2"/>
  <c r="BF233" i="2" s="1"/>
  <c r="BE234" i="2"/>
  <c r="BF234" i="2" s="1"/>
  <c r="BE235" i="2"/>
  <c r="BF235" i="2" s="1"/>
  <c r="BE236" i="2"/>
  <c r="BF236" i="2" s="1"/>
  <c r="BE237" i="2"/>
  <c r="BF237" i="2" s="1"/>
  <c r="BE238" i="2"/>
  <c r="BF238" i="2" s="1"/>
  <c r="BE239" i="2"/>
  <c r="BF239" i="2" s="1"/>
  <c r="BE240" i="2"/>
  <c r="BF240" i="2" s="1"/>
  <c r="BE241" i="2"/>
  <c r="BF241" i="2" s="1"/>
  <c r="BE242" i="2"/>
  <c r="BF242" i="2" s="1"/>
  <c r="BE243" i="2"/>
  <c r="BF243" i="2" s="1"/>
  <c r="BE244" i="2"/>
  <c r="BF244" i="2" s="1"/>
  <c r="BE245" i="2"/>
  <c r="BF245" i="2" s="1"/>
  <c r="BE246" i="2"/>
  <c r="BF246" i="2" s="1"/>
  <c r="BE247" i="2"/>
  <c r="BF247" i="2" s="1"/>
  <c r="BE248" i="2"/>
  <c r="BF248" i="2" s="1"/>
  <c r="BE249" i="2"/>
  <c r="BF249" i="2" s="1"/>
  <c r="BE250" i="2"/>
  <c r="BF250" i="2" s="1"/>
  <c r="BE251" i="2"/>
  <c r="BF251" i="2" s="1"/>
  <c r="BE252" i="2"/>
  <c r="BF252" i="2" s="1"/>
  <c r="BE253" i="2"/>
  <c r="BF253" i="2" s="1"/>
  <c r="BE254" i="2"/>
  <c r="BF254" i="2" s="1"/>
  <c r="BE255" i="2"/>
  <c r="BF255" i="2" s="1"/>
  <c r="BE256" i="2"/>
  <c r="BF256" i="2" s="1"/>
  <c r="BE257" i="2"/>
  <c r="BF257" i="2" s="1"/>
  <c r="BE258" i="2"/>
  <c r="BF258" i="2" s="1"/>
  <c r="BE259" i="2"/>
  <c r="BF259" i="2" s="1"/>
  <c r="BE260" i="2"/>
  <c r="BF260" i="2" s="1"/>
  <c r="BE261" i="2"/>
  <c r="BF261" i="2" s="1"/>
  <c r="BE262" i="2"/>
  <c r="BF262" i="2" s="1"/>
  <c r="BE263" i="2"/>
  <c r="BF263" i="2" s="1"/>
  <c r="BE264" i="2"/>
  <c r="BF264" i="2" s="1"/>
  <c r="BE265" i="2"/>
  <c r="BF265" i="2" s="1"/>
  <c r="BE266" i="2"/>
  <c r="BF266" i="2" s="1"/>
  <c r="BE267" i="2"/>
  <c r="BF267" i="2" s="1"/>
  <c r="BE268" i="2"/>
  <c r="BF268" i="2" s="1"/>
  <c r="BE269" i="2"/>
  <c r="BF269" i="2" s="1"/>
  <c r="BE270" i="2"/>
  <c r="BF270" i="2" s="1"/>
  <c r="BE271" i="2"/>
  <c r="BF271" i="2" s="1"/>
  <c r="BE272" i="2"/>
  <c r="BF272" i="2" s="1"/>
  <c r="BE273" i="2"/>
  <c r="BF273" i="2" s="1"/>
  <c r="BE274" i="2"/>
  <c r="BF274" i="2" s="1"/>
  <c r="BE275" i="2"/>
  <c r="BF275" i="2" s="1"/>
  <c r="BE276" i="2"/>
  <c r="BF276" i="2" s="1"/>
  <c r="BE277" i="2"/>
  <c r="BF277" i="2" s="1"/>
  <c r="BE278" i="2"/>
  <c r="BF278" i="2" s="1"/>
  <c r="BE279" i="2"/>
  <c r="BF279" i="2" s="1"/>
  <c r="BE280" i="2"/>
  <c r="BF280" i="2" s="1"/>
  <c r="BE281" i="2"/>
  <c r="BF281" i="2" s="1"/>
  <c r="BE282" i="2"/>
  <c r="BF282" i="2" s="1"/>
  <c r="BE283" i="2"/>
  <c r="BF283" i="2" s="1"/>
  <c r="BE284" i="2"/>
  <c r="BF284" i="2" s="1"/>
  <c r="BE285" i="2"/>
  <c r="BF285" i="2" s="1"/>
  <c r="BE286" i="2"/>
  <c r="BF286" i="2" s="1"/>
  <c r="BE287" i="2"/>
  <c r="BF287" i="2" s="1"/>
  <c r="BE288" i="2"/>
  <c r="BF288" i="2" s="1"/>
  <c r="BE289" i="2"/>
  <c r="BF289" i="2" s="1"/>
  <c r="BE290" i="2"/>
  <c r="BF290" i="2" s="1"/>
  <c r="BE291" i="2"/>
  <c r="BF291" i="2" s="1"/>
  <c r="BE292" i="2"/>
  <c r="BF292" i="2" s="1"/>
  <c r="BE293" i="2"/>
  <c r="BF293" i="2" s="1"/>
  <c r="BE294" i="2"/>
  <c r="BF294" i="2" s="1"/>
  <c r="BE295" i="2"/>
  <c r="BF295" i="2" s="1"/>
  <c r="BE296" i="2"/>
  <c r="BF296" i="2" s="1"/>
  <c r="BE297" i="2"/>
  <c r="BF297" i="2" s="1"/>
  <c r="BE298" i="2"/>
  <c r="BF298" i="2" s="1"/>
  <c r="BE299" i="2"/>
  <c r="BF299" i="2" s="1"/>
  <c r="BE300" i="2"/>
  <c r="BF300" i="2" s="1"/>
  <c r="BE301" i="2"/>
  <c r="BF301" i="2" s="1"/>
  <c r="BE302" i="2"/>
  <c r="BF302" i="2" s="1"/>
  <c r="BE303" i="2"/>
  <c r="BF303" i="2" s="1"/>
  <c r="BE304" i="2"/>
  <c r="BF304" i="2" s="1"/>
  <c r="BE305" i="2"/>
  <c r="BF305" i="2" s="1"/>
  <c r="BE306" i="2"/>
  <c r="BF306" i="2" s="1"/>
  <c r="BE307" i="2"/>
  <c r="BF307" i="2" s="1"/>
  <c r="BE308" i="2"/>
  <c r="BF308" i="2" s="1"/>
  <c r="BE309" i="2"/>
  <c r="BF309" i="2" s="1"/>
  <c r="BE310" i="2"/>
  <c r="BF310" i="2" s="1"/>
  <c r="BE311" i="2"/>
  <c r="BF311" i="2" s="1"/>
  <c r="BE312" i="2"/>
  <c r="BF312" i="2" s="1"/>
  <c r="BE313" i="2"/>
  <c r="BF313" i="2" s="1"/>
  <c r="BE314" i="2"/>
  <c r="BF314" i="2" s="1"/>
  <c r="BE315" i="2"/>
  <c r="BF315" i="2" s="1"/>
  <c r="BE316" i="2"/>
  <c r="BF316" i="2" s="1"/>
  <c r="BE317" i="2"/>
  <c r="BF317" i="2" s="1"/>
  <c r="BE318" i="2"/>
  <c r="BF318" i="2" s="1"/>
  <c r="BE319" i="2"/>
  <c r="BF319" i="2" s="1"/>
  <c r="BE320" i="2"/>
  <c r="BF320" i="2" s="1"/>
  <c r="BE321" i="2"/>
  <c r="BF321" i="2" s="1"/>
  <c r="BE322" i="2"/>
  <c r="BF322" i="2" s="1"/>
  <c r="BE323" i="2"/>
  <c r="BF323" i="2" s="1"/>
  <c r="BE324" i="2"/>
  <c r="BF324" i="2" s="1"/>
  <c r="BE325" i="2"/>
  <c r="BF325" i="2" s="1"/>
  <c r="BE326" i="2"/>
  <c r="BF326" i="2" s="1"/>
  <c r="BE327" i="2"/>
  <c r="BF327" i="2" s="1"/>
  <c r="BE328" i="2"/>
  <c r="BF328" i="2" s="1"/>
  <c r="BE329" i="2"/>
  <c r="BF329" i="2" s="1"/>
  <c r="BE330" i="2"/>
  <c r="BF330" i="2" s="1"/>
  <c r="BE331" i="2"/>
  <c r="BF331" i="2" s="1"/>
  <c r="BE332" i="2"/>
  <c r="BF332" i="2" s="1"/>
  <c r="BE333" i="2"/>
  <c r="BF333" i="2" s="1"/>
  <c r="BE334" i="2"/>
  <c r="BF334" i="2" s="1"/>
  <c r="BE335" i="2"/>
  <c r="BF335" i="2" s="1"/>
  <c r="BE336" i="2"/>
  <c r="BF336" i="2" s="1"/>
  <c r="BE337" i="2"/>
  <c r="BF337" i="2" s="1"/>
  <c r="BE338" i="2"/>
  <c r="BF338" i="2" s="1"/>
  <c r="BE339" i="2"/>
  <c r="BF339" i="2" s="1"/>
  <c r="BE340" i="2"/>
  <c r="BF340" i="2" s="1"/>
  <c r="BE341" i="2"/>
  <c r="BF341" i="2" s="1"/>
  <c r="BE342" i="2"/>
  <c r="BF342" i="2" s="1"/>
  <c r="BE343" i="2"/>
  <c r="BF343" i="2" s="1"/>
  <c r="BE344" i="2"/>
  <c r="BF344" i="2" s="1"/>
  <c r="BE345" i="2"/>
  <c r="BF345" i="2" s="1"/>
  <c r="BE346" i="2"/>
  <c r="BF346" i="2" s="1"/>
  <c r="BE347" i="2"/>
  <c r="BF347" i="2" s="1"/>
  <c r="BE348" i="2"/>
  <c r="BF348" i="2" s="1"/>
  <c r="BE349" i="2"/>
  <c r="BF349" i="2" s="1"/>
  <c r="BE350" i="2"/>
  <c r="BF350" i="2" s="1"/>
  <c r="BE351" i="2"/>
  <c r="BF351" i="2" s="1"/>
  <c r="BE352" i="2"/>
  <c r="BF352" i="2" s="1"/>
  <c r="BE353" i="2"/>
  <c r="BF353" i="2" s="1"/>
  <c r="BE354" i="2"/>
  <c r="BF354" i="2" s="1"/>
  <c r="BE355" i="2"/>
  <c r="BF355" i="2" s="1"/>
  <c r="BE356" i="2"/>
  <c r="BF356" i="2" s="1"/>
  <c r="BE357" i="2"/>
  <c r="BF357" i="2" s="1"/>
  <c r="BE358" i="2"/>
  <c r="BF358" i="2" s="1"/>
  <c r="BE359" i="2"/>
  <c r="BF359" i="2" s="1"/>
  <c r="BE360" i="2"/>
  <c r="BF360" i="2" s="1"/>
  <c r="BE361" i="2"/>
  <c r="BF361" i="2" s="1"/>
  <c r="BE362" i="2"/>
  <c r="BF362" i="2" s="1"/>
  <c r="BE363" i="2"/>
  <c r="BF363" i="2" s="1"/>
  <c r="BE364" i="2"/>
  <c r="BF364" i="2" s="1"/>
  <c r="BE365" i="2"/>
  <c r="BF365" i="2" s="1"/>
  <c r="BE366" i="2"/>
  <c r="BF366" i="2" s="1"/>
  <c r="BE367" i="2"/>
  <c r="BF367" i="2" s="1"/>
  <c r="BE368" i="2"/>
  <c r="BF368" i="2" s="1"/>
  <c r="BE369" i="2"/>
  <c r="BF369" i="2" s="1"/>
  <c r="BE370" i="2"/>
  <c r="BF370" i="2" s="1"/>
  <c r="BE371" i="2"/>
  <c r="BF371" i="2" s="1"/>
  <c r="BE372" i="2"/>
  <c r="BF372" i="2" s="1"/>
  <c r="BE373" i="2"/>
  <c r="BF373" i="2" s="1"/>
  <c r="BE374" i="2"/>
  <c r="BF374" i="2" s="1"/>
  <c r="BE375" i="2"/>
  <c r="BF375" i="2" s="1"/>
  <c r="BE376" i="2"/>
  <c r="BF376" i="2" s="1"/>
  <c r="BE377" i="2"/>
  <c r="BF377" i="2" s="1"/>
  <c r="BE378" i="2"/>
  <c r="BF378" i="2" s="1"/>
  <c r="BE379" i="2"/>
  <c r="BF379" i="2" s="1"/>
  <c r="BE380" i="2"/>
  <c r="BF380" i="2" s="1"/>
  <c r="BE381" i="2"/>
  <c r="BF381" i="2" s="1"/>
  <c r="BE382" i="2"/>
  <c r="BF382" i="2" s="1"/>
  <c r="BE383" i="2"/>
  <c r="BF383" i="2" s="1"/>
  <c r="BE384" i="2"/>
  <c r="BF384" i="2" s="1"/>
  <c r="BE385" i="2"/>
  <c r="BF385" i="2" s="1"/>
  <c r="BE386" i="2"/>
  <c r="BF386" i="2" s="1"/>
  <c r="BE387" i="2"/>
  <c r="BF387" i="2" s="1"/>
  <c r="BE388" i="2"/>
  <c r="BF388" i="2" s="1"/>
  <c r="BE389" i="2"/>
  <c r="BF389" i="2" s="1"/>
  <c r="BE390" i="2"/>
  <c r="BF390" i="2" s="1"/>
  <c r="BE391" i="2"/>
  <c r="BF391" i="2" s="1"/>
  <c r="BE392" i="2"/>
  <c r="BF392" i="2" s="1"/>
  <c r="BE393" i="2"/>
  <c r="BF393" i="2" s="1"/>
  <c r="BE394" i="2"/>
  <c r="BF394" i="2" s="1"/>
  <c r="BE395" i="2"/>
  <c r="BF395" i="2" s="1"/>
  <c r="BE396" i="2"/>
  <c r="BF396" i="2" s="1"/>
  <c r="BE397" i="2"/>
  <c r="BF397" i="2" s="1"/>
  <c r="BE398" i="2"/>
  <c r="BF398" i="2" s="1"/>
  <c r="BE399" i="2"/>
  <c r="BF399" i="2" s="1"/>
  <c r="BE400" i="2"/>
  <c r="BF400" i="2" s="1"/>
  <c r="BE401" i="2"/>
  <c r="BF401" i="2" s="1"/>
  <c r="BE402" i="2"/>
  <c r="BF402" i="2" s="1"/>
  <c r="BE403" i="2"/>
  <c r="BF403" i="2" s="1"/>
  <c r="BE404" i="2"/>
  <c r="BF404" i="2" s="1"/>
  <c r="BE405" i="2"/>
  <c r="BF405" i="2" s="1"/>
  <c r="BE406" i="2"/>
  <c r="BF406" i="2" s="1"/>
  <c r="BE407" i="2"/>
  <c r="BF407" i="2" s="1"/>
  <c r="BE408" i="2"/>
  <c r="BF408" i="2" s="1"/>
  <c r="BE409" i="2"/>
  <c r="BF409" i="2" s="1"/>
  <c r="BE410" i="2"/>
  <c r="BF410" i="2" s="1"/>
  <c r="BE411" i="2"/>
  <c r="BF411" i="2" s="1"/>
  <c r="BE412" i="2"/>
  <c r="BF412" i="2" s="1"/>
  <c r="BE413" i="2"/>
  <c r="BF413" i="2" s="1"/>
  <c r="BE414" i="2"/>
  <c r="BF414" i="2" s="1"/>
  <c r="BE415" i="2"/>
  <c r="BF415" i="2" s="1"/>
  <c r="BE416" i="2"/>
  <c r="BF416" i="2" s="1"/>
  <c r="BE417" i="2"/>
  <c r="BF417" i="2" s="1"/>
  <c r="BE418" i="2"/>
  <c r="BF418" i="2" s="1"/>
  <c r="BE419" i="2"/>
  <c r="BF419" i="2" s="1"/>
  <c r="BE420" i="2"/>
  <c r="BF420" i="2" s="1"/>
  <c r="BE421" i="2"/>
  <c r="BF421" i="2" s="1"/>
  <c r="BE422" i="2"/>
  <c r="BF422" i="2" s="1"/>
  <c r="BE423" i="2"/>
  <c r="BF423" i="2" s="1"/>
  <c r="BE424" i="2"/>
  <c r="BF424" i="2" s="1"/>
  <c r="BE425" i="2"/>
  <c r="BF425" i="2" s="1"/>
  <c r="BE426" i="2"/>
  <c r="BF426" i="2" s="1"/>
  <c r="BE427" i="2"/>
  <c r="BF427" i="2" s="1"/>
  <c r="BE428" i="2"/>
  <c r="BF428" i="2" s="1"/>
  <c r="BE429" i="2"/>
  <c r="BF429" i="2" s="1"/>
  <c r="BE430" i="2"/>
  <c r="BF430" i="2" s="1"/>
  <c r="BE431" i="2"/>
  <c r="BF431" i="2" s="1"/>
  <c r="BE432" i="2"/>
  <c r="BF432" i="2" s="1"/>
  <c r="BE433" i="2"/>
  <c r="BF433" i="2" s="1"/>
  <c r="BE434" i="2"/>
  <c r="BF434" i="2" s="1"/>
  <c r="BE435" i="2"/>
  <c r="BF435" i="2" s="1"/>
  <c r="BE436" i="2"/>
  <c r="BF436" i="2" s="1"/>
  <c r="BE437" i="2"/>
  <c r="BF437" i="2" s="1"/>
  <c r="BE438" i="2"/>
  <c r="BF438" i="2" s="1"/>
  <c r="BE439" i="2"/>
  <c r="BF439" i="2" s="1"/>
  <c r="BE440" i="2"/>
  <c r="BF440" i="2" s="1"/>
  <c r="BE441" i="2"/>
  <c r="BF441" i="2" s="1"/>
  <c r="BE442" i="2"/>
  <c r="BF442" i="2" s="1"/>
  <c r="BE443" i="2"/>
  <c r="BF443" i="2" s="1"/>
  <c r="BE444" i="2"/>
  <c r="BF444" i="2" s="1"/>
  <c r="BE445" i="2"/>
  <c r="BF445" i="2" s="1"/>
  <c r="BE446" i="2"/>
  <c r="BF446" i="2" s="1"/>
  <c r="BE447" i="2"/>
  <c r="BF447" i="2" s="1"/>
  <c r="BE448" i="2"/>
  <c r="BF448" i="2" s="1"/>
  <c r="BE449" i="2"/>
  <c r="BF449" i="2" s="1"/>
  <c r="BE450" i="2"/>
  <c r="BF450" i="2" s="1"/>
  <c r="BE451" i="2"/>
  <c r="BF451" i="2" s="1"/>
  <c r="BE452" i="2"/>
  <c r="BF452" i="2" s="1"/>
  <c r="BE453" i="2"/>
  <c r="BF453" i="2" s="1"/>
  <c r="BE454" i="2"/>
  <c r="BF454" i="2" s="1"/>
  <c r="BE455" i="2"/>
  <c r="BF455" i="2" s="1"/>
  <c r="BE456" i="2"/>
  <c r="BF456" i="2" s="1"/>
  <c r="BE457" i="2"/>
  <c r="BF457" i="2" s="1"/>
  <c r="BE458" i="2"/>
  <c r="BF458" i="2" s="1"/>
  <c r="BE459" i="2"/>
  <c r="BF459" i="2" s="1"/>
  <c r="BE460" i="2"/>
  <c r="BF460" i="2" s="1"/>
  <c r="BE461" i="2"/>
  <c r="BF461" i="2" s="1"/>
  <c r="BE462" i="2"/>
  <c r="BF462" i="2" s="1"/>
  <c r="BE463" i="2"/>
  <c r="BF463" i="2" s="1"/>
  <c r="BE464" i="2"/>
  <c r="BF464" i="2" s="1"/>
  <c r="BE465" i="2"/>
  <c r="BF465" i="2" s="1"/>
  <c r="BE466" i="2"/>
  <c r="BF466" i="2" s="1"/>
  <c r="BE467" i="2"/>
  <c r="BF467" i="2" s="1"/>
  <c r="BE468" i="2"/>
  <c r="BF468" i="2" s="1"/>
  <c r="BE469" i="2"/>
  <c r="BF469" i="2" s="1"/>
  <c r="BE470" i="2"/>
  <c r="BF470" i="2" s="1"/>
  <c r="BE471" i="2"/>
  <c r="BF471" i="2" s="1"/>
  <c r="BE472" i="2"/>
  <c r="BF472" i="2" s="1"/>
  <c r="BE473" i="2"/>
  <c r="BF473" i="2" s="1"/>
  <c r="BE474" i="2"/>
  <c r="BF474" i="2" s="1"/>
  <c r="BE475" i="2"/>
  <c r="BF475" i="2" s="1"/>
  <c r="BE476" i="2"/>
  <c r="BF476" i="2" s="1"/>
  <c r="BE477" i="2"/>
  <c r="BF477" i="2" s="1"/>
  <c r="BE478" i="2"/>
  <c r="BF478" i="2" s="1"/>
  <c r="BE479" i="2"/>
  <c r="BF479" i="2" s="1"/>
  <c r="BE480" i="2"/>
  <c r="BF480" i="2" s="1"/>
  <c r="BE481" i="2"/>
  <c r="BF481" i="2" s="1"/>
  <c r="BE482" i="2"/>
  <c r="BF482" i="2" s="1"/>
  <c r="BE483" i="2"/>
  <c r="BF483" i="2" s="1"/>
  <c r="BE484" i="2"/>
  <c r="BF484" i="2" s="1"/>
  <c r="BE485" i="2"/>
  <c r="BF485" i="2" s="1"/>
  <c r="BE486" i="2"/>
  <c r="BF486" i="2" s="1"/>
  <c r="BE487" i="2"/>
  <c r="BF487" i="2" s="1"/>
  <c r="BE488" i="2"/>
  <c r="BF488" i="2" s="1"/>
  <c r="BE489" i="2"/>
  <c r="BF489" i="2" s="1"/>
  <c r="BE490" i="2"/>
  <c r="BF490" i="2" s="1"/>
  <c r="BE491" i="2"/>
  <c r="BF491" i="2" s="1"/>
  <c r="BE492" i="2"/>
  <c r="BF492" i="2" s="1"/>
  <c r="BE493" i="2"/>
  <c r="BF493" i="2" s="1"/>
  <c r="BE494" i="2"/>
  <c r="BF494" i="2" s="1"/>
  <c r="BE495" i="2"/>
  <c r="BF495" i="2" s="1"/>
  <c r="BE496" i="2"/>
  <c r="BF496" i="2" s="1"/>
  <c r="BE497" i="2"/>
  <c r="BF497" i="2" s="1"/>
  <c r="BE498" i="2"/>
  <c r="BF498" i="2" s="1"/>
  <c r="BE499" i="2"/>
  <c r="BF499" i="2" s="1"/>
  <c r="BE500" i="2"/>
  <c r="BF500" i="2" s="1"/>
  <c r="BE501" i="2"/>
  <c r="BF501" i="2" s="1"/>
  <c r="BE502" i="2"/>
  <c r="BF502" i="2" s="1"/>
  <c r="BE503" i="2"/>
  <c r="BF503" i="2" s="1"/>
  <c r="BE504" i="2"/>
  <c r="BF504" i="2" s="1"/>
  <c r="BE505" i="2"/>
  <c r="BF505" i="2" s="1"/>
  <c r="BE506" i="2"/>
  <c r="BF506" i="2" s="1"/>
  <c r="BE507" i="2"/>
  <c r="BF507" i="2" s="1"/>
  <c r="BE508" i="2"/>
  <c r="BF508" i="2" s="1"/>
  <c r="BE509" i="2"/>
  <c r="BF509" i="2" s="1"/>
  <c r="BE510" i="2"/>
  <c r="BF510" i="2" s="1"/>
  <c r="BE511" i="2"/>
  <c r="BF511" i="2" s="1"/>
  <c r="BE512" i="2"/>
  <c r="BF512" i="2" s="1"/>
  <c r="BE513" i="2"/>
  <c r="BF513" i="2" s="1"/>
  <c r="BE514" i="2"/>
  <c r="BF514" i="2" s="1"/>
  <c r="BE515" i="2"/>
  <c r="BF515" i="2" s="1"/>
  <c r="BE516" i="2"/>
  <c r="BF516" i="2" s="1"/>
  <c r="BE517" i="2"/>
  <c r="BF517" i="2" s="1"/>
  <c r="BE518" i="2"/>
  <c r="BF518" i="2" s="1"/>
  <c r="BE519" i="2"/>
  <c r="BF519" i="2" s="1"/>
  <c r="BE520" i="2"/>
  <c r="BF520" i="2" s="1"/>
  <c r="BE521" i="2"/>
  <c r="BF521" i="2" s="1"/>
  <c r="BE522" i="2"/>
  <c r="BF522" i="2" s="1"/>
  <c r="BE523" i="2"/>
  <c r="BF523" i="2" s="1"/>
  <c r="BE524" i="2"/>
  <c r="BF524" i="2" s="1"/>
  <c r="BE525" i="2"/>
  <c r="BF525" i="2" s="1"/>
  <c r="BE526" i="2"/>
  <c r="BF526" i="2" s="1"/>
  <c r="BE527" i="2"/>
  <c r="BF527" i="2" s="1"/>
  <c r="BE528" i="2"/>
  <c r="BF528" i="2" s="1"/>
  <c r="BE529" i="2"/>
  <c r="BF529" i="2" s="1"/>
  <c r="BE530" i="2"/>
  <c r="BF530" i="2" s="1"/>
  <c r="BE531" i="2"/>
  <c r="BF531" i="2" s="1"/>
  <c r="BE532" i="2"/>
  <c r="BF532" i="2" s="1"/>
  <c r="BE533" i="2"/>
  <c r="BF533" i="2" s="1"/>
  <c r="BE534" i="2"/>
  <c r="BF534" i="2" s="1"/>
  <c r="BE535" i="2"/>
  <c r="BF535" i="2" s="1"/>
  <c r="BE536" i="2"/>
  <c r="BF536" i="2" s="1"/>
  <c r="BE537" i="2"/>
  <c r="BF537" i="2" s="1"/>
  <c r="BE538" i="2"/>
  <c r="BF538" i="2" s="1"/>
  <c r="BE539" i="2"/>
  <c r="BF539" i="2" s="1"/>
  <c r="BE540" i="2"/>
  <c r="BF540" i="2" s="1"/>
  <c r="BE541" i="2"/>
  <c r="BF541" i="2" s="1"/>
  <c r="BE542" i="2"/>
  <c r="BF542" i="2" s="1"/>
  <c r="BE543" i="2"/>
  <c r="BF543" i="2" s="1"/>
  <c r="BE544" i="2"/>
  <c r="BF544" i="2" s="1"/>
  <c r="BE545" i="2"/>
  <c r="BF545" i="2" s="1"/>
  <c r="BE546" i="2"/>
  <c r="BF546" i="2" s="1"/>
  <c r="BE547" i="2"/>
  <c r="BF547" i="2" s="1"/>
  <c r="BE548" i="2"/>
  <c r="BF548" i="2" s="1"/>
  <c r="BE549" i="2"/>
  <c r="BF549" i="2" s="1"/>
  <c r="BE550" i="2"/>
  <c r="BF550" i="2" s="1"/>
  <c r="BE551" i="2"/>
  <c r="BF551" i="2" s="1"/>
  <c r="BE552" i="2"/>
  <c r="BF552" i="2" s="1"/>
  <c r="BE553" i="2"/>
  <c r="BF553" i="2" s="1"/>
  <c r="BE554" i="2"/>
  <c r="BF554" i="2" s="1"/>
  <c r="BE555" i="2"/>
  <c r="BF555" i="2" s="1"/>
  <c r="BE556" i="2"/>
  <c r="BF556" i="2" s="1"/>
  <c r="BE557" i="2"/>
  <c r="BF557" i="2" s="1"/>
  <c r="BE558" i="2"/>
  <c r="BF558" i="2" s="1"/>
  <c r="BE559" i="2"/>
  <c r="BF559" i="2" s="1"/>
  <c r="BE560" i="2"/>
  <c r="BF560" i="2" s="1"/>
  <c r="BE561" i="2"/>
  <c r="BF561" i="2" s="1"/>
  <c r="BE562" i="2"/>
  <c r="BF562" i="2" s="1"/>
  <c r="BE563" i="2"/>
  <c r="BF563" i="2" s="1"/>
  <c r="BE564" i="2"/>
  <c r="BF564" i="2" s="1"/>
  <c r="BE565" i="2"/>
  <c r="BF565" i="2" s="1"/>
  <c r="BE566" i="2"/>
  <c r="BF566" i="2" s="1"/>
  <c r="BE567" i="2"/>
  <c r="BF567" i="2" s="1"/>
  <c r="BE568" i="2"/>
  <c r="BF568" i="2" s="1"/>
  <c r="BE569" i="2"/>
  <c r="BF569" i="2" s="1"/>
  <c r="BE570" i="2"/>
  <c r="BF570" i="2" s="1"/>
  <c r="BE571" i="2"/>
  <c r="BF571" i="2" s="1"/>
  <c r="BE572" i="2"/>
  <c r="BF572" i="2" s="1"/>
  <c r="BE573" i="2"/>
  <c r="BF573" i="2" s="1"/>
  <c r="BE574" i="2"/>
  <c r="BF574" i="2" s="1"/>
  <c r="BE575" i="2"/>
  <c r="BF575" i="2" s="1"/>
  <c r="BE576" i="2"/>
  <c r="BF576" i="2" s="1"/>
  <c r="BE577" i="2"/>
  <c r="BF577" i="2" s="1"/>
  <c r="BE578" i="2"/>
  <c r="BF578" i="2" s="1"/>
  <c r="BE579" i="2"/>
  <c r="BF579" i="2" s="1"/>
  <c r="BE580" i="2"/>
  <c r="BF580" i="2" s="1"/>
  <c r="BE581" i="2"/>
  <c r="BF581" i="2" s="1"/>
  <c r="BE582" i="2"/>
  <c r="BF582" i="2" s="1"/>
  <c r="BE583" i="2"/>
  <c r="BF583" i="2" s="1"/>
  <c r="BE584" i="2"/>
  <c r="BF584" i="2" s="1"/>
  <c r="BE585" i="2"/>
  <c r="BF585" i="2" s="1"/>
  <c r="BE586" i="2"/>
  <c r="BF586" i="2" s="1"/>
  <c r="BE587" i="2"/>
  <c r="BF587" i="2" s="1"/>
  <c r="BE588" i="2"/>
  <c r="BF588" i="2" s="1"/>
  <c r="BE589" i="2"/>
  <c r="BF589" i="2" s="1"/>
  <c r="BE590" i="2"/>
  <c r="BF590" i="2" s="1"/>
  <c r="BE591" i="2"/>
  <c r="BF591" i="2" s="1"/>
  <c r="BE592" i="2"/>
  <c r="BF592" i="2" s="1"/>
  <c r="BE593" i="2"/>
  <c r="BF593" i="2" s="1"/>
  <c r="BE594" i="2"/>
  <c r="BF594" i="2" s="1"/>
  <c r="BE595" i="2"/>
  <c r="BF595" i="2" s="1"/>
  <c r="BE596" i="2"/>
  <c r="BF596" i="2" s="1"/>
  <c r="BE597" i="2"/>
  <c r="BF597" i="2" s="1"/>
  <c r="BE598" i="2"/>
  <c r="BF598" i="2" s="1"/>
  <c r="BE599" i="2"/>
  <c r="BF599" i="2" s="1"/>
  <c r="BE600" i="2"/>
  <c r="BF600" i="2" s="1"/>
  <c r="BE601" i="2"/>
  <c r="BF601" i="2" s="1"/>
  <c r="BE602" i="2"/>
  <c r="BF602" i="2" s="1"/>
  <c r="BE603" i="2"/>
  <c r="BF603" i="2" s="1"/>
  <c r="BE604" i="2"/>
  <c r="BF604" i="2" s="1"/>
  <c r="BE605" i="2"/>
  <c r="BF605" i="2" s="1"/>
  <c r="BE606" i="2"/>
  <c r="BF606" i="2" s="1"/>
  <c r="BE607" i="2"/>
  <c r="BF607" i="2" s="1"/>
  <c r="BE608" i="2"/>
  <c r="BF608" i="2" s="1"/>
  <c r="BE609" i="2"/>
  <c r="BF609" i="2" s="1"/>
  <c r="BE610" i="2"/>
  <c r="BF610" i="2" s="1"/>
  <c r="BE611" i="2"/>
  <c r="BF611" i="2" s="1"/>
  <c r="BE612" i="2"/>
  <c r="BF612" i="2" s="1"/>
  <c r="BE613" i="2"/>
  <c r="BF613" i="2" s="1"/>
  <c r="BE614" i="2"/>
  <c r="BF614" i="2" s="1"/>
  <c r="BE615" i="2"/>
  <c r="BF615" i="2" s="1"/>
  <c r="BE616" i="2"/>
  <c r="BF616" i="2" s="1"/>
  <c r="BE617" i="2"/>
  <c r="BF617" i="2" s="1"/>
  <c r="BE618" i="2"/>
  <c r="BF618" i="2" s="1"/>
  <c r="BE619" i="2"/>
  <c r="BF619" i="2" s="1"/>
  <c r="BE620" i="2"/>
  <c r="BF620" i="2" s="1"/>
  <c r="BE621" i="2"/>
  <c r="BF621" i="2" s="1"/>
  <c r="BE622" i="2"/>
  <c r="BF622" i="2" s="1"/>
  <c r="BE623" i="2"/>
  <c r="BF623" i="2" s="1"/>
  <c r="BE624" i="2"/>
  <c r="BF624" i="2" s="1"/>
  <c r="BE625" i="2"/>
  <c r="BF625" i="2" s="1"/>
  <c r="BE626" i="2"/>
  <c r="BF626" i="2" s="1"/>
  <c r="BE627" i="2"/>
  <c r="BF627" i="2" s="1"/>
  <c r="BE628" i="2"/>
  <c r="BF628" i="2" s="1"/>
  <c r="BE629" i="2"/>
  <c r="BF629" i="2" s="1"/>
  <c r="BE630" i="2"/>
  <c r="BF630" i="2" s="1"/>
  <c r="BE631" i="2"/>
  <c r="BF631" i="2" s="1"/>
  <c r="BE632" i="2"/>
  <c r="BF632" i="2" s="1"/>
  <c r="BE633" i="2"/>
  <c r="BF633" i="2" s="1"/>
  <c r="BE634" i="2"/>
  <c r="BF634" i="2" s="1"/>
  <c r="BE635" i="2"/>
  <c r="BF635" i="2" s="1"/>
  <c r="BE636" i="2"/>
  <c r="BF636" i="2" s="1"/>
  <c r="BE637" i="2"/>
  <c r="BF637" i="2" s="1"/>
  <c r="BE638" i="2"/>
  <c r="BF638" i="2" s="1"/>
  <c r="BE639" i="2"/>
  <c r="BF639" i="2" s="1"/>
  <c r="BE640" i="2"/>
  <c r="BF640" i="2" s="1"/>
  <c r="BE641" i="2"/>
  <c r="BF641" i="2" s="1"/>
  <c r="BE642" i="2"/>
  <c r="BF642" i="2" s="1"/>
  <c r="BE643" i="2"/>
  <c r="BF643" i="2" s="1"/>
  <c r="BE644" i="2"/>
  <c r="BF644" i="2" s="1"/>
  <c r="BE645" i="2"/>
  <c r="BF645" i="2" s="1"/>
  <c r="BE646" i="2"/>
  <c r="BF646" i="2" s="1"/>
  <c r="BE647" i="2"/>
  <c r="BF647" i="2" s="1"/>
  <c r="BE648" i="2"/>
  <c r="BF648" i="2" s="1"/>
  <c r="BE649" i="2"/>
  <c r="BF649" i="2" s="1"/>
  <c r="BE650" i="2"/>
  <c r="BF650" i="2" s="1"/>
  <c r="BE651" i="2"/>
  <c r="BF651" i="2" s="1"/>
  <c r="BE652" i="2"/>
  <c r="BF652" i="2" s="1"/>
  <c r="BE653" i="2"/>
  <c r="BF653" i="2" s="1"/>
  <c r="BE654" i="2"/>
  <c r="BF654" i="2" s="1"/>
  <c r="BE655" i="2"/>
  <c r="BF655" i="2" s="1"/>
  <c r="BE656" i="2"/>
  <c r="BF656" i="2" s="1"/>
  <c r="BE657" i="2"/>
  <c r="BF657" i="2" s="1"/>
  <c r="BE658" i="2"/>
  <c r="BF658" i="2" s="1"/>
  <c r="BE659" i="2"/>
  <c r="BF659" i="2" s="1"/>
  <c r="BE660" i="2"/>
  <c r="BF660" i="2" s="1"/>
  <c r="BE661" i="2"/>
  <c r="BF661" i="2" s="1"/>
  <c r="BE662" i="2"/>
  <c r="BF662" i="2" s="1"/>
  <c r="BE663" i="2"/>
  <c r="BF663" i="2" s="1"/>
  <c r="BE664" i="2"/>
  <c r="BF664" i="2" s="1"/>
  <c r="BE665" i="2"/>
  <c r="BF665" i="2" s="1"/>
  <c r="BE666" i="2"/>
  <c r="BF666" i="2" s="1"/>
  <c r="BE667" i="2"/>
  <c r="BF667" i="2" s="1"/>
  <c r="BE668" i="2"/>
  <c r="BF668" i="2" s="1"/>
  <c r="BE669" i="2"/>
  <c r="BF669" i="2" s="1"/>
  <c r="BE670" i="2"/>
  <c r="BF670" i="2" s="1"/>
  <c r="BE671" i="2"/>
  <c r="BF671" i="2" s="1"/>
  <c r="BE672" i="2"/>
  <c r="BF672" i="2" s="1"/>
  <c r="BE673" i="2"/>
  <c r="BF673" i="2" s="1"/>
  <c r="BE674" i="2"/>
  <c r="BF674" i="2" s="1"/>
  <c r="BE675" i="2"/>
  <c r="BF675" i="2" s="1"/>
  <c r="BE676" i="2"/>
  <c r="BF676" i="2" s="1"/>
  <c r="BE677" i="2"/>
  <c r="BF677" i="2" s="1"/>
  <c r="BE678" i="2"/>
  <c r="BF678" i="2" s="1"/>
  <c r="BE679" i="2"/>
  <c r="BF679" i="2" s="1"/>
  <c r="BE680" i="2"/>
  <c r="BF680" i="2" s="1"/>
  <c r="BE681" i="2"/>
  <c r="BF681" i="2" s="1"/>
  <c r="BE682" i="2"/>
  <c r="BF682" i="2" s="1"/>
  <c r="BE683" i="2"/>
  <c r="BF683" i="2" s="1"/>
  <c r="BE684" i="2"/>
  <c r="BF684" i="2" s="1"/>
  <c r="BE685" i="2"/>
  <c r="BF685" i="2" s="1"/>
  <c r="BE686" i="2"/>
  <c r="BF686" i="2" s="1"/>
  <c r="BE687" i="2"/>
  <c r="BF687" i="2" s="1"/>
  <c r="BE688" i="2"/>
  <c r="BF688" i="2" s="1"/>
  <c r="BE689" i="2"/>
  <c r="BF689" i="2" s="1"/>
  <c r="BE690" i="2"/>
  <c r="BF690" i="2" s="1"/>
  <c r="BE691" i="2"/>
  <c r="BF691" i="2" s="1"/>
  <c r="BE692" i="2"/>
  <c r="BF692" i="2" s="1"/>
  <c r="BE693" i="2"/>
  <c r="BF693" i="2" s="1"/>
  <c r="BE694" i="2"/>
  <c r="BF694" i="2" s="1"/>
  <c r="BE695" i="2"/>
  <c r="BF695" i="2" s="1"/>
  <c r="BE696" i="2"/>
  <c r="BF696" i="2" s="1"/>
  <c r="BE697" i="2"/>
  <c r="BF697" i="2" s="1"/>
  <c r="BE698" i="2"/>
  <c r="BF698" i="2" s="1"/>
  <c r="BE699" i="2"/>
  <c r="BF699" i="2" s="1"/>
  <c r="BE700" i="2"/>
  <c r="BF700" i="2" s="1"/>
  <c r="BE701" i="2"/>
  <c r="BF701" i="2" s="1"/>
  <c r="BE702" i="2"/>
  <c r="BF702" i="2" s="1"/>
  <c r="BE703" i="2"/>
  <c r="BF703" i="2" s="1"/>
  <c r="BE704" i="2"/>
  <c r="BF704" i="2" s="1"/>
  <c r="BE705" i="2"/>
  <c r="BF705" i="2" s="1"/>
  <c r="BE706" i="2"/>
  <c r="BF706" i="2" s="1"/>
  <c r="BE707" i="2"/>
  <c r="BF707" i="2" s="1"/>
  <c r="BE708" i="2"/>
  <c r="BF708" i="2" s="1"/>
  <c r="BE709" i="2"/>
  <c r="BF709" i="2" s="1"/>
  <c r="BE710" i="2"/>
  <c r="BF710" i="2" s="1"/>
  <c r="BE711" i="2"/>
  <c r="BF711" i="2" s="1"/>
  <c r="BE712" i="2"/>
  <c r="BF712" i="2" s="1"/>
  <c r="BE713" i="2"/>
  <c r="BF713" i="2" s="1"/>
  <c r="BE714" i="2"/>
  <c r="BF714" i="2" s="1"/>
  <c r="BE715" i="2"/>
  <c r="BF715" i="2" s="1"/>
  <c r="BE716" i="2"/>
  <c r="BF716" i="2" s="1"/>
  <c r="BE717" i="2"/>
  <c r="BF717" i="2" s="1"/>
  <c r="BE718" i="2"/>
  <c r="BF718" i="2" s="1"/>
  <c r="BE719" i="2"/>
  <c r="BF719" i="2" s="1"/>
  <c r="BE720" i="2"/>
  <c r="BF720" i="2" s="1"/>
  <c r="BE721" i="2"/>
  <c r="BF721" i="2" s="1"/>
  <c r="BE722" i="2"/>
  <c r="BF722" i="2" s="1"/>
  <c r="BE723" i="2"/>
  <c r="BF723" i="2" s="1"/>
  <c r="BE724" i="2"/>
  <c r="BF724" i="2" s="1"/>
  <c r="BE725" i="2"/>
  <c r="BF725" i="2" s="1"/>
  <c r="BE726" i="2"/>
  <c r="BF726" i="2" s="1"/>
  <c r="BE727" i="2"/>
  <c r="BF727" i="2" s="1"/>
  <c r="BE728" i="2"/>
  <c r="BF728" i="2" s="1"/>
  <c r="BE729" i="2"/>
  <c r="BF729" i="2" s="1"/>
  <c r="BE730" i="2"/>
  <c r="BF730" i="2" s="1"/>
  <c r="BE731" i="2"/>
  <c r="BF731" i="2" s="1"/>
  <c r="BE732" i="2"/>
  <c r="BF732" i="2" s="1"/>
  <c r="BE733" i="2"/>
  <c r="BF733" i="2" s="1"/>
  <c r="BE734" i="2"/>
  <c r="BF734" i="2" s="1"/>
  <c r="BE735" i="2"/>
  <c r="BF735" i="2" s="1"/>
  <c r="BE736" i="2"/>
  <c r="BF736" i="2" s="1"/>
  <c r="BE737" i="2"/>
  <c r="BF737" i="2" s="1"/>
  <c r="BE738" i="2"/>
  <c r="BF738" i="2" s="1"/>
  <c r="BE739" i="2"/>
  <c r="BF739" i="2" s="1"/>
  <c r="BE740" i="2"/>
  <c r="BF740" i="2" s="1"/>
  <c r="BE741" i="2"/>
  <c r="BF741" i="2" s="1"/>
  <c r="BE742" i="2"/>
  <c r="BF742" i="2" s="1"/>
  <c r="BE743" i="2"/>
  <c r="BF743" i="2" s="1"/>
  <c r="BE744" i="2"/>
  <c r="BF744" i="2" s="1"/>
  <c r="BE745" i="2"/>
  <c r="BF745" i="2" s="1"/>
  <c r="BE746" i="2"/>
  <c r="BF746" i="2" s="1"/>
  <c r="BE747" i="2"/>
  <c r="BF747" i="2" s="1"/>
  <c r="BE748" i="2"/>
  <c r="BF748" i="2" s="1"/>
  <c r="BE749" i="2"/>
  <c r="BF749" i="2" s="1"/>
  <c r="BE750" i="2"/>
  <c r="BF750" i="2" s="1"/>
  <c r="BE751" i="2"/>
  <c r="BF751" i="2" s="1"/>
  <c r="BE752" i="2"/>
  <c r="BF752" i="2" s="1"/>
  <c r="BE753" i="2"/>
  <c r="BF753" i="2" s="1"/>
  <c r="BE754" i="2"/>
  <c r="BF754" i="2" s="1"/>
  <c r="BE755" i="2"/>
  <c r="BF755" i="2" s="1"/>
  <c r="BE756" i="2"/>
  <c r="BF756" i="2" s="1"/>
  <c r="BE757" i="2"/>
  <c r="BF757" i="2" s="1"/>
  <c r="BE758" i="2"/>
  <c r="BF758" i="2" s="1"/>
  <c r="BE759" i="2"/>
  <c r="BF759" i="2" s="1"/>
  <c r="BE760" i="2"/>
  <c r="BF760" i="2" s="1"/>
  <c r="BE761" i="2"/>
  <c r="BF761" i="2" s="1"/>
  <c r="BE762" i="2"/>
  <c r="BF762" i="2" s="1"/>
  <c r="BE763" i="2"/>
  <c r="BF763" i="2" s="1"/>
  <c r="BE764" i="2"/>
  <c r="BF764" i="2" s="1"/>
  <c r="BE765" i="2"/>
  <c r="BF765" i="2" s="1"/>
  <c r="BE766" i="2"/>
  <c r="BF766" i="2" s="1"/>
  <c r="BE767" i="2"/>
  <c r="BF767" i="2" s="1"/>
  <c r="BE768" i="2"/>
  <c r="BF768" i="2" s="1"/>
  <c r="BE769" i="2"/>
  <c r="BF769" i="2" s="1"/>
  <c r="BE770" i="2"/>
  <c r="BF770" i="2" s="1"/>
  <c r="BE771" i="2"/>
  <c r="BF771" i="2" s="1"/>
  <c r="BE772" i="2"/>
  <c r="BF772" i="2" s="1"/>
  <c r="BE773" i="2"/>
  <c r="BF773" i="2" s="1"/>
  <c r="BE774" i="2"/>
  <c r="BF774" i="2" s="1"/>
  <c r="BE775" i="2"/>
  <c r="BF775" i="2" s="1"/>
  <c r="BE776" i="2"/>
  <c r="BF776" i="2" s="1"/>
  <c r="BE777" i="2"/>
  <c r="BF777" i="2" s="1"/>
  <c r="BE778" i="2"/>
  <c r="BF778" i="2" s="1"/>
  <c r="BE779" i="2"/>
  <c r="BF779" i="2" s="1"/>
  <c r="BE780" i="2"/>
  <c r="BF780" i="2" s="1"/>
  <c r="BE781" i="2"/>
  <c r="BF781" i="2" s="1"/>
  <c r="BE782" i="2"/>
  <c r="BF782" i="2" s="1"/>
  <c r="BE783" i="2"/>
  <c r="BF783" i="2" s="1"/>
  <c r="BE784" i="2"/>
  <c r="BF784" i="2" s="1"/>
  <c r="BE785" i="2"/>
  <c r="BF785" i="2" s="1"/>
  <c r="BE786" i="2"/>
  <c r="BF786" i="2" s="1"/>
  <c r="BE787" i="2"/>
  <c r="BF787" i="2" s="1"/>
  <c r="BE788" i="2"/>
  <c r="BF788" i="2" s="1"/>
  <c r="BE789" i="2"/>
  <c r="BF789" i="2" s="1"/>
  <c r="BE790" i="2"/>
  <c r="BF790" i="2" s="1"/>
  <c r="BE791" i="2"/>
  <c r="BF791" i="2" s="1"/>
  <c r="BE792" i="2"/>
  <c r="BF792" i="2" s="1"/>
  <c r="BE793" i="2"/>
  <c r="BF793" i="2" s="1"/>
  <c r="BE794" i="2"/>
  <c r="BF794" i="2" s="1"/>
  <c r="BE795" i="2"/>
  <c r="BF795" i="2" s="1"/>
  <c r="BE796" i="2"/>
  <c r="BF796" i="2" s="1"/>
  <c r="BE797" i="2"/>
  <c r="BF797" i="2" s="1"/>
  <c r="BE798" i="2"/>
  <c r="BF798" i="2" s="1"/>
  <c r="BE799" i="2"/>
  <c r="BF799" i="2" s="1"/>
  <c r="BE800" i="2"/>
  <c r="BF800" i="2" s="1"/>
  <c r="BE801" i="2"/>
  <c r="BF801" i="2" s="1"/>
  <c r="BE802" i="2"/>
  <c r="BF802" i="2" s="1"/>
  <c r="BE803" i="2"/>
  <c r="BF803" i="2" s="1"/>
  <c r="BE804" i="2"/>
  <c r="BF804" i="2" s="1"/>
  <c r="BE805" i="2"/>
  <c r="BF805" i="2" s="1"/>
  <c r="BE806" i="2"/>
  <c r="BF806" i="2" s="1"/>
  <c r="BE807" i="2"/>
  <c r="BF807" i="2" s="1"/>
  <c r="BE808" i="2"/>
  <c r="BF808" i="2" s="1"/>
  <c r="BE809" i="2"/>
  <c r="BF809" i="2" s="1"/>
  <c r="BE810" i="2"/>
  <c r="BF810" i="2" s="1"/>
  <c r="BE811" i="2"/>
  <c r="BF811" i="2" s="1"/>
  <c r="BE812" i="2"/>
  <c r="BF812" i="2" s="1"/>
  <c r="BE813" i="2"/>
  <c r="BF813" i="2" s="1"/>
  <c r="BE814" i="2"/>
  <c r="BF814" i="2" s="1"/>
  <c r="BE815" i="2"/>
  <c r="BF815" i="2" s="1"/>
  <c r="BE816" i="2"/>
  <c r="BF816" i="2" s="1"/>
  <c r="BE817" i="2"/>
  <c r="BF817" i="2" s="1"/>
  <c r="BE818" i="2"/>
  <c r="BF818" i="2" s="1"/>
  <c r="BE819" i="2"/>
  <c r="BF819" i="2" s="1"/>
  <c r="BE820" i="2"/>
  <c r="BF820" i="2" s="1"/>
  <c r="BE821" i="2"/>
  <c r="BF821" i="2" s="1"/>
  <c r="BE822" i="2"/>
  <c r="BF822" i="2" s="1"/>
  <c r="BE823" i="2"/>
  <c r="BF823" i="2" s="1"/>
  <c r="BE824" i="2"/>
  <c r="BF824" i="2" s="1"/>
  <c r="BE825" i="2"/>
  <c r="BF825" i="2" s="1"/>
  <c r="BE826" i="2"/>
  <c r="BF826" i="2" s="1"/>
  <c r="BE827" i="2"/>
  <c r="BF827" i="2" s="1"/>
  <c r="BE828" i="2"/>
  <c r="BF828" i="2" s="1"/>
  <c r="BE829" i="2"/>
  <c r="BF829" i="2" s="1"/>
  <c r="BE830" i="2"/>
  <c r="BF830" i="2" s="1"/>
  <c r="BE831" i="2"/>
  <c r="BF831" i="2" s="1"/>
  <c r="BE832" i="2"/>
  <c r="BF832" i="2" s="1"/>
  <c r="BE833" i="2"/>
  <c r="BF833" i="2" s="1"/>
  <c r="BE834" i="2"/>
  <c r="BF834" i="2" s="1"/>
  <c r="BE835" i="2"/>
  <c r="BF835" i="2" s="1"/>
  <c r="BE836" i="2"/>
  <c r="BF836" i="2" s="1"/>
  <c r="BE837" i="2"/>
  <c r="BF837" i="2" s="1"/>
  <c r="BE838" i="2"/>
  <c r="BF838" i="2" s="1"/>
  <c r="BE839" i="2"/>
  <c r="BF839" i="2" s="1"/>
  <c r="BE840" i="2"/>
  <c r="BF840" i="2" s="1"/>
  <c r="BE841" i="2"/>
  <c r="BF841" i="2" s="1"/>
  <c r="BE842" i="2"/>
  <c r="BF842" i="2" s="1"/>
  <c r="BE843" i="2"/>
  <c r="BF843" i="2" s="1"/>
  <c r="BE844" i="2"/>
  <c r="BF844" i="2" s="1"/>
  <c r="BE845" i="2"/>
  <c r="BF845" i="2" s="1"/>
  <c r="BE846" i="2"/>
  <c r="BF846" i="2" s="1"/>
  <c r="BE847" i="2"/>
  <c r="BF847" i="2" s="1"/>
  <c r="BE848" i="2"/>
  <c r="BF848" i="2" s="1"/>
  <c r="BE849" i="2"/>
  <c r="BF849" i="2" s="1"/>
  <c r="BE850" i="2"/>
  <c r="BF850" i="2" s="1"/>
  <c r="BE851" i="2"/>
  <c r="BF851" i="2" s="1"/>
  <c r="BE852" i="2"/>
  <c r="BF852" i="2" s="1"/>
  <c r="BE853" i="2"/>
  <c r="BF853" i="2" s="1"/>
  <c r="BE854" i="2"/>
  <c r="BF854" i="2" s="1"/>
  <c r="BE855" i="2"/>
  <c r="BF855" i="2" s="1"/>
  <c r="BE856" i="2"/>
  <c r="BF856" i="2" s="1"/>
  <c r="BE857" i="2"/>
  <c r="BF857" i="2" s="1"/>
  <c r="BE858" i="2"/>
  <c r="BF858" i="2" s="1"/>
  <c r="BE859" i="2"/>
  <c r="BF859" i="2" s="1"/>
  <c r="BE860" i="2"/>
  <c r="BF860" i="2" s="1"/>
  <c r="BE861" i="2"/>
  <c r="BF861" i="2" s="1"/>
  <c r="BE862" i="2"/>
  <c r="BF862" i="2" s="1"/>
  <c r="BE863" i="2"/>
  <c r="BF863" i="2" s="1"/>
  <c r="BE864" i="2"/>
  <c r="BF864" i="2" s="1"/>
  <c r="BE865" i="2"/>
  <c r="BF865" i="2" s="1"/>
  <c r="BE866" i="2"/>
  <c r="BF866" i="2" s="1"/>
  <c r="BE867" i="2"/>
  <c r="BF867" i="2" s="1"/>
  <c r="BE868" i="2"/>
  <c r="BF868" i="2" s="1"/>
  <c r="BE869" i="2"/>
  <c r="BF869" i="2" s="1"/>
  <c r="BE870" i="2"/>
  <c r="BF870" i="2" s="1"/>
  <c r="BE871" i="2"/>
  <c r="BF871" i="2" s="1"/>
  <c r="BE872" i="2"/>
  <c r="BF872" i="2" s="1"/>
  <c r="BE873" i="2"/>
  <c r="BF873" i="2" s="1"/>
  <c r="BE874" i="2"/>
  <c r="BF874" i="2" s="1"/>
  <c r="BE875" i="2"/>
  <c r="BF875" i="2" s="1"/>
  <c r="BE876" i="2"/>
  <c r="BF876" i="2" s="1"/>
  <c r="BE877" i="2"/>
  <c r="BF877" i="2" s="1"/>
  <c r="BE878" i="2"/>
  <c r="BF878" i="2" s="1"/>
  <c r="BE879" i="2"/>
  <c r="BF879" i="2" s="1"/>
  <c r="BE880" i="2"/>
  <c r="BF880" i="2" s="1"/>
  <c r="BE881" i="2"/>
  <c r="BF881" i="2" s="1"/>
  <c r="BE882" i="2"/>
  <c r="BF882" i="2" s="1"/>
  <c r="BE883" i="2"/>
  <c r="BF883" i="2" s="1"/>
  <c r="BE884" i="2"/>
  <c r="BF884" i="2" s="1"/>
  <c r="BE885" i="2"/>
  <c r="BF885" i="2" s="1"/>
  <c r="BE886" i="2"/>
  <c r="BF886" i="2" s="1"/>
  <c r="BE887" i="2"/>
  <c r="BF887" i="2" s="1"/>
  <c r="BE888" i="2"/>
  <c r="BF888" i="2" s="1"/>
  <c r="BE889" i="2"/>
  <c r="BF889" i="2" s="1"/>
  <c r="BE890" i="2"/>
  <c r="BF890" i="2" s="1"/>
  <c r="BE891" i="2"/>
  <c r="BF891" i="2" s="1"/>
  <c r="BE892" i="2"/>
  <c r="BF892" i="2" s="1"/>
  <c r="BE893" i="2"/>
  <c r="BF893" i="2" s="1"/>
  <c r="BE894" i="2"/>
  <c r="BF894" i="2" s="1"/>
  <c r="BE895" i="2"/>
  <c r="BF895" i="2" s="1"/>
  <c r="BE896" i="2"/>
  <c r="BF896" i="2" s="1"/>
  <c r="BE897" i="2"/>
  <c r="BF897" i="2" s="1"/>
  <c r="BE898" i="2"/>
  <c r="BF898" i="2" s="1"/>
  <c r="BE899" i="2"/>
  <c r="BF899" i="2" s="1"/>
  <c r="BE900" i="2"/>
  <c r="BF900" i="2" s="1"/>
  <c r="BE901" i="2"/>
  <c r="BF901" i="2" s="1"/>
  <c r="BE902" i="2"/>
  <c r="BF902" i="2" s="1"/>
  <c r="BE903" i="2"/>
  <c r="BF903" i="2" s="1"/>
  <c r="BE904" i="2"/>
  <c r="BF904" i="2" s="1"/>
  <c r="BE905" i="2"/>
  <c r="BF905" i="2" s="1"/>
  <c r="BE906" i="2"/>
  <c r="BF906" i="2" s="1"/>
  <c r="BE907" i="2"/>
  <c r="BF907" i="2" s="1"/>
  <c r="BE908" i="2"/>
  <c r="BF908" i="2" s="1"/>
  <c r="BE909" i="2"/>
  <c r="BF909" i="2" s="1"/>
  <c r="BE910" i="2"/>
  <c r="BF910" i="2" s="1"/>
  <c r="BE911" i="2"/>
  <c r="BF911" i="2" s="1"/>
  <c r="BE912" i="2"/>
  <c r="BF912" i="2" s="1"/>
  <c r="BE913" i="2"/>
  <c r="BF913" i="2" s="1"/>
  <c r="BE914" i="2"/>
  <c r="BF914" i="2" s="1"/>
  <c r="BE915" i="2"/>
  <c r="BF915" i="2" s="1"/>
  <c r="BE916" i="2"/>
  <c r="BF916" i="2" s="1"/>
  <c r="BE917" i="2"/>
  <c r="BF917" i="2" s="1"/>
  <c r="BE918" i="2"/>
  <c r="BF918" i="2" s="1"/>
  <c r="BE919" i="2"/>
  <c r="BF919" i="2" s="1"/>
  <c r="BE920" i="2"/>
  <c r="BF920" i="2" s="1"/>
  <c r="BE921" i="2"/>
  <c r="BF921" i="2" s="1"/>
  <c r="BE922" i="2"/>
  <c r="BF922" i="2" s="1"/>
  <c r="BE923" i="2"/>
  <c r="BF923" i="2" s="1"/>
  <c r="BE924" i="2"/>
  <c r="BF924" i="2" s="1"/>
  <c r="BE925" i="2"/>
  <c r="BF925" i="2" s="1"/>
  <c r="BE926" i="2"/>
  <c r="BF926" i="2" s="1"/>
  <c r="BE927" i="2"/>
  <c r="BF927" i="2" s="1"/>
  <c r="BE928" i="2"/>
  <c r="BF928" i="2" s="1"/>
  <c r="BE929" i="2"/>
  <c r="BF929" i="2" s="1"/>
  <c r="BE930" i="2"/>
  <c r="BF930" i="2" s="1"/>
  <c r="BE931" i="2"/>
  <c r="BF931" i="2" s="1"/>
  <c r="BE932" i="2"/>
  <c r="BF932" i="2" s="1"/>
  <c r="BE933" i="2"/>
  <c r="BF933" i="2" s="1"/>
  <c r="BE934" i="2"/>
  <c r="BF934" i="2" s="1"/>
  <c r="BE935" i="2"/>
  <c r="BF935" i="2" s="1"/>
  <c r="BE936" i="2"/>
  <c r="BF936" i="2" s="1"/>
  <c r="BE937" i="2"/>
  <c r="BF937" i="2" s="1"/>
  <c r="BE938" i="2"/>
  <c r="BF938" i="2" s="1"/>
  <c r="BE939" i="2"/>
  <c r="BF939" i="2" s="1"/>
  <c r="BE940" i="2"/>
  <c r="BF940" i="2" s="1"/>
  <c r="BE941" i="2"/>
  <c r="BF941" i="2" s="1"/>
  <c r="BE942" i="2"/>
  <c r="BF942" i="2" s="1"/>
  <c r="BE943" i="2"/>
  <c r="BF943" i="2" s="1"/>
  <c r="BE944" i="2"/>
  <c r="BF944" i="2" s="1"/>
  <c r="BE945" i="2"/>
  <c r="BF945" i="2" s="1"/>
  <c r="BE946" i="2"/>
  <c r="BF946" i="2" s="1"/>
  <c r="BE947" i="2"/>
  <c r="BF947" i="2" s="1"/>
  <c r="BE948" i="2"/>
  <c r="BF948" i="2" s="1"/>
  <c r="BE949" i="2"/>
  <c r="BF949" i="2" s="1"/>
  <c r="BE950" i="2"/>
  <c r="BF950" i="2" s="1"/>
  <c r="BE951" i="2"/>
  <c r="BF951" i="2" s="1"/>
  <c r="BE952" i="2"/>
  <c r="BF952" i="2" s="1"/>
  <c r="BE953" i="2"/>
  <c r="BF953" i="2" s="1"/>
  <c r="BE954" i="2"/>
  <c r="BF954" i="2" s="1"/>
  <c r="BE955" i="2"/>
  <c r="BF955" i="2" s="1"/>
  <c r="BE956" i="2"/>
  <c r="BF956" i="2" s="1"/>
  <c r="BE957" i="2"/>
  <c r="BF957" i="2" s="1"/>
  <c r="BE958" i="2"/>
  <c r="BF958" i="2" s="1"/>
  <c r="BE959" i="2"/>
  <c r="BF959" i="2" s="1"/>
  <c r="BE960" i="2"/>
  <c r="BF960" i="2" s="1"/>
  <c r="BE961" i="2"/>
  <c r="BF961" i="2" s="1"/>
  <c r="BE962" i="2"/>
  <c r="BF962" i="2" s="1"/>
  <c r="BE963" i="2"/>
  <c r="BF963" i="2" s="1"/>
  <c r="BE964" i="2"/>
  <c r="BF964" i="2" s="1"/>
  <c r="BE965" i="2"/>
  <c r="BF965" i="2" s="1"/>
  <c r="BE966" i="2"/>
  <c r="BF966" i="2" s="1"/>
  <c r="BE967" i="2"/>
  <c r="BF967" i="2" s="1"/>
  <c r="BE968" i="2"/>
  <c r="BF968" i="2" s="1"/>
  <c r="BE969" i="2"/>
  <c r="BF969" i="2" s="1"/>
  <c r="BE970" i="2"/>
  <c r="BF970" i="2" s="1"/>
  <c r="BE971" i="2"/>
  <c r="BF971" i="2" s="1"/>
  <c r="BE972" i="2"/>
  <c r="BF972" i="2" s="1"/>
  <c r="BE973" i="2"/>
  <c r="BF973" i="2" s="1"/>
  <c r="BE974" i="2"/>
  <c r="BF974" i="2" s="1"/>
  <c r="BE975" i="2"/>
  <c r="BF975" i="2" s="1"/>
  <c r="BE976" i="2"/>
  <c r="BF976" i="2" s="1"/>
  <c r="BE977" i="2"/>
  <c r="BF977" i="2" s="1"/>
  <c r="BE978" i="2"/>
  <c r="BF978" i="2" s="1"/>
  <c r="BE979" i="2"/>
  <c r="BF979" i="2" s="1"/>
  <c r="BE980" i="2"/>
  <c r="BF980" i="2" s="1"/>
  <c r="BE981" i="2"/>
  <c r="BF981" i="2" s="1"/>
  <c r="BE982" i="2"/>
  <c r="BF982" i="2" s="1"/>
  <c r="BE983" i="2"/>
  <c r="BF983" i="2" s="1"/>
  <c r="BE984" i="2"/>
  <c r="BF984" i="2" s="1"/>
  <c r="BE985" i="2"/>
  <c r="BF985" i="2" s="1"/>
  <c r="BE986" i="2"/>
  <c r="BF986" i="2" s="1"/>
  <c r="BE987" i="2"/>
  <c r="BF987" i="2" s="1"/>
  <c r="BE988" i="2"/>
  <c r="BF988" i="2" s="1"/>
  <c r="BE989" i="2"/>
  <c r="BF989" i="2" s="1"/>
  <c r="BE990" i="2"/>
  <c r="BF990" i="2" s="1"/>
  <c r="BE991" i="2"/>
  <c r="BF991" i="2" s="1"/>
  <c r="BE992" i="2"/>
  <c r="BF992" i="2" s="1"/>
  <c r="BE993" i="2"/>
  <c r="BF993" i="2" s="1"/>
  <c r="BE994" i="2"/>
  <c r="BF994" i="2" s="1"/>
  <c r="BE995" i="2"/>
  <c r="BF995" i="2" s="1"/>
  <c r="BE996" i="2"/>
  <c r="BF996" i="2" s="1"/>
  <c r="BE997" i="2"/>
  <c r="BF997" i="2" s="1"/>
  <c r="BE998" i="2"/>
  <c r="BF998" i="2" s="1"/>
  <c r="BE999" i="2"/>
  <c r="BF999" i="2" s="1"/>
  <c r="BE1000" i="2"/>
  <c r="BF1000" i="2" s="1"/>
  <c r="BE1001" i="2"/>
  <c r="BF1001" i="2" s="1"/>
  <c r="BE1002" i="2"/>
  <c r="BF1002" i="2" s="1"/>
  <c r="Y13" i="6"/>
  <c r="Y15" i="6"/>
  <c r="Y11" i="6"/>
  <c r="Y10" i="6"/>
  <c r="Y8" i="6"/>
  <c r="Y7" i="6"/>
  <c r="Y5" i="6"/>
  <c r="Y4" i="6"/>
  <c r="Y6" i="6"/>
  <c r="BI8" i="2" l="1"/>
  <c r="Y9" i="4"/>
  <c r="Y8" i="4"/>
  <c r="Y7" i="4"/>
  <c r="Y17" i="6"/>
  <c r="BI3" i="2"/>
  <c r="T3" i="4"/>
  <c r="T4" i="4"/>
  <c r="T5" i="4"/>
  <c r="T6" i="4"/>
  <c r="T7" i="4"/>
  <c r="T8" i="4"/>
  <c r="T9" i="4"/>
  <c r="T10" i="4"/>
  <c r="T11" i="4"/>
  <c r="T12" i="4"/>
  <c r="R7" i="3"/>
  <c r="R6" i="3"/>
  <c r="R5" i="3" a="1"/>
  <c r="R5" i="3" s="1"/>
  <c r="R4" i="3"/>
  <c r="Y14" i="6" l="1"/>
  <c r="BI7" i="2"/>
  <c r="BI178" i="2"/>
  <c r="BI175" i="2"/>
  <c r="BI150" i="2"/>
  <c r="BI152" i="2"/>
  <c r="BI327" i="2" l="1"/>
  <c r="BI299" i="2"/>
  <c r="BI26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C84F8-D14C-44BD-824C-15643D335F0E}" keepAlive="1" name="Query - Client_Master" description="Connection to the 'Client_Master' query in the workbook." type="5" refreshedVersion="8" background="1" saveData="1">
    <dbPr connection="Provider=Microsoft.Mashup.OleDb.1;Data Source=$Workbook$;Location=Client_Master;Extended Properties=&quot;&quot;" command="SELECT * FROM [Client_Master]"/>
  </connection>
  <connection id="2" xr16:uid="{BA507B73-7AD5-46C9-BE76-6486F16192E0}" keepAlive="1" name="Query - Estimator_Team" description="Connection to the 'Estimator_Team' query in the workbook." type="5" refreshedVersion="8" background="1" saveData="1">
    <dbPr connection="Provider=Microsoft.Mashup.OleDb.1;Data Source=$Workbook$;Location=Estimator_Team;Extended Properties=&quot;&quot;" command="SELECT * FROM [Estimator_Team]"/>
  </connection>
  <connection id="3" xr16:uid="{26206EAE-7A86-432B-B5DA-3061A78952F0}" keepAlive="1" name="Query - Monthly_Costs" description="Connection to the 'Monthly_Costs' query in the workbook." type="5" refreshedVersion="8" background="1" saveData="1">
    <dbPr connection="Provider=Microsoft.Mashup.OleDb.1;Data Source=$Workbook$;Location=Monthly_Costs;Extended Properties=&quot;&quot;" command="SELECT * FROM [Monthly_Costs]"/>
  </connection>
  <connection id="4" xr16:uid="{19C62D2E-BB04-4322-B379-BDF8C55A4600}" keepAlive="1" name="Query - Project_Master" description="Connection to the 'Project_Master' query in the workbook." type="5" refreshedVersion="8" background="1" saveData="1">
    <dbPr connection="Provider=Microsoft.Mashup.OleDb.1;Data Source=$Workbook$;Location=Project_Master;Extended Properties=&quot;&quot;" command="SELECT * FROM [Project_Master]"/>
  </connection>
  <connection id="5" xr16:uid="{3C0D2B66-D5B2-4239-BB43-580EB7A5F012}"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6" xr16:uid="{2D13E176-460A-4152-B0AE-BD491466C3D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815B7679-0AB1-43F3-8DB1-74EBDA4DDB84}" name="WorksheetConnection_Construction_Sales_RAW_Dataset _Shifana_P__excel.xlsx!Client_Master" type="102" refreshedVersion="8" minRefreshableVersion="5">
    <extLst>
      <ext xmlns:x15="http://schemas.microsoft.com/office/spreadsheetml/2010/11/main" uri="{DE250136-89BD-433C-8126-D09CA5730AF9}">
        <x15:connection id="Client_Master">
          <x15:rangePr sourceName="_xlcn.WorksheetConnection_Construction_Sales_RAW_Dataset_Shifana_P__excel.xlsxClient_Master1"/>
        </x15:connection>
      </ext>
    </extLst>
  </connection>
  <connection id="8" xr16:uid="{9F4BD90B-A10A-4324-BB92-FEE8B6A99C71}" name="WorksheetConnection_Construction_Sales_RAW_Dataset _Shifana_P__excel.xlsx!Estimator_Team" type="102" refreshedVersion="8" minRefreshableVersion="5">
    <extLst>
      <ext xmlns:x15="http://schemas.microsoft.com/office/spreadsheetml/2010/11/main" uri="{DE250136-89BD-433C-8126-D09CA5730AF9}">
        <x15:connection id="Estimator_Team">
          <x15:rangePr sourceName="_xlcn.WorksheetConnection_Construction_Sales_RAW_Dataset_Shifana_P__excel.xlsxEstimator_Team1"/>
        </x15:connection>
      </ext>
    </extLst>
  </connection>
  <connection id="9" xr16:uid="{2E811043-BA58-4FFF-873C-5F4712D4950C}" name="WorksheetConnection_Construction_Sales_RAW_Dataset _Shifana_P__excel.xlsx!Monthly_Costs" type="102" refreshedVersion="8" minRefreshableVersion="5">
    <extLst>
      <ext xmlns:x15="http://schemas.microsoft.com/office/spreadsheetml/2010/11/main" uri="{DE250136-89BD-433C-8126-D09CA5730AF9}">
        <x15:connection id="Monthly_Costs">
          <x15:rangePr sourceName="_xlcn.WorksheetConnection_Construction_Sales_RAW_Dataset_Shifana_P__excel.xlsxMonthly_Costs1"/>
        </x15:connection>
      </ext>
    </extLst>
  </connection>
  <connection id="10" xr16:uid="{B135FF32-C0C4-450F-AD6B-BC75E33125FA}" name="WorksheetConnection_Construction_Sales_RAW_Dataset _Shifana_P__excel.xlsx!Project_Master" type="102" refreshedVersion="8" minRefreshableVersion="5">
    <extLst>
      <ext xmlns:x15="http://schemas.microsoft.com/office/spreadsheetml/2010/11/main" uri="{DE250136-89BD-433C-8126-D09CA5730AF9}">
        <x15:connection id="Project_Master">
          <x15:rangePr sourceName="_xlcn.WorksheetConnection_Construction_Sales_RAW_Dataset_Shifana_P__excel.xlsxProject_Master1"/>
        </x15:connection>
      </ext>
    </extLst>
  </connection>
  <connection id="11" xr16:uid="{382C4E96-05A8-457D-8D6F-4D6C333A1FFC}" name="WorksheetConnection_Construction_Sales_RAW_Dataset _Shifana_P__excel.xlsx!Sales_Transactions" type="102" refreshedVersion="8" minRefreshableVersion="5">
    <extLst>
      <ext xmlns:x15="http://schemas.microsoft.com/office/spreadsheetml/2010/11/main" uri="{DE250136-89BD-433C-8126-D09CA5730AF9}">
        <x15:connection id="Sales_Transactions">
          <x15:rangePr sourceName="_xlcn.WorksheetConnection_Construction_Sales_RAW_Dataset_Shifana_P__excel.xlsxSales_Transaction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<sst xmlns="http://schemas.openxmlformats.org/spreadsheetml/2006/main" count="46104" uniqueCount="5838">
  <si>
    <t>ClientName</t>
  </si>
  <si>
    <t>ClientID</t>
  </si>
  <si>
    <t>Industry</t>
  </si>
  <si>
    <t>Country</t>
  </si>
  <si>
    <t>Region</t>
  </si>
  <si>
    <t>ContactPerson</t>
  </si>
  <si>
    <t>Email</t>
  </si>
  <si>
    <t>Phone</t>
  </si>
  <si>
    <t>CreditLimit</t>
  </si>
  <si>
    <t>PaymentTerms</t>
  </si>
  <si>
    <t>ClientRating</t>
  </si>
  <si>
    <t>ActiveSince</t>
  </si>
  <si>
    <t>LastTransactionDate</t>
  </si>
  <si>
    <t>TotalContractValue</t>
  </si>
  <si>
    <t>OutstandingBalance</t>
  </si>
  <si>
    <t>Notes</t>
  </si>
  <si>
    <t>NEOM</t>
  </si>
  <si>
    <t>CL430</t>
  </si>
  <si>
    <t>Real Estate</t>
  </si>
  <si>
    <t>Germany</t>
  </si>
  <si>
    <t>GCC</t>
  </si>
  <si>
    <t>AA</t>
  </si>
  <si>
    <t>Under review</t>
  </si>
  <si>
    <t>QatarEnergy</t>
  </si>
  <si>
    <t>CL640</t>
  </si>
  <si>
    <t>Energy</t>
  </si>
  <si>
    <t>A</t>
  </si>
  <si>
    <t>VIP Client</t>
  </si>
  <si>
    <t>Aramco</t>
  </si>
  <si>
    <t>CL453</t>
  </si>
  <si>
    <t>Infrastructure</t>
  </si>
  <si>
    <t>UAE</t>
  </si>
  <si>
    <t>+971-50-1309975</t>
  </si>
  <si>
    <t>ClientX</t>
  </si>
  <si>
    <t>CL325</t>
  </si>
  <si>
    <t>Saudi Arabia</t>
  </si>
  <si>
    <t>Europe</t>
  </si>
  <si>
    <t>John Smith</t>
  </si>
  <si>
    <t>ADNOC</t>
  </si>
  <si>
    <t>CL702</t>
  </si>
  <si>
    <t>Oil &amp; Gas</t>
  </si>
  <si>
    <t>Africa</t>
  </si>
  <si>
    <t>Wei Zhang</t>
  </si>
  <si>
    <t>contact@adnoc.com</t>
  </si>
  <si>
    <t>+971-50-5170544</t>
  </si>
  <si>
    <t>Slow payer</t>
  </si>
  <si>
    <t>Bechtel</t>
  </si>
  <si>
    <t>CL597</t>
  </si>
  <si>
    <t>contact@bechtel.com</t>
  </si>
  <si>
    <t>+971-50-2880387</t>
  </si>
  <si>
    <t>Fluor</t>
  </si>
  <si>
    <t>CL814</t>
  </si>
  <si>
    <t>Americas</t>
  </si>
  <si>
    <t>+971-50-9959880</t>
  </si>
  <si>
    <t>L&amp;T</t>
  </si>
  <si>
    <t>CL749</t>
  </si>
  <si>
    <t>+971-50-7606164</t>
  </si>
  <si>
    <t>China State</t>
  </si>
  <si>
    <t>CL390</t>
  </si>
  <si>
    <t>Middle East</t>
  </si>
  <si>
    <t>contact@chinastate.com</t>
  </si>
  <si>
    <t>Preferred vendor</t>
  </si>
  <si>
    <t>Samsung C&amp;T</t>
  </si>
  <si>
    <t>CL473</t>
  </si>
  <si>
    <t>contact@samsungc&amp;t.com</t>
  </si>
  <si>
    <t>+971-50-5215475</t>
  </si>
  <si>
    <t>Larsen</t>
  </si>
  <si>
    <t>CL724</t>
  </si>
  <si>
    <t>contact@larsen.com</t>
  </si>
  <si>
    <t>+971-50-3528325</t>
  </si>
  <si>
    <t>ABB Group</t>
  </si>
  <si>
    <t>CL692</t>
  </si>
  <si>
    <t>+971-50-1557509</t>
  </si>
  <si>
    <t>Siemens</t>
  </si>
  <si>
    <t>CL232</t>
  </si>
  <si>
    <t>USA</t>
  </si>
  <si>
    <t>contact@siemens.com</t>
  </si>
  <si>
    <t>C</t>
  </si>
  <si>
    <t>GE Infrastructure</t>
  </si>
  <si>
    <t>CL244</t>
  </si>
  <si>
    <t>Vinci Construction</t>
  </si>
  <si>
    <t>CL260</t>
  </si>
  <si>
    <t>B</t>
  </si>
  <si>
    <t>EstimatorName</t>
  </si>
  <si>
    <t>EmployeeID</t>
  </si>
  <si>
    <t>Department</t>
  </si>
  <si>
    <t>Designation</t>
  </si>
  <si>
    <t>JoiningDate</t>
  </si>
  <si>
    <t>AnnualTarget</t>
  </si>
  <si>
    <t>Q1_2025_Achieved</t>
  </si>
  <si>
    <t>Q2_2025_Achieved</t>
  </si>
  <si>
    <t>Q3_2025_Achieved</t>
  </si>
  <si>
    <t>Q4_2025_Achieved</t>
  </si>
  <si>
    <t>Q1_2026_Achieved</t>
  </si>
  <si>
    <t>WinRate</t>
  </si>
  <si>
    <t>AvgBidValue</t>
  </si>
  <si>
    <t>TotalBids</t>
  </si>
  <si>
    <t>BidsWon</t>
  </si>
  <si>
    <t>Salary</t>
  </si>
  <si>
    <t>Fatima</t>
  </si>
  <si>
    <t>EMP1329</t>
  </si>
  <si>
    <t>Estimation</t>
  </si>
  <si>
    <t>Manager</t>
  </si>
  <si>
    <t>fatima@constructco.com</t>
  </si>
  <si>
    <t>High performer</t>
  </si>
  <si>
    <t>Wei</t>
  </si>
  <si>
    <t>EMP6553</t>
  </si>
  <si>
    <t>Business Dev</t>
  </si>
  <si>
    <t>Senior Estimator</t>
  </si>
  <si>
    <t>wei@constructco.com</t>
  </si>
  <si>
    <t>Remote</t>
  </si>
  <si>
    <t>Ali</t>
  </si>
  <si>
    <t>EMP1897</t>
  </si>
  <si>
    <t>Asia</t>
  </si>
  <si>
    <t>ali@constructco.com</t>
  </si>
  <si>
    <t>John</t>
  </si>
  <si>
    <t>EMP7164</t>
  </si>
  <si>
    <t>Estimator</t>
  </si>
  <si>
    <t>john@constructco.com</t>
  </si>
  <si>
    <t>Sarah</t>
  </si>
  <si>
    <t>EMP7990</t>
  </si>
  <si>
    <t>Pre-Sales</t>
  </si>
  <si>
    <t>sarah@constructco.com</t>
  </si>
  <si>
    <t>Mohamed</t>
  </si>
  <si>
    <t>EMP2478</t>
  </si>
  <si>
    <t>mohamed@constructco.com</t>
  </si>
  <si>
    <t>Training needed</t>
  </si>
  <si>
    <t>Priya</t>
  </si>
  <si>
    <t>EMP4182</t>
  </si>
  <si>
    <t>priya@constructco.com</t>
  </si>
  <si>
    <t>James</t>
  </si>
  <si>
    <t>EMP3473</t>
  </si>
  <si>
    <t>james@constructco.com</t>
  </si>
  <si>
    <t>Hana</t>
  </si>
  <si>
    <t>EMP3665</t>
  </si>
  <si>
    <t>hana@constructco.com</t>
  </si>
  <si>
    <t>Carlos</t>
  </si>
  <si>
    <t>EMP7117</t>
  </si>
  <si>
    <t>carlos@constructco.com</t>
  </si>
  <si>
    <t>Month</t>
  </si>
  <si>
    <t>OverheadCost</t>
  </si>
  <si>
    <t>LaborCost</t>
  </si>
  <si>
    <t>MaterialCost</t>
  </si>
  <si>
    <t>EquipmentCost</t>
  </si>
  <si>
    <t>SubcontractorCost</t>
  </si>
  <si>
    <t>TravelCost</t>
  </si>
  <si>
    <t>MiscCost</t>
  </si>
  <si>
    <t>PlannedBudget</t>
  </si>
  <si>
    <t>ActualSpend</t>
  </si>
  <si>
    <t>CostVariance</t>
  </si>
  <si>
    <t>Currency</t>
  </si>
  <si>
    <t>ApprovedBy</t>
  </si>
  <si>
    <t>USD</t>
  </si>
  <si>
    <t>AED</t>
  </si>
  <si>
    <t>CFO</t>
  </si>
  <si>
    <t>QAR</t>
  </si>
  <si>
    <t>Management</t>
  </si>
  <si>
    <t>Final</t>
  </si>
  <si>
    <t>PENDING</t>
  </si>
  <si>
    <t>EUR</t>
  </si>
  <si>
    <t>Draft</t>
  </si>
  <si>
    <t>Finance Dept</t>
  </si>
  <si>
    <t>SAR</t>
  </si>
  <si>
    <t>Escalation applied</t>
  </si>
  <si>
    <t>ProjectID</t>
  </si>
  <si>
    <t>ProjectName</t>
  </si>
  <si>
    <t>Client</t>
  </si>
  <si>
    <t>ContractType</t>
  </si>
  <si>
    <t>Discipline</t>
  </si>
  <si>
    <t>ProjectManager</t>
  </si>
  <si>
    <t>ProjectStatus</t>
  </si>
  <si>
    <t>StartDate</t>
  </si>
  <si>
    <t>PlannedEndDate</t>
  </si>
  <si>
    <t>Budget</t>
  </si>
  <si>
    <t>ActualCost</t>
  </si>
  <si>
    <t>ContractValue</t>
  </si>
  <si>
    <t>RevenueCategory</t>
  </si>
  <si>
    <t>Priority</t>
  </si>
  <si>
    <t>RiskLevel</t>
  </si>
  <si>
    <t>P1000</t>
  </si>
  <si>
    <t>Marina Development</t>
  </si>
  <si>
    <t>India</t>
  </si>
  <si>
    <t>Lump Sum</t>
  </si>
  <si>
    <t>Structural</t>
  </si>
  <si>
    <t>Tariq</t>
  </si>
  <si>
    <t>Active</t>
  </si>
  <si>
    <t>Maintenance</t>
  </si>
  <si>
    <t>High</t>
  </si>
  <si>
    <t>On track</t>
  </si>
  <si>
    <t>P1001</t>
  </si>
  <si>
    <t>Stadium Renovation</t>
  </si>
  <si>
    <t>Electrical</t>
  </si>
  <si>
    <t>Construction</t>
  </si>
  <si>
    <t>Low</t>
  </si>
  <si>
    <t>Medium</t>
  </si>
  <si>
    <t>P1002</t>
  </si>
  <si>
    <t>Qatar</t>
  </si>
  <si>
    <t>LSTK</t>
  </si>
  <si>
    <t>Civil</t>
  </si>
  <si>
    <t>Ravi</t>
  </si>
  <si>
    <t>Completed</t>
  </si>
  <si>
    <t>P1003</t>
  </si>
  <si>
    <t>Bridge Overhaul</t>
  </si>
  <si>
    <t>Mechanical</t>
  </si>
  <si>
    <t>Igor</t>
  </si>
  <si>
    <t>Cancelled</t>
  </si>
  <si>
    <t>Procurement</t>
  </si>
  <si>
    <t>Risk of scope change</t>
  </si>
  <si>
    <t>P1004</t>
  </si>
  <si>
    <t>Desalination Plant</t>
  </si>
  <si>
    <t>Layla</t>
  </si>
  <si>
    <t>P1005</t>
  </si>
  <si>
    <t>BOT</t>
  </si>
  <si>
    <t>Process</t>
  </si>
  <si>
    <t>P1006</t>
  </si>
  <si>
    <t>Hospital Complex</t>
  </si>
  <si>
    <t>EPC</t>
  </si>
  <si>
    <t>P1007</t>
  </si>
  <si>
    <t>Delayed</t>
  </si>
  <si>
    <t>P1008</t>
  </si>
  <si>
    <t>Oil Refinery Unit</t>
  </si>
  <si>
    <t>Sandra</t>
  </si>
  <si>
    <t>P1009</t>
  </si>
  <si>
    <t>Omar</t>
  </si>
  <si>
    <t>Consulting</t>
  </si>
  <si>
    <t>P1010</t>
  </si>
  <si>
    <t>On Hold</t>
  </si>
  <si>
    <t>P1011</t>
  </si>
  <si>
    <t>Egypt</t>
  </si>
  <si>
    <t>Engineering</t>
  </si>
  <si>
    <t>P1012</t>
  </si>
  <si>
    <t>P1013</t>
  </si>
  <si>
    <t>Solar Farm Phase 2</t>
  </si>
  <si>
    <t>HVAC</t>
  </si>
  <si>
    <t>P1014</t>
  </si>
  <si>
    <t>P1015</t>
  </si>
  <si>
    <t>Cost Plus</t>
  </si>
  <si>
    <t>P1016</t>
  </si>
  <si>
    <t>Plant Upgrade</t>
  </si>
  <si>
    <t>P1017</t>
  </si>
  <si>
    <t>Instrumentation</t>
  </si>
  <si>
    <t>P1018</t>
  </si>
  <si>
    <t>Water Treatment Plant</t>
  </si>
  <si>
    <t>P1019</t>
  </si>
  <si>
    <t>P1020</t>
  </si>
  <si>
    <t>Tunnel Project</t>
  </si>
  <si>
    <t>Piping</t>
  </si>
  <si>
    <t>P1021</t>
  </si>
  <si>
    <t>Offshore Platform</t>
  </si>
  <si>
    <t>P1022</t>
  </si>
  <si>
    <t>Rail Network Upgrade</t>
  </si>
  <si>
    <t>P1023</t>
  </si>
  <si>
    <t>P1024</t>
  </si>
  <si>
    <t>Residential Complex</t>
  </si>
  <si>
    <t>P1025</t>
  </si>
  <si>
    <t>Airport Terminal 3</t>
  </si>
  <si>
    <t>P1026</t>
  </si>
  <si>
    <t>P1027</t>
  </si>
  <si>
    <t>P1028</t>
  </si>
  <si>
    <t>27.07.2025</t>
  </si>
  <si>
    <t>P1029</t>
  </si>
  <si>
    <t>P1030</t>
  </si>
  <si>
    <t>Industrial Park</t>
  </si>
  <si>
    <t>Unit Rate</t>
  </si>
  <si>
    <t>P1031</t>
  </si>
  <si>
    <t>HQ Tower</t>
  </si>
  <si>
    <t>P1032</t>
  </si>
  <si>
    <t>P1033</t>
  </si>
  <si>
    <t>P1034</t>
  </si>
  <si>
    <t>P1035</t>
  </si>
  <si>
    <t>P1036</t>
  </si>
  <si>
    <t>P1037</t>
  </si>
  <si>
    <t>P1038</t>
  </si>
  <si>
    <t>P1039</t>
  </si>
  <si>
    <t>Smart City Hub</t>
  </si>
  <si>
    <t>P1040</t>
  </si>
  <si>
    <t>P1041</t>
  </si>
  <si>
    <t>P1042</t>
  </si>
  <si>
    <t>P1043</t>
  </si>
  <si>
    <t>P1044</t>
  </si>
  <si>
    <t>P1045</t>
  </si>
  <si>
    <t>Metro Line Extension</t>
  </si>
  <si>
    <t>P1046</t>
  </si>
  <si>
    <t>P1047</t>
  </si>
  <si>
    <t>P1048</t>
  </si>
  <si>
    <t>P1049</t>
  </si>
  <si>
    <t>P1050</t>
  </si>
  <si>
    <t>TransactionID</t>
  </si>
  <si>
    <t>Date</t>
  </si>
  <si>
    <t>BidID</t>
  </si>
  <si>
    <t>BidSubmissionDate</t>
  </si>
  <si>
    <t>AwardDate</t>
  </si>
  <si>
    <t>ProjectStartDate</t>
  </si>
  <si>
    <t>ProjectDurationMonths</t>
  </si>
  <si>
    <t>TenderValue</t>
  </si>
  <si>
    <t>DiscountPct</t>
  </si>
  <si>
    <t>VariationPct</t>
  </si>
  <si>
    <t>CostEstimate</t>
  </si>
  <si>
    <t>GrossMarginPct</t>
  </si>
  <si>
    <t>OverheadPct</t>
  </si>
  <si>
    <t>InvoiceNumber</t>
  </si>
  <si>
    <t>InvoiceValue</t>
  </si>
  <si>
    <t>CollectedAmount</t>
  </si>
  <si>
    <t>PaymentTermsDays</t>
  </si>
  <si>
    <t>DaysToCollect</t>
  </si>
  <si>
    <t>PaymentMethod</t>
  </si>
  <si>
    <t>SalesStage</t>
  </si>
  <si>
    <t>Probability</t>
  </si>
  <si>
    <t>VATPct</t>
  </si>
  <si>
    <t>RetentionPct</t>
  </si>
  <si>
    <t>ChangeOrdersCount</t>
  </si>
  <si>
    <t>LaborCount</t>
  </si>
  <si>
    <t>SubContractor</t>
  </si>
  <si>
    <t>Competitor</t>
  </si>
  <si>
    <t>BidScore</t>
  </si>
  <si>
    <t>WarrantyMonths</t>
  </si>
  <si>
    <t>ApprovalStatus</t>
  </si>
  <si>
    <t>T100000</t>
  </si>
  <si>
    <t>B2000</t>
  </si>
  <si>
    <t>INV-94939</t>
  </si>
  <si>
    <t>Won</t>
  </si>
  <si>
    <t>None</t>
  </si>
  <si>
    <t>Jacobs</t>
  </si>
  <si>
    <t>Approved</t>
  </si>
  <si>
    <t>Scope change</t>
  </si>
  <si>
    <t>T100001</t>
  </si>
  <si>
    <t>Mei</t>
  </si>
  <si>
    <t>B2001</t>
  </si>
  <si>
    <t>INV-44522</t>
  </si>
  <si>
    <t>Letter of Credit</t>
  </si>
  <si>
    <t>AECOM</t>
  </si>
  <si>
    <t>T100002</t>
  </si>
  <si>
    <t>Unknown</t>
  </si>
  <si>
    <t>Jack</t>
  </si>
  <si>
    <t>B2002</t>
  </si>
  <si>
    <t>INV-14117</t>
  </si>
  <si>
    <t>Qualification</t>
  </si>
  <si>
    <t>Rejected</t>
  </si>
  <si>
    <t>T100003</t>
  </si>
  <si>
    <t>UK</t>
  </si>
  <si>
    <t>B2003</t>
  </si>
  <si>
    <t>INV-82845</t>
  </si>
  <si>
    <t>Cash</t>
  </si>
  <si>
    <t>Al Fara'a</t>
  </si>
  <si>
    <t>T100004</t>
  </si>
  <si>
    <t>B2004</t>
  </si>
  <si>
    <t>INV-82692</t>
  </si>
  <si>
    <t>Bank Transfer</t>
  </si>
  <si>
    <t>WSP</t>
  </si>
  <si>
    <t>T100006</t>
  </si>
  <si>
    <t>South Africa</t>
  </si>
  <si>
    <t>B2006</t>
  </si>
  <si>
    <t>INV-48752</t>
  </si>
  <si>
    <t>Cheque</t>
  </si>
  <si>
    <t>Negotiation</t>
  </si>
  <si>
    <t>Drake &amp; Scull</t>
  </si>
  <si>
    <t>Mott Mac</t>
  </si>
  <si>
    <t>Follow up needed</t>
  </si>
  <si>
    <t>T100007</t>
  </si>
  <si>
    <t>B2007</t>
  </si>
  <si>
    <t>INV-83259</t>
  </si>
  <si>
    <t>Client delay</t>
  </si>
  <si>
    <t>T100008</t>
  </si>
  <si>
    <t>Nigeria</t>
  </si>
  <si>
    <t>B2008</t>
  </si>
  <si>
    <t>INV-91560</t>
  </si>
  <si>
    <t>T100010</t>
  </si>
  <si>
    <t>China</t>
  </si>
  <si>
    <t>B2010</t>
  </si>
  <si>
    <t>INV-68743</t>
  </si>
  <si>
    <t>T100011</t>
  </si>
  <si>
    <t>B2011</t>
  </si>
  <si>
    <t>INV-85631</t>
  </si>
  <si>
    <t>T100012</t>
  </si>
  <si>
    <t>B2012</t>
  </si>
  <si>
    <t>INV-84607</t>
  </si>
  <si>
    <t>Online</t>
  </si>
  <si>
    <t>Price escalation</t>
  </si>
  <si>
    <t>T100013</t>
  </si>
  <si>
    <t>B2013</t>
  </si>
  <si>
    <t>INV-77952</t>
  </si>
  <si>
    <t>Lost</t>
  </si>
  <si>
    <t>T100014</t>
  </si>
  <si>
    <t>B2014</t>
  </si>
  <si>
    <t>INV-59441</t>
  </si>
  <si>
    <t>ABB</t>
  </si>
  <si>
    <t>Parsons</t>
  </si>
  <si>
    <t>Under Review</t>
  </si>
  <si>
    <t>T100015</t>
  </si>
  <si>
    <t>B2015</t>
  </si>
  <si>
    <t>INV-29080</t>
  </si>
  <si>
    <t>THALES</t>
  </si>
  <si>
    <t>Pending</t>
  </si>
  <si>
    <t>T100016</t>
  </si>
  <si>
    <t>Data Center Build</t>
  </si>
  <si>
    <t>B2016</t>
  </si>
  <si>
    <t>INV-96400</t>
  </si>
  <si>
    <t>T100017</t>
  </si>
  <si>
    <t>B2017</t>
  </si>
  <si>
    <t>INV-74569</t>
  </si>
  <si>
    <t>T100018</t>
  </si>
  <si>
    <t>B2018</t>
  </si>
  <si>
    <t>INV-32871</t>
  </si>
  <si>
    <t>T100019</t>
  </si>
  <si>
    <t>B2019</t>
  </si>
  <si>
    <t>INV-69441</t>
  </si>
  <si>
    <t>Proposal</t>
  </si>
  <si>
    <t>T100020</t>
  </si>
  <si>
    <t>B2020</t>
  </si>
  <si>
    <t>INV-14018</t>
  </si>
  <si>
    <t>T100021</t>
  </si>
  <si>
    <t>B2021</t>
  </si>
  <si>
    <t>INV-85465</t>
  </si>
  <si>
    <t>T100022</t>
  </si>
  <si>
    <t>B2022</t>
  </si>
  <si>
    <t>INV-56129</t>
  </si>
  <si>
    <t>T100023</t>
  </si>
  <si>
    <t>B2023</t>
  </si>
  <si>
    <t>INV-21104</t>
  </si>
  <si>
    <t>T100024</t>
  </si>
  <si>
    <t>B2024</t>
  </si>
  <si>
    <t>INV-46932</t>
  </si>
  <si>
    <t>T100025</t>
  </si>
  <si>
    <t>B2025</t>
  </si>
  <si>
    <t>T100026</t>
  </si>
  <si>
    <t>B2026</t>
  </si>
  <si>
    <t>INV-56789</t>
  </si>
  <si>
    <t>T100027</t>
  </si>
  <si>
    <t>B2027</t>
  </si>
  <si>
    <t>INV-99006</t>
  </si>
  <si>
    <t>T100028</t>
  </si>
  <si>
    <t>B2028</t>
  </si>
  <si>
    <t>INV-51553</t>
  </si>
  <si>
    <t>T100029</t>
  </si>
  <si>
    <t>B2029</t>
  </si>
  <si>
    <t>INV-64476</t>
  </si>
  <si>
    <t>T100030</t>
  </si>
  <si>
    <t>B2030</t>
  </si>
  <si>
    <t>16.04.2025</t>
  </si>
  <si>
    <t>INV-84747</t>
  </si>
  <si>
    <t>T100031</t>
  </si>
  <si>
    <t>B2031</t>
  </si>
  <si>
    <t>INV-92447</t>
  </si>
  <si>
    <t>T100032</t>
  </si>
  <si>
    <t>B2032</t>
  </si>
  <si>
    <t>INV-20358</t>
  </si>
  <si>
    <t>T100033</t>
  </si>
  <si>
    <t>B2033</t>
  </si>
  <si>
    <t>INV-81211</t>
  </si>
  <si>
    <t>T100034</t>
  </si>
  <si>
    <t>B2034</t>
  </si>
  <si>
    <t>INV-97044</t>
  </si>
  <si>
    <t>T100035</t>
  </si>
  <si>
    <t>B2035</t>
  </si>
  <si>
    <t>INV-80687</t>
  </si>
  <si>
    <t>Prospecting</t>
  </si>
  <si>
    <t>T100036</t>
  </si>
  <si>
    <t>B2036</t>
  </si>
  <si>
    <t>INV-87550</t>
  </si>
  <si>
    <t>T100037</t>
  </si>
  <si>
    <t>B2037</t>
  </si>
  <si>
    <t>INV-41369</t>
  </si>
  <si>
    <t>T100039</t>
  </si>
  <si>
    <t>B2039</t>
  </si>
  <si>
    <t>INV-33508</t>
  </si>
  <si>
    <t>T100040</t>
  </si>
  <si>
    <t>B2040</t>
  </si>
  <si>
    <t>INV-68830</t>
  </si>
  <si>
    <t>T100041</t>
  </si>
  <si>
    <t>B2041</t>
  </si>
  <si>
    <t>26.01.2025</t>
  </si>
  <si>
    <t>INV-52714</t>
  </si>
  <si>
    <t>T100042</t>
  </si>
  <si>
    <t>B2042</t>
  </si>
  <si>
    <t>INV-99070</t>
  </si>
  <si>
    <t>T100043</t>
  </si>
  <si>
    <t>B2043</t>
  </si>
  <si>
    <t>INV-74157</t>
  </si>
  <si>
    <t>T100044</t>
  </si>
  <si>
    <t>B2044</t>
  </si>
  <si>
    <t>INV-84140</t>
  </si>
  <si>
    <t>T100045</t>
  </si>
  <si>
    <t>B2045</t>
  </si>
  <si>
    <t>INV-98635</t>
  </si>
  <si>
    <t>T100046</t>
  </si>
  <si>
    <t>B2046</t>
  </si>
  <si>
    <t>26.11.2025</t>
  </si>
  <si>
    <t>INV-31695</t>
  </si>
  <si>
    <t>T100047</t>
  </si>
  <si>
    <t>B2047</t>
  </si>
  <si>
    <t>INV-36928</t>
  </si>
  <si>
    <t>T100048</t>
  </si>
  <si>
    <t>B2048</t>
  </si>
  <si>
    <t>INV-89800</t>
  </si>
  <si>
    <t>T100049</t>
  </si>
  <si>
    <t>B2049</t>
  </si>
  <si>
    <t>INV-33507</t>
  </si>
  <si>
    <t>T100050</t>
  </si>
  <si>
    <t>B2050</t>
  </si>
  <si>
    <t>INV-67014</t>
  </si>
  <si>
    <t>T100051</t>
  </si>
  <si>
    <t>B2051</t>
  </si>
  <si>
    <t>INV-94500</t>
  </si>
  <si>
    <t>T100052</t>
  </si>
  <si>
    <t>B2052</t>
  </si>
  <si>
    <t>INV-46822</t>
  </si>
  <si>
    <t>T100053</t>
  </si>
  <si>
    <t>B2053</t>
  </si>
  <si>
    <t>INV-49552</t>
  </si>
  <si>
    <t>T100054</t>
  </si>
  <si>
    <t>B2054</t>
  </si>
  <si>
    <t>INV-56036</t>
  </si>
  <si>
    <t>T100055</t>
  </si>
  <si>
    <t>B2055</t>
  </si>
  <si>
    <t>INV-96643</t>
  </si>
  <si>
    <t>T100056</t>
  </si>
  <si>
    <t>B2056</t>
  </si>
  <si>
    <t>INV-46202</t>
  </si>
  <si>
    <t>T100057</t>
  </si>
  <si>
    <t>B2057</t>
  </si>
  <si>
    <t>INV-77537</t>
  </si>
  <si>
    <t>T100058</t>
  </si>
  <si>
    <t>B2058</t>
  </si>
  <si>
    <t>INV-55706</t>
  </si>
  <si>
    <t>T100059</t>
  </si>
  <si>
    <t>B2059</t>
  </si>
  <si>
    <t>23.01.2026</t>
  </si>
  <si>
    <t>INV-83273</t>
  </si>
  <si>
    <t>T100060</t>
  </si>
  <si>
    <t>B2060</t>
  </si>
  <si>
    <t>INV-79603</t>
  </si>
  <si>
    <t>T100061</t>
  </si>
  <si>
    <t>B2061</t>
  </si>
  <si>
    <t>INV-96832</t>
  </si>
  <si>
    <t>T100062</t>
  </si>
  <si>
    <t>B2062</t>
  </si>
  <si>
    <t>INV-22183</t>
  </si>
  <si>
    <t>T100063</t>
  </si>
  <si>
    <t>B2063</t>
  </si>
  <si>
    <t>INV-31679</t>
  </si>
  <si>
    <t>T100064</t>
  </si>
  <si>
    <t>B2064</t>
  </si>
  <si>
    <t>INV-25826</t>
  </si>
  <si>
    <t>T100065</t>
  </si>
  <si>
    <t>B2065</t>
  </si>
  <si>
    <t>INV-33306</t>
  </si>
  <si>
    <t>T100066</t>
  </si>
  <si>
    <t>B2066</t>
  </si>
  <si>
    <t>INV-89087</t>
  </si>
  <si>
    <t>T100067</t>
  </si>
  <si>
    <t>B2067</t>
  </si>
  <si>
    <t>INV-24860</t>
  </si>
  <si>
    <t>T100068</t>
  </si>
  <si>
    <t>B2068</t>
  </si>
  <si>
    <t>INV-23911</t>
  </si>
  <si>
    <t>T100069</t>
  </si>
  <si>
    <t>B2069</t>
  </si>
  <si>
    <t>INV-40740</t>
  </si>
  <si>
    <t>T100070</t>
  </si>
  <si>
    <t>B2070</t>
  </si>
  <si>
    <t>INV-76900</t>
  </si>
  <si>
    <t>T100071</t>
  </si>
  <si>
    <t>Highway</t>
  </si>
  <si>
    <t>B2071</t>
  </si>
  <si>
    <t>INV-40145</t>
  </si>
  <si>
    <t>T100072</t>
  </si>
  <si>
    <t>B2072</t>
  </si>
  <si>
    <t>INV-29603</t>
  </si>
  <si>
    <t>T100073</t>
  </si>
  <si>
    <t>B2073</t>
  </si>
  <si>
    <t>INV-83080</t>
  </si>
  <si>
    <t>T100074</t>
  </si>
  <si>
    <t>B2074</t>
  </si>
  <si>
    <t>INV-46167</t>
  </si>
  <si>
    <t>T100075</t>
  </si>
  <si>
    <t>B2075</t>
  </si>
  <si>
    <t>INV-33394</t>
  </si>
  <si>
    <t>T100076</t>
  </si>
  <si>
    <t>B2076</t>
  </si>
  <si>
    <t>INV-44452</t>
  </si>
  <si>
    <t>T100077</t>
  </si>
  <si>
    <t>B2077</t>
  </si>
  <si>
    <t>INV-47304</t>
  </si>
  <si>
    <t>T100078</t>
  </si>
  <si>
    <t>B2078</t>
  </si>
  <si>
    <t>INV-47247</t>
  </si>
  <si>
    <t>T100079</t>
  </si>
  <si>
    <t>B2079</t>
  </si>
  <si>
    <t>INV-20382</t>
  </si>
  <si>
    <t>T100080</t>
  </si>
  <si>
    <t>B2080</t>
  </si>
  <si>
    <t>INV-42631</t>
  </si>
  <si>
    <t>T100081</t>
  </si>
  <si>
    <t>B2081</t>
  </si>
  <si>
    <t>19.05.2025</t>
  </si>
  <si>
    <t>INV-59514</t>
  </si>
  <si>
    <t>T100082</t>
  </si>
  <si>
    <t>B2082</t>
  </si>
  <si>
    <t>INV-19289</t>
  </si>
  <si>
    <t>T100083</t>
  </si>
  <si>
    <t>B2083</t>
  </si>
  <si>
    <t>INV-68654</t>
  </si>
  <si>
    <t>T100084</t>
  </si>
  <si>
    <t>B2084</t>
  </si>
  <si>
    <t>INV-52838</t>
  </si>
  <si>
    <t>T100085</t>
  </si>
  <si>
    <t>B2085</t>
  </si>
  <si>
    <t>INV-29356</t>
  </si>
  <si>
    <t>T100086</t>
  </si>
  <si>
    <t>B2086</t>
  </si>
  <si>
    <t>INV-91950</t>
  </si>
  <si>
    <t>T100087</t>
  </si>
  <si>
    <t>B2087</t>
  </si>
  <si>
    <t>INV-90263</t>
  </si>
  <si>
    <t>T100088</t>
  </si>
  <si>
    <t>B2088</t>
  </si>
  <si>
    <t>INV-47475</t>
  </si>
  <si>
    <t>T100089</t>
  </si>
  <si>
    <t>B2089</t>
  </si>
  <si>
    <t>T100090</t>
  </si>
  <si>
    <t>B2090</t>
  </si>
  <si>
    <t>INV-92441</t>
  </si>
  <si>
    <t>T100091</t>
  </si>
  <si>
    <t>B2091</t>
  </si>
  <si>
    <t>INV-30366</t>
  </si>
  <si>
    <t>T100092</t>
  </si>
  <si>
    <t>B2092</t>
  </si>
  <si>
    <t>INV-22878</t>
  </si>
  <si>
    <t>T100093</t>
  </si>
  <si>
    <t>B2093</t>
  </si>
  <si>
    <t>INV-35971</t>
  </si>
  <si>
    <t>T100094</t>
  </si>
  <si>
    <t>B2094</t>
  </si>
  <si>
    <t>INV-88128</t>
  </si>
  <si>
    <t>T100095</t>
  </si>
  <si>
    <t>B2095</t>
  </si>
  <si>
    <t>INV-82800</t>
  </si>
  <si>
    <t>T100096</t>
  </si>
  <si>
    <t>B2096</t>
  </si>
  <si>
    <t>INV-16917</t>
  </si>
  <si>
    <t>T100097</t>
  </si>
  <si>
    <t>B2097</t>
  </si>
  <si>
    <t>INV-93568</t>
  </si>
  <si>
    <t>T100098</t>
  </si>
  <si>
    <t>B2098</t>
  </si>
  <si>
    <t>T100099</t>
  </si>
  <si>
    <t>B2099</t>
  </si>
  <si>
    <t>INV-29510</t>
  </si>
  <si>
    <t>T100100</t>
  </si>
  <si>
    <t>B2100</t>
  </si>
  <si>
    <t>INV-79984</t>
  </si>
  <si>
    <t>T100101</t>
  </si>
  <si>
    <t>B2101</t>
  </si>
  <si>
    <t>INV-82536</t>
  </si>
  <si>
    <t>T100102</t>
  </si>
  <si>
    <t>B2102</t>
  </si>
  <si>
    <t>INV-47363</t>
  </si>
  <si>
    <t>T100103</t>
  </si>
  <si>
    <t>B2103</t>
  </si>
  <si>
    <t>INV-82450</t>
  </si>
  <si>
    <t>T100104</t>
  </si>
  <si>
    <t>B2104</t>
  </si>
  <si>
    <t>INV-45361</t>
  </si>
  <si>
    <t>T100105</t>
  </si>
  <si>
    <t>B2105</t>
  </si>
  <si>
    <t>INV-29392</t>
  </si>
  <si>
    <t>T100106</t>
  </si>
  <si>
    <t>B2106</t>
  </si>
  <si>
    <t>INV-55068</t>
  </si>
  <si>
    <t>T100107</t>
  </si>
  <si>
    <t>B2107</t>
  </si>
  <si>
    <t>15.10.2025</t>
  </si>
  <si>
    <t>INV-66051</t>
  </si>
  <si>
    <t>T100108</t>
  </si>
  <si>
    <t>B2108</t>
  </si>
  <si>
    <t>INV-46335</t>
  </si>
  <si>
    <t>T100109</t>
  </si>
  <si>
    <t>B2109</t>
  </si>
  <si>
    <t>INV-78898</t>
  </si>
  <si>
    <t>T100110</t>
  </si>
  <si>
    <t>B2110</t>
  </si>
  <si>
    <t>INV-75619</t>
  </si>
  <si>
    <t>T100111</t>
  </si>
  <si>
    <t>B2111</t>
  </si>
  <si>
    <t>INV-74441</t>
  </si>
  <si>
    <t>T100112</t>
  </si>
  <si>
    <t>B2112</t>
  </si>
  <si>
    <t>INV-80848</t>
  </si>
  <si>
    <t>T100113</t>
  </si>
  <si>
    <t>B2113</t>
  </si>
  <si>
    <t>INV-32253</t>
  </si>
  <si>
    <t>T100114</t>
  </si>
  <si>
    <t>B2114</t>
  </si>
  <si>
    <t>INV-91915</t>
  </si>
  <si>
    <t>T100115</t>
  </si>
  <si>
    <t>B2115</t>
  </si>
  <si>
    <t>INV-12609</t>
  </si>
  <si>
    <t>T100116</t>
  </si>
  <si>
    <t>B2116</t>
  </si>
  <si>
    <t>INV-96798</t>
  </si>
  <si>
    <t>T100117</t>
  </si>
  <si>
    <t>B2117</t>
  </si>
  <si>
    <t>INV-77681</t>
  </si>
  <si>
    <t>T100119</t>
  </si>
  <si>
    <t>B2119</t>
  </si>
  <si>
    <t>INV-44500</t>
  </si>
  <si>
    <t>T100120</t>
  </si>
  <si>
    <t>B2120</t>
  </si>
  <si>
    <t>INV-96447</t>
  </si>
  <si>
    <t>T100121</t>
  </si>
  <si>
    <t>B2121</t>
  </si>
  <si>
    <t>INV-94833</t>
  </si>
  <si>
    <t>T100122</t>
  </si>
  <si>
    <t>B2122</t>
  </si>
  <si>
    <t>INV-96208</t>
  </si>
  <si>
    <t>T100123</t>
  </si>
  <si>
    <t>B2123</t>
  </si>
  <si>
    <t>17.04.2026</t>
  </si>
  <si>
    <t>INV-79246</t>
  </si>
  <si>
    <t>T100124</t>
  </si>
  <si>
    <t>B2124</t>
  </si>
  <si>
    <t>INV-83660</t>
  </si>
  <si>
    <t>T100125</t>
  </si>
  <si>
    <t>B2125</t>
  </si>
  <si>
    <t>INV-63648</t>
  </si>
  <si>
    <t>T100126</t>
  </si>
  <si>
    <t>B2126</t>
  </si>
  <si>
    <t>INV-13655</t>
  </si>
  <si>
    <t>T100127</t>
  </si>
  <si>
    <t>B2127</t>
  </si>
  <si>
    <t>INV-73539</t>
  </si>
  <si>
    <t>T100128</t>
  </si>
  <si>
    <t>B2128</t>
  </si>
  <si>
    <t>INV-63690</t>
  </si>
  <si>
    <t>T100129</t>
  </si>
  <si>
    <t>B2129</t>
  </si>
  <si>
    <t>INV-17667</t>
  </si>
  <si>
    <t>T100130</t>
  </si>
  <si>
    <t>B2130</t>
  </si>
  <si>
    <t>INV-37886</t>
  </si>
  <si>
    <t>T100131</t>
  </si>
  <si>
    <t>B2131</t>
  </si>
  <si>
    <t>INV-35295</t>
  </si>
  <si>
    <t>T100132</t>
  </si>
  <si>
    <t>B2132</t>
  </si>
  <si>
    <t>INV-77797</t>
  </si>
  <si>
    <t>T100133</t>
  </si>
  <si>
    <t>B2133</t>
  </si>
  <si>
    <t>INV-59998</t>
  </si>
  <si>
    <t>T100134</t>
  </si>
  <si>
    <t>B2134</t>
  </si>
  <si>
    <t>INV-72354</t>
  </si>
  <si>
    <t>T100135</t>
  </si>
  <si>
    <t>B2135</t>
  </si>
  <si>
    <t>INV-91684</t>
  </si>
  <si>
    <t>T100136</t>
  </si>
  <si>
    <t>B2136</t>
  </si>
  <si>
    <t>INV-56081</t>
  </si>
  <si>
    <t>T100137</t>
  </si>
  <si>
    <t>B2137</t>
  </si>
  <si>
    <t>INV-51035</t>
  </si>
  <si>
    <t>T100138</t>
  </si>
  <si>
    <t>B2138</t>
  </si>
  <si>
    <t>INV-58319</t>
  </si>
  <si>
    <t>T100139</t>
  </si>
  <si>
    <t>B2139</t>
  </si>
  <si>
    <t>INV-80482</t>
  </si>
  <si>
    <t>T100140</t>
  </si>
  <si>
    <t>B2140</t>
  </si>
  <si>
    <t>INV-16259</t>
  </si>
  <si>
    <t>T100141</t>
  </si>
  <si>
    <t>B2141</t>
  </si>
  <si>
    <t>INV-22418</t>
  </si>
  <si>
    <t>T100142</t>
  </si>
  <si>
    <t>B2142</t>
  </si>
  <si>
    <t>INV-39156</t>
  </si>
  <si>
    <t>T100143</t>
  </si>
  <si>
    <t>B2143</t>
  </si>
  <si>
    <t>INV-89432</t>
  </si>
  <si>
    <t>T100144</t>
  </si>
  <si>
    <t>B2144</t>
  </si>
  <si>
    <t>INV-20531</t>
  </si>
  <si>
    <t>T100145</t>
  </si>
  <si>
    <t>B2145</t>
  </si>
  <si>
    <t>INV-46275</t>
  </si>
  <si>
    <t>T100146</t>
  </si>
  <si>
    <t>B2146</t>
  </si>
  <si>
    <t>INV-68236</t>
  </si>
  <si>
    <t>T100147</t>
  </si>
  <si>
    <t>B2147</t>
  </si>
  <si>
    <t>INV-83649</t>
  </si>
  <si>
    <t>T100148</t>
  </si>
  <si>
    <t>B2148</t>
  </si>
  <si>
    <t>INV-39500</t>
  </si>
  <si>
    <t>T100149</t>
  </si>
  <si>
    <t>B2149</t>
  </si>
  <si>
    <t>INV-29473</t>
  </si>
  <si>
    <t>T100150</t>
  </si>
  <si>
    <t>B2150</t>
  </si>
  <si>
    <t>INV-33584</t>
  </si>
  <si>
    <t>T100151</t>
  </si>
  <si>
    <t>B2151</t>
  </si>
  <si>
    <t>INV-45310</t>
  </si>
  <si>
    <t>T100152</t>
  </si>
  <si>
    <t>B2152</t>
  </si>
  <si>
    <t>INV-26563</t>
  </si>
  <si>
    <t>T100153</t>
  </si>
  <si>
    <t>B2153</t>
  </si>
  <si>
    <t>INV-89609</t>
  </si>
  <si>
    <t>T100154</t>
  </si>
  <si>
    <t>B2154</t>
  </si>
  <si>
    <t>INV-33878</t>
  </si>
  <si>
    <t>T100155</t>
  </si>
  <si>
    <t>B2155</t>
  </si>
  <si>
    <t>INV-42421</t>
  </si>
  <si>
    <t>T100156</t>
  </si>
  <si>
    <t>B2156</t>
  </si>
  <si>
    <t>INV-27079</t>
  </si>
  <si>
    <t>T100157</t>
  </si>
  <si>
    <t>B2157</t>
  </si>
  <si>
    <t>INV-62540</t>
  </si>
  <si>
    <t>T100158</t>
  </si>
  <si>
    <t>B2158</t>
  </si>
  <si>
    <t>INV-60067</t>
  </si>
  <si>
    <t>T100159</t>
  </si>
  <si>
    <t>B2159</t>
  </si>
  <si>
    <t>INV-54353</t>
  </si>
  <si>
    <t>T100160</t>
  </si>
  <si>
    <t>B2160</t>
  </si>
  <si>
    <t>INV-96734</t>
  </si>
  <si>
    <t>T100161</t>
  </si>
  <si>
    <t>B2161</t>
  </si>
  <si>
    <t>INV-82286</t>
  </si>
  <si>
    <t>T100162</t>
  </si>
  <si>
    <t>B2162</t>
  </si>
  <si>
    <t>INV-38692</t>
  </si>
  <si>
    <t>T100163</t>
  </si>
  <si>
    <t>B2163</t>
  </si>
  <si>
    <t>INV-60084</t>
  </si>
  <si>
    <t>T100164</t>
  </si>
  <si>
    <t>B2164</t>
  </si>
  <si>
    <t>INV-47568</t>
  </si>
  <si>
    <t>T100165</t>
  </si>
  <si>
    <t>B2165</t>
  </si>
  <si>
    <t>INV-18178</t>
  </si>
  <si>
    <t>T100166</t>
  </si>
  <si>
    <t>B2166</t>
  </si>
  <si>
    <t>INV-26478</t>
  </si>
  <si>
    <t>T100167</t>
  </si>
  <si>
    <t>B2167</t>
  </si>
  <si>
    <t>INV-14277</t>
  </si>
  <si>
    <t>T100168</t>
  </si>
  <si>
    <t>B2168</t>
  </si>
  <si>
    <t>INV-52258</t>
  </si>
  <si>
    <t>T100169</t>
  </si>
  <si>
    <t>B2169</t>
  </si>
  <si>
    <t>INV-69097</t>
  </si>
  <si>
    <t>T100170</t>
  </si>
  <si>
    <t>B2170</t>
  </si>
  <si>
    <t>INV-51779</t>
  </si>
  <si>
    <t>T100171</t>
  </si>
  <si>
    <t>B2171</t>
  </si>
  <si>
    <t>INV-26265</t>
  </si>
  <si>
    <t>T100172</t>
  </si>
  <si>
    <t>B2172</t>
  </si>
  <si>
    <t>INV-90314</t>
  </si>
  <si>
    <t>T100173</t>
  </si>
  <si>
    <t>B2173</t>
  </si>
  <si>
    <t>INV-62455</t>
  </si>
  <si>
    <t>T100174</t>
  </si>
  <si>
    <t>B2174</t>
  </si>
  <si>
    <t>INV-45162</t>
  </si>
  <si>
    <t>T100175</t>
  </si>
  <si>
    <t>B2175</t>
  </si>
  <si>
    <t>T100176</t>
  </si>
  <si>
    <t>B2176</t>
  </si>
  <si>
    <t>T100177</t>
  </si>
  <si>
    <t>B2177</t>
  </si>
  <si>
    <t>T100178</t>
  </si>
  <si>
    <t>B2178</t>
  </si>
  <si>
    <t>INV-49311</t>
  </si>
  <si>
    <t>T100179</t>
  </si>
  <si>
    <t>B2179</t>
  </si>
  <si>
    <t>T100180</t>
  </si>
  <si>
    <t>B2180</t>
  </si>
  <si>
    <t>INV-36179</t>
  </si>
  <si>
    <t>T100181</t>
  </si>
  <si>
    <t>B2181</t>
  </si>
  <si>
    <t>INV-86385</t>
  </si>
  <si>
    <t>T100182</t>
  </si>
  <si>
    <t>B2182</t>
  </si>
  <si>
    <t>INV-67216</t>
  </si>
  <si>
    <t>T100183</t>
  </si>
  <si>
    <t>B2183</t>
  </si>
  <si>
    <t>INV-28607</t>
  </si>
  <si>
    <t>T100184</t>
  </si>
  <si>
    <t>B2184</t>
  </si>
  <si>
    <t>INV-48774</t>
  </si>
  <si>
    <t>T100185</t>
  </si>
  <si>
    <t>B2185</t>
  </si>
  <si>
    <t>INV-88719</t>
  </si>
  <si>
    <t>T100186</t>
  </si>
  <si>
    <t>B2186</t>
  </si>
  <si>
    <t>INV-53081</t>
  </si>
  <si>
    <t>T100187</t>
  </si>
  <si>
    <t>B2187</t>
  </si>
  <si>
    <t>20.06.2025</t>
  </si>
  <si>
    <t>INV-48455</t>
  </si>
  <si>
    <t>T100188</t>
  </si>
  <si>
    <t>B2188</t>
  </si>
  <si>
    <t>INV-40366</t>
  </si>
  <si>
    <t>T100189</t>
  </si>
  <si>
    <t>B2189</t>
  </si>
  <si>
    <t>INV-59310</t>
  </si>
  <si>
    <t>T100190</t>
  </si>
  <si>
    <t>B2190</t>
  </si>
  <si>
    <t>INV-40783</t>
  </si>
  <si>
    <t>T100191</t>
  </si>
  <si>
    <t>B2191</t>
  </si>
  <si>
    <t>INV-73556</t>
  </si>
  <si>
    <t>T100193</t>
  </si>
  <si>
    <t>B2193</t>
  </si>
  <si>
    <t>INV-81707</t>
  </si>
  <si>
    <t>T100194</t>
  </si>
  <si>
    <t>B2194</t>
  </si>
  <si>
    <t>INV-62857</t>
  </si>
  <si>
    <t>T100195</t>
  </si>
  <si>
    <t>B2195</t>
  </si>
  <si>
    <t>INV-42838</t>
  </si>
  <si>
    <t>T100197</t>
  </si>
  <si>
    <t>B2197</t>
  </si>
  <si>
    <t>INV-27397</t>
  </si>
  <si>
    <t>T100198</t>
  </si>
  <si>
    <t>B2198</t>
  </si>
  <si>
    <t>INV-53871</t>
  </si>
  <si>
    <t>T100199</t>
  </si>
  <si>
    <t>B2199</t>
  </si>
  <si>
    <t>INV-34195</t>
  </si>
  <si>
    <t>T100200</t>
  </si>
  <si>
    <t>B2200</t>
  </si>
  <si>
    <t>INV-73000</t>
  </si>
  <si>
    <t>T100201</t>
  </si>
  <si>
    <t>B2201</t>
  </si>
  <si>
    <t>INV-98473</t>
  </si>
  <si>
    <t>T100202</t>
  </si>
  <si>
    <t>B2202</t>
  </si>
  <si>
    <t>INV-38207</t>
  </si>
  <si>
    <t>T100203</t>
  </si>
  <si>
    <t>B2203</t>
  </si>
  <si>
    <t>INV-30434</t>
  </si>
  <si>
    <t>T100204</t>
  </si>
  <si>
    <t>B2204</t>
  </si>
  <si>
    <t>INV-91254</t>
  </si>
  <si>
    <t>T100205</t>
  </si>
  <si>
    <t>B2205</t>
  </si>
  <si>
    <t>INV-17836</t>
  </si>
  <si>
    <t>T100206</t>
  </si>
  <si>
    <t>B2206</t>
  </si>
  <si>
    <t>INV-43725</t>
  </si>
  <si>
    <t>T100207</t>
  </si>
  <si>
    <t>B2207</t>
  </si>
  <si>
    <t>INV-17336</t>
  </si>
  <si>
    <t>T100208</t>
  </si>
  <si>
    <t>B2208</t>
  </si>
  <si>
    <t>INV-47192</t>
  </si>
  <si>
    <t>T100209</t>
  </si>
  <si>
    <t>B2209</t>
  </si>
  <si>
    <t>INV-64673</t>
  </si>
  <si>
    <t>T100210</t>
  </si>
  <si>
    <t>B2210</t>
  </si>
  <si>
    <t>28.08.2025</t>
  </si>
  <si>
    <t>INV-79602</t>
  </si>
  <si>
    <t>T100211</t>
  </si>
  <si>
    <t>B2211</t>
  </si>
  <si>
    <t>INV-33812</t>
  </si>
  <si>
    <t>T100212</t>
  </si>
  <si>
    <t>B2212</t>
  </si>
  <si>
    <t>T100213</t>
  </si>
  <si>
    <t>B2213</t>
  </si>
  <si>
    <t>INV-58719</t>
  </si>
  <si>
    <t>T100215</t>
  </si>
  <si>
    <t>B2215</t>
  </si>
  <si>
    <t>INV-73878</t>
  </si>
  <si>
    <t>T100216</t>
  </si>
  <si>
    <t>B2216</t>
  </si>
  <si>
    <t>INV-78386</t>
  </si>
  <si>
    <t>T100217</t>
  </si>
  <si>
    <t>B2217</t>
  </si>
  <si>
    <t>INV-43482</t>
  </si>
  <si>
    <t>T100218</t>
  </si>
  <si>
    <t>B2218</t>
  </si>
  <si>
    <t>INV-41275</t>
  </si>
  <si>
    <t>T100219</t>
  </si>
  <si>
    <t>B2219</t>
  </si>
  <si>
    <t>INV-91500</t>
  </si>
  <si>
    <t>T100220</t>
  </si>
  <si>
    <t>B2220</t>
  </si>
  <si>
    <t>T100221</t>
  </si>
  <si>
    <t>B2221</t>
  </si>
  <si>
    <t>INV-46187</t>
  </si>
  <si>
    <t>T100222</t>
  </si>
  <si>
    <t>B2222</t>
  </si>
  <si>
    <t>INV-36293</t>
  </si>
  <si>
    <t>T100223</t>
  </si>
  <si>
    <t>B2223</t>
  </si>
  <si>
    <t>18.03.2026</t>
  </si>
  <si>
    <t>INV-96309</t>
  </si>
  <si>
    <t>T100224</t>
  </si>
  <si>
    <t>B2224</t>
  </si>
  <si>
    <t>T100225</t>
  </si>
  <si>
    <t>B2225</t>
  </si>
  <si>
    <t>INV-11367</t>
  </si>
  <si>
    <t>T100226</t>
  </si>
  <si>
    <t>B2226</t>
  </si>
  <si>
    <t>INV-42873</t>
  </si>
  <si>
    <t>T100227</t>
  </si>
  <si>
    <t>B2227</t>
  </si>
  <si>
    <t>INV-41151</t>
  </si>
  <si>
    <t>T100228</t>
  </si>
  <si>
    <t>B2228</t>
  </si>
  <si>
    <t>16.12.2025</t>
  </si>
  <si>
    <t>INV-91735</t>
  </si>
  <si>
    <t>T100229</t>
  </si>
  <si>
    <t>B2229</t>
  </si>
  <si>
    <t>INV-79770</t>
  </si>
  <si>
    <t>T100230</t>
  </si>
  <si>
    <t>B2230</t>
  </si>
  <si>
    <t>INV-78214</t>
  </si>
  <si>
    <t>T100231</t>
  </si>
  <si>
    <t>B2231</t>
  </si>
  <si>
    <t>T100233</t>
  </si>
  <si>
    <t>B2233</t>
  </si>
  <si>
    <t>INV-12148</t>
  </si>
  <si>
    <t>T100234</t>
  </si>
  <si>
    <t>B2234</t>
  </si>
  <si>
    <t>INV-85657</t>
  </si>
  <si>
    <t>T100235</t>
  </si>
  <si>
    <t>B2235</t>
  </si>
  <si>
    <t>INV-11430</t>
  </si>
  <si>
    <t>T100236</t>
  </si>
  <si>
    <t>B2236</t>
  </si>
  <si>
    <t>INV-54323</t>
  </si>
  <si>
    <t>T100237</t>
  </si>
  <si>
    <t>B2237</t>
  </si>
  <si>
    <t>INV-91630</t>
  </si>
  <si>
    <t>T100238</t>
  </si>
  <si>
    <t>B2238</t>
  </si>
  <si>
    <t>INV-10035</t>
  </si>
  <si>
    <t>T100239</t>
  </si>
  <si>
    <t>B2239</t>
  </si>
  <si>
    <t>INV-72805</t>
  </si>
  <si>
    <t>T100240</t>
  </si>
  <si>
    <t>B2240</t>
  </si>
  <si>
    <t>30.04.2025</t>
  </si>
  <si>
    <t>INV-92928</t>
  </si>
  <si>
    <t>T100241</t>
  </si>
  <si>
    <t>B2241</t>
  </si>
  <si>
    <t>INV-43218</t>
  </si>
  <si>
    <t>T100242</t>
  </si>
  <si>
    <t>B2242</t>
  </si>
  <si>
    <t>INV-75807</t>
  </si>
  <si>
    <t>T100243</t>
  </si>
  <si>
    <t>B2243</t>
  </si>
  <si>
    <t>24.08.2025</t>
  </si>
  <si>
    <t>INV-97123</t>
  </si>
  <si>
    <t>T100244</t>
  </si>
  <si>
    <t>B2244</t>
  </si>
  <si>
    <t>27.03.2025</t>
  </si>
  <si>
    <t>INV-66606</t>
  </si>
  <si>
    <t>T100245</t>
  </si>
  <si>
    <t>B2245</t>
  </si>
  <si>
    <t>INV-84188</t>
  </si>
  <si>
    <t>T100246</t>
  </si>
  <si>
    <t>B2246</t>
  </si>
  <si>
    <t>INV-67301</t>
  </si>
  <si>
    <t>T100247</t>
  </si>
  <si>
    <t>B2247</t>
  </si>
  <si>
    <t>INV-50434</t>
  </si>
  <si>
    <t>T100248</t>
  </si>
  <si>
    <t>B2248</t>
  </si>
  <si>
    <t>INV-45274</t>
  </si>
  <si>
    <t>T100249</t>
  </si>
  <si>
    <t>B2249</t>
  </si>
  <si>
    <t>INV-45695</t>
  </si>
  <si>
    <t>T100250</t>
  </si>
  <si>
    <t>B2250</t>
  </si>
  <si>
    <t>INV-29289</t>
  </si>
  <si>
    <t>T100251</t>
  </si>
  <si>
    <t>B2251</t>
  </si>
  <si>
    <t>INV-66807</t>
  </si>
  <si>
    <t>T100252</t>
  </si>
  <si>
    <t>B2252</t>
  </si>
  <si>
    <t>INV-87837</t>
  </si>
  <si>
    <t>T100253</t>
  </si>
  <si>
    <t>B2253</t>
  </si>
  <si>
    <t>T100254</t>
  </si>
  <si>
    <t>B2254</t>
  </si>
  <si>
    <t>INV-30344</t>
  </si>
  <si>
    <t>T100255</t>
  </si>
  <si>
    <t>B2255</t>
  </si>
  <si>
    <t>INV-15039</t>
  </si>
  <si>
    <t>T100256</t>
  </si>
  <si>
    <t>B2256</t>
  </si>
  <si>
    <t>INV-45865</t>
  </si>
  <si>
    <t>T100257</t>
  </si>
  <si>
    <t>B2257</t>
  </si>
  <si>
    <t>INV-73077</t>
  </si>
  <si>
    <t>T100258</t>
  </si>
  <si>
    <t>B2258</t>
  </si>
  <si>
    <t>INV-21170</t>
  </si>
  <si>
    <t>T100259</t>
  </si>
  <si>
    <t>B2259</t>
  </si>
  <si>
    <t>INV-82116</t>
  </si>
  <si>
    <t>T100260</t>
  </si>
  <si>
    <t>B2260</t>
  </si>
  <si>
    <t>INV-60913</t>
  </si>
  <si>
    <t>T100261</t>
  </si>
  <si>
    <t>B2261</t>
  </si>
  <si>
    <t>INV-96809</t>
  </si>
  <si>
    <t>T100262</t>
  </si>
  <si>
    <t>B2262</t>
  </si>
  <si>
    <t>INV-43043</t>
  </si>
  <si>
    <t>T100263</t>
  </si>
  <si>
    <t>B2263</t>
  </si>
  <si>
    <t>INV-14799</t>
  </si>
  <si>
    <t>T100264</t>
  </si>
  <si>
    <t>B2264</t>
  </si>
  <si>
    <t>INV-36760</t>
  </si>
  <si>
    <t>T100265</t>
  </si>
  <si>
    <t>B2265</t>
  </si>
  <si>
    <t>INV-24832</t>
  </si>
  <si>
    <t>T100266</t>
  </si>
  <si>
    <t>B2266</t>
  </si>
  <si>
    <t>INV-22879</t>
  </si>
  <si>
    <t>T100267</t>
  </si>
  <si>
    <t>B2267</t>
  </si>
  <si>
    <t>INV-82422</t>
  </si>
  <si>
    <t>T100268</t>
  </si>
  <si>
    <t>B2268</t>
  </si>
  <si>
    <t>INV-50577</t>
  </si>
  <si>
    <t>T100269</t>
  </si>
  <si>
    <t>B2269</t>
  </si>
  <si>
    <t>INV-28535</t>
  </si>
  <si>
    <t>T100270</t>
  </si>
  <si>
    <t>B2270</t>
  </si>
  <si>
    <t>INV-64461</t>
  </si>
  <si>
    <t>T100271</t>
  </si>
  <si>
    <t>B2271</t>
  </si>
  <si>
    <t>INV-17259</t>
  </si>
  <si>
    <t>T100272</t>
  </si>
  <si>
    <t>B2272</t>
  </si>
  <si>
    <t>INV-89387</t>
  </si>
  <si>
    <t>T100273</t>
  </si>
  <si>
    <t>B2273</t>
  </si>
  <si>
    <t>INV-13009</t>
  </si>
  <si>
    <t>T100274</t>
  </si>
  <si>
    <t>B2274</t>
  </si>
  <si>
    <t>INV-45002</t>
  </si>
  <si>
    <t>T100275</t>
  </si>
  <si>
    <t>B2275</t>
  </si>
  <si>
    <t>INV-31274</t>
  </si>
  <si>
    <t>T100276</t>
  </si>
  <si>
    <t>B2276</t>
  </si>
  <si>
    <t>INV-68653</t>
  </si>
  <si>
    <t>T100277</t>
  </si>
  <si>
    <t>B2277</t>
  </si>
  <si>
    <t>T100278</t>
  </si>
  <si>
    <t>B2278</t>
  </si>
  <si>
    <t>INV-81022</t>
  </si>
  <si>
    <t>T100279</t>
  </si>
  <si>
    <t>B2279</t>
  </si>
  <si>
    <t>INV-30173</t>
  </si>
  <si>
    <t>T100280</t>
  </si>
  <si>
    <t>B2280</t>
  </si>
  <si>
    <t>INV-52975</t>
  </si>
  <si>
    <t>T100281</t>
  </si>
  <si>
    <t>B2281</t>
  </si>
  <si>
    <t>INV-24093</t>
  </si>
  <si>
    <t>T100282</t>
  </si>
  <si>
    <t>B2282</t>
  </si>
  <si>
    <t>INV-54287</t>
  </si>
  <si>
    <t>T100283</t>
  </si>
  <si>
    <t>B2283</t>
  </si>
  <si>
    <t>INV-94298</t>
  </si>
  <si>
    <t>T100284</t>
  </si>
  <si>
    <t>B2284</t>
  </si>
  <si>
    <t>INV-97789</t>
  </si>
  <si>
    <t>T100285</t>
  </si>
  <si>
    <t>B2285</t>
  </si>
  <si>
    <t>INV-43278</t>
  </si>
  <si>
    <t>T100286</t>
  </si>
  <si>
    <t>B2286</t>
  </si>
  <si>
    <t>T100287</t>
  </si>
  <si>
    <t>B2287</t>
  </si>
  <si>
    <t>INV-23697</t>
  </si>
  <si>
    <t>T100288</t>
  </si>
  <si>
    <t>B2288</t>
  </si>
  <si>
    <t>INV-10162</t>
  </si>
  <si>
    <t>T100289</t>
  </si>
  <si>
    <t>B2289</t>
  </si>
  <si>
    <t>INV-26343</t>
  </si>
  <si>
    <t>T100290</t>
  </si>
  <si>
    <t>B2290</t>
  </si>
  <si>
    <t>INV-17062</t>
  </si>
  <si>
    <t>T100291</t>
  </si>
  <si>
    <t>B2291</t>
  </si>
  <si>
    <t>INV-16629</t>
  </si>
  <si>
    <t>T100292</t>
  </si>
  <si>
    <t>B2292</t>
  </si>
  <si>
    <t>INV-47893</t>
  </si>
  <si>
    <t>T100293</t>
  </si>
  <si>
    <t>B2293</t>
  </si>
  <si>
    <t>INV-40557</t>
  </si>
  <si>
    <t>T100294</t>
  </si>
  <si>
    <t>B2294</t>
  </si>
  <si>
    <t>INV-59464</t>
  </si>
  <si>
    <t>T100295</t>
  </si>
  <si>
    <t>B2295</t>
  </si>
  <si>
    <t>INV-42543</t>
  </si>
  <si>
    <t>T100296</t>
  </si>
  <si>
    <t>B2296</t>
  </si>
  <si>
    <t>INV-20435</t>
  </si>
  <si>
    <t>T100297</t>
  </si>
  <si>
    <t>B2297</t>
  </si>
  <si>
    <t>INV-94884</t>
  </si>
  <si>
    <t>T100298</t>
  </si>
  <si>
    <t>B2298</t>
  </si>
  <si>
    <t>INV-17103</t>
  </si>
  <si>
    <t>T100299</t>
  </si>
  <si>
    <t>B2299</t>
  </si>
  <si>
    <t>INV-19979</t>
  </si>
  <si>
    <t>T100300</t>
  </si>
  <si>
    <t>B2300</t>
  </si>
  <si>
    <t>INV-48465</t>
  </si>
  <si>
    <t>T100301</t>
  </si>
  <si>
    <t>B2301</t>
  </si>
  <si>
    <t>INV-57399</t>
  </si>
  <si>
    <t>T100302</t>
  </si>
  <si>
    <t>B2302</t>
  </si>
  <si>
    <t>INV-24775</t>
  </si>
  <si>
    <t>T100303</t>
  </si>
  <si>
    <t>B2303</t>
  </si>
  <si>
    <t>INV-63564</t>
  </si>
  <si>
    <t>T100304</t>
  </si>
  <si>
    <t>B2304</t>
  </si>
  <si>
    <t>INV-79200</t>
  </si>
  <si>
    <t>T100306</t>
  </si>
  <si>
    <t>B2306</t>
  </si>
  <si>
    <t>INV-44316</t>
  </si>
  <si>
    <t>T100307</t>
  </si>
  <si>
    <t>B2307</t>
  </si>
  <si>
    <t>INV-87738</t>
  </si>
  <si>
    <t>T100308</t>
  </si>
  <si>
    <t>B2308</t>
  </si>
  <si>
    <t>INV-80804</t>
  </si>
  <si>
    <t>T100309</t>
  </si>
  <si>
    <t>B2309</t>
  </si>
  <si>
    <t>INV-33886</t>
  </si>
  <si>
    <t>T100310</t>
  </si>
  <si>
    <t>B2310</t>
  </si>
  <si>
    <t>INV-92163</t>
  </si>
  <si>
    <t>T100311</t>
  </si>
  <si>
    <t>B2311</t>
  </si>
  <si>
    <t>INV-70211</t>
  </si>
  <si>
    <t>T100312</t>
  </si>
  <si>
    <t>B2312</t>
  </si>
  <si>
    <t>INV-33485</t>
  </si>
  <si>
    <t>T100313</t>
  </si>
  <si>
    <t>B2313</t>
  </si>
  <si>
    <t>INV-89150</t>
  </si>
  <si>
    <t>T100314</t>
  </si>
  <si>
    <t>B2314</t>
  </si>
  <si>
    <t>INV-27115</t>
  </si>
  <si>
    <t>T100315</t>
  </si>
  <si>
    <t>B2315</t>
  </si>
  <si>
    <t>INV-11833</t>
  </si>
  <si>
    <t>T100316</t>
  </si>
  <si>
    <t>B2316</t>
  </si>
  <si>
    <t>INV-87872</t>
  </si>
  <si>
    <t>T100317</t>
  </si>
  <si>
    <t>B2317</t>
  </si>
  <si>
    <t>20.08.2025</t>
  </si>
  <si>
    <t>INV-87941</t>
  </si>
  <si>
    <t>T100318</t>
  </si>
  <si>
    <t>B2318</t>
  </si>
  <si>
    <t>INV-99216</t>
  </si>
  <si>
    <t>T100319</t>
  </si>
  <si>
    <t>B2319</t>
  </si>
  <si>
    <t>INV-96282</t>
  </si>
  <si>
    <t>T100320</t>
  </si>
  <si>
    <t>B2320</t>
  </si>
  <si>
    <t>27.12.2025</t>
  </si>
  <si>
    <t>INV-39705</t>
  </si>
  <si>
    <t>T100321</t>
  </si>
  <si>
    <t>B2321</t>
  </si>
  <si>
    <t>13.03.2025</t>
  </si>
  <si>
    <t>INV-97864</t>
  </si>
  <si>
    <t>T100322</t>
  </si>
  <si>
    <t>B2322</t>
  </si>
  <si>
    <t>INV-96466</t>
  </si>
  <si>
    <t>T100323</t>
  </si>
  <si>
    <t>B2323</t>
  </si>
  <si>
    <t>INV-61039</t>
  </si>
  <si>
    <t>T100324</t>
  </si>
  <si>
    <t>B2324</t>
  </si>
  <si>
    <t>INV-60548</t>
  </si>
  <si>
    <t>T100325</t>
  </si>
  <si>
    <t>B2325</t>
  </si>
  <si>
    <t>INV-19567</t>
  </si>
  <si>
    <t>T100326</t>
  </si>
  <si>
    <t>B2326</t>
  </si>
  <si>
    <t>INV-66732</t>
  </si>
  <si>
    <t>T100327</t>
  </si>
  <si>
    <t>B2327</t>
  </si>
  <si>
    <t>INV-85949</t>
  </si>
  <si>
    <t>T100328</t>
  </si>
  <si>
    <t>B2328</t>
  </si>
  <si>
    <t>INV-43244</t>
  </si>
  <si>
    <t>T100329</t>
  </si>
  <si>
    <t>B2329</t>
  </si>
  <si>
    <t>INV-23315</t>
  </si>
  <si>
    <t>T100330</t>
  </si>
  <si>
    <t>B2330</t>
  </si>
  <si>
    <t>INV-14725</t>
  </si>
  <si>
    <t>T100331</t>
  </si>
  <si>
    <t>B2331</t>
  </si>
  <si>
    <t>INV-68745</t>
  </si>
  <si>
    <t>T100333</t>
  </si>
  <si>
    <t>B2333</t>
  </si>
  <si>
    <t>INV-62336</t>
  </si>
  <si>
    <t>T100334</t>
  </si>
  <si>
    <t>B2334</t>
  </si>
  <si>
    <t>INV-22630</t>
  </si>
  <si>
    <t>T100335</t>
  </si>
  <si>
    <t>B2335</t>
  </si>
  <si>
    <t>INV-30558</t>
  </si>
  <si>
    <t>T100336</t>
  </si>
  <si>
    <t>B2336</t>
  </si>
  <si>
    <t>INV-32389</t>
  </si>
  <si>
    <t>T100337</t>
  </si>
  <si>
    <t>B2337</t>
  </si>
  <si>
    <t>INV-92564</t>
  </si>
  <si>
    <t>T100338</t>
  </si>
  <si>
    <t>B2338</t>
  </si>
  <si>
    <t>INV-16192</t>
  </si>
  <si>
    <t>T100339</t>
  </si>
  <si>
    <t>B2339</t>
  </si>
  <si>
    <t>INV-15061</t>
  </si>
  <si>
    <t>T100340</t>
  </si>
  <si>
    <t>B2340</t>
  </si>
  <si>
    <t>INV-93898</t>
  </si>
  <si>
    <t>T100341</t>
  </si>
  <si>
    <t>B2341</t>
  </si>
  <si>
    <t>22.08.2025</t>
  </si>
  <si>
    <t>INV-80033</t>
  </si>
  <si>
    <t>T100342</t>
  </si>
  <si>
    <t>B2342</t>
  </si>
  <si>
    <t>INV-39423</t>
  </si>
  <si>
    <t>T100343</t>
  </si>
  <si>
    <t>B2343</t>
  </si>
  <si>
    <t>INV-70654</t>
  </si>
  <si>
    <t>T100344</t>
  </si>
  <si>
    <t>B2344</t>
  </si>
  <si>
    <t>INV-65735</t>
  </si>
  <si>
    <t>T100345</t>
  </si>
  <si>
    <t>B2345</t>
  </si>
  <si>
    <t>INV-56298</t>
  </si>
  <si>
    <t>T100346</t>
  </si>
  <si>
    <t>B2346</t>
  </si>
  <si>
    <t>28.11.2025</t>
  </si>
  <si>
    <t>INV-53877</t>
  </si>
  <si>
    <t>T100347</t>
  </si>
  <si>
    <t>B2347</t>
  </si>
  <si>
    <t>INV-65681</t>
  </si>
  <si>
    <t>T100348</t>
  </si>
  <si>
    <t>B2348</t>
  </si>
  <si>
    <t>INV-18688</t>
  </si>
  <si>
    <t>T100351</t>
  </si>
  <si>
    <t>B2351</t>
  </si>
  <si>
    <t>INV-43462</t>
  </si>
  <si>
    <t>T100352</t>
  </si>
  <si>
    <t>B2352</t>
  </si>
  <si>
    <t>INV-53103</t>
  </si>
  <si>
    <t>T100353</t>
  </si>
  <si>
    <t>B2353</t>
  </si>
  <si>
    <t>23.01.2025</t>
  </si>
  <si>
    <t>INV-38720</t>
  </si>
  <si>
    <t>T100354</t>
  </si>
  <si>
    <t>B2354</t>
  </si>
  <si>
    <t>INV-79583</t>
  </si>
  <si>
    <t>T100355</t>
  </si>
  <si>
    <t>B2355</t>
  </si>
  <si>
    <t>INV-26396</t>
  </si>
  <si>
    <t>T100356</t>
  </si>
  <si>
    <t>B2356</t>
  </si>
  <si>
    <t>INV-20038</t>
  </si>
  <si>
    <t>T100357</t>
  </si>
  <si>
    <t>B2357</t>
  </si>
  <si>
    <t>INV-10330</t>
  </si>
  <si>
    <t>T100358</t>
  </si>
  <si>
    <t>B2358</t>
  </si>
  <si>
    <t>INV-16487</t>
  </si>
  <si>
    <t>T100359</t>
  </si>
  <si>
    <t>B2359</t>
  </si>
  <si>
    <t>INV-82420</t>
  </si>
  <si>
    <t>T100360</t>
  </si>
  <si>
    <t>B2360</t>
  </si>
  <si>
    <t>INV-25518</t>
  </si>
  <si>
    <t>T100361</t>
  </si>
  <si>
    <t>B2361</t>
  </si>
  <si>
    <t>T100362</t>
  </si>
  <si>
    <t>B2362</t>
  </si>
  <si>
    <t>INV-60367</t>
  </si>
  <si>
    <t>T100363</t>
  </si>
  <si>
    <t>B2363</t>
  </si>
  <si>
    <t>INV-76053</t>
  </si>
  <si>
    <t>T100364</t>
  </si>
  <si>
    <t>B2364</t>
  </si>
  <si>
    <t>INV-23538</t>
  </si>
  <si>
    <t>T100365</t>
  </si>
  <si>
    <t>B2365</t>
  </si>
  <si>
    <t>INV-34215</t>
  </si>
  <si>
    <t>T100366</t>
  </si>
  <si>
    <t>B2366</t>
  </si>
  <si>
    <t>INV-44704</t>
  </si>
  <si>
    <t>T100367</t>
  </si>
  <si>
    <t>B2367</t>
  </si>
  <si>
    <t>INV-99515</t>
  </si>
  <si>
    <t>T100368</t>
  </si>
  <si>
    <t>B2368</t>
  </si>
  <si>
    <t>INV-61842</t>
  </si>
  <si>
    <t>T100369</t>
  </si>
  <si>
    <t>B2369</t>
  </si>
  <si>
    <t>INV-59068</t>
  </si>
  <si>
    <t>T100370</t>
  </si>
  <si>
    <t>B2370</t>
  </si>
  <si>
    <t>INV-96305</t>
  </si>
  <si>
    <t>T100371</t>
  </si>
  <si>
    <t>B2371</t>
  </si>
  <si>
    <t>INV-12459</t>
  </si>
  <si>
    <t>T100372</t>
  </si>
  <si>
    <t>B2372</t>
  </si>
  <si>
    <t>INV-22994</t>
  </si>
  <si>
    <t>T100373</t>
  </si>
  <si>
    <t>B2373</t>
  </si>
  <si>
    <t>INV-39542</t>
  </si>
  <si>
    <t>T100374</t>
  </si>
  <si>
    <t>B2374</t>
  </si>
  <si>
    <t>INV-60816</t>
  </si>
  <si>
    <t>T100375</t>
  </si>
  <si>
    <t>B2375</t>
  </si>
  <si>
    <t>INV-69260</t>
  </si>
  <si>
    <t>T100376</t>
  </si>
  <si>
    <t>B2376</t>
  </si>
  <si>
    <t>INV-84271</t>
  </si>
  <si>
    <t>T100377</t>
  </si>
  <si>
    <t>B2377</t>
  </si>
  <si>
    <t>INV-96335</t>
  </si>
  <si>
    <t>T100378</t>
  </si>
  <si>
    <t>B2378</t>
  </si>
  <si>
    <t>INV-48795</t>
  </si>
  <si>
    <t>T100379</t>
  </si>
  <si>
    <t>B2379</t>
  </si>
  <si>
    <t>INV-59012</t>
  </si>
  <si>
    <t>T100380</t>
  </si>
  <si>
    <t>B2380</t>
  </si>
  <si>
    <t>INV-86215</t>
  </si>
  <si>
    <t>T100381</t>
  </si>
  <si>
    <t>B2381</t>
  </si>
  <si>
    <t>27.04.2025</t>
  </si>
  <si>
    <t>INV-13844</t>
  </si>
  <si>
    <t>T100382</t>
  </si>
  <si>
    <t>B2382</t>
  </si>
  <si>
    <t>INV-14450</t>
  </si>
  <si>
    <t>T100383</t>
  </si>
  <si>
    <t>B2383</t>
  </si>
  <si>
    <t>INV-35346</t>
  </si>
  <si>
    <t>T100384</t>
  </si>
  <si>
    <t>B2384</t>
  </si>
  <si>
    <t>INV-69230</t>
  </si>
  <si>
    <t>T100385</t>
  </si>
  <si>
    <t>B2385</t>
  </si>
  <si>
    <t>INV-64725</t>
  </si>
  <si>
    <t>T100386</t>
  </si>
  <si>
    <t>B2386</t>
  </si>
  <si>
    <t>INV-17432</t>
  </si>
  <si>
    <t>T100387</t>
  </si>
  <si>
    <t>B2387</t>
  </si>
  <si>
    <t>INV-87642</t>
  </si>
  <si>
    <t>T100388</t>
  </si>
  <si>
    <t>B2388</t>
  </si>
  <si>
    <t>INV-88265</t>
  </si>
  <si>
    <t>T100389</t>
  </si>
  <si>
    <t>B2389</t>
  </si>
  <si>
    <t>16.11.2025</t>
  </si>
  <si>
    <t>INV-51926</t>
  </si>
  <si>
    <t>T100390</t>
  </si>
  <si>
    <t>B2390</t>
  </si>
  <si>
    <t>INV-99471</t>
  </si>
  <si>
    <t>T100391</t>
  </si>
  <si>
    <t>B2391</t>
  </si>
  <si>
    <t>INV-82235</t>
  </si>
  <si>
    <t>T100392</t>
  </si>
  <si>
    <t>B2392</t>
  </si>
  <si>
    <t>T100393</t>
  </si>
  <si>
    <t>B2393</t>
  </si>
  <si>
    <t>INV-23674</t>
  </si>
  <si>
    <t>T100394</t>
  </si>
  <si>
    <t>B2394</t>
  </si>
  <si>
    <t>INV-60701</t>
  </si>
  <si>
    <t>T100395</t>
  </si>
  <si>
    <t>B2395</t>
  </si>
  <si>
    <t>INV-77147</t>
  </si>
  <si>
    <t>T100396</t>
  </si>
  <si>
    <t>B2396</t>
  </si>
  <si>
    <t>INV-15536</t>
  </si>
  <si>
    <t>T100397</t>
  </si>
  <si>
    <t>B2397</t>
  </si>
  <si>
    <t>INV-10484</t>
  </si>
  <si>
    <t>T100398</t>
  </si>
  <si>
    <t>B2398</t>
  </si>
  <si>
    <t>INV-40876</t>
  </si>
  <si>
    <t>T100399</t>
  </si>
  <si>
    <t>B2399</t>
  </si>
  <si>
    <t>INV-30388</t>
  </si>
  <si>
    <t>T100400</t>
  </si>
  <si>
    <t>B2400</t>
  </si>
  <si>
    <t>22.03.2025</t>
  </si>
  <si>
    <t>INV-77969</t>
  </si>
  <si>
    <t>T100401</t>
  </si>
  <si>
    <t>B2401</t>
  </si>
  <si>
    <t>INV-14911</t>
  </si>
  <si>
    <t>T100402</t>
  </si>
  <si>
    <t>B2402</t>
  </si>
  <si>
    <t>INV-59271</t>
  </si>
  <si>
    <t>T100403</t>
  </si>
  <si>
    <t>B2403</t>
  </si>
  <si>
    <t>INV-97089</t>
  </si>
  <si>
    <t>T100404</t>
  </si>
  <si>
    <t>B2404</t>
  </si>
  <si>
    <t>INV-29624</t>
  </si>
  <si>
    <t>T100405</t>
  </si>
  <si>
    <t>B2405</t>
  </si>
  <si>
    <t>INV-43530</t>
  </si>
  <si>
    <t>T100406</t>
  </si>
  <si>
    <t>B2406</t>
  </si>
  <si>
    <t>INV-11937</t>
  </si>
  <si>
    <t>T100407</t>
  </si>
  <si>
    <t>B2407</t>
  </si>
  <si>
    <t>INV-36975</t>
  </si>
  <si>
    <t>T100408</t>
  </si>
  <si>
    <t>B2408</t>
  </si>
  <si>
    <t>INV-56741</t>
  </si>
  <si>
    <t>T100409</t>
  </si>
  <si>
    <t>B2409</t>
  </si>
  <si>
    <t>INV-42747</t>
  </si>
  <si>
    <t>T100410</t>
  </si>
  <si>
    <t>B2410</t>
  </si>
  <si>
    <t>INV-60672</t>
  </si>
  <si>
    <t>T100411</t>
  </si>
  <si>
    <t>B2411</t>
  </si>
  <si>
    <t>INV-84870</t>
  </si>
  <si>
    <t>T100412</t>
  </si>
  <si>
    <t>B2412</t>
  </si>
  <si>
    <t>INV-88934</t>
  </si>
  <si>
    <t>T100413</t>
  </si>
  <si>
    <t>B2413</t>
  </si>
  <si>
    <t>INV-19841</t>
  </si>
  <si>
    <t>T100414</t>
  </si>
  <si>
    <t>B2414</t>
  </si>
  <si>
    <t>INV-89234</t>
  </si>
  <si>
    <t>T100415</t>
  </si>
  <si>
    <t>B2415</t>
  </si>
  <si>
    <t>INV-23145</t>
  </si>
  <si>
    <t>T100416</t>
  </si>
  <si>
    <t>B2416</t>
  </si>
  <si>
    <t>INV-88485</t>
  </si>
  <si>
    <t>T100417</t>
  </si>
  <si>
    <t>B2417</t>
  </si>
  <si>
    <t>INV-50116</t>
  </si>
  <si>
    <t>T100418</t>
  </si>
  <si>
    <t>B2418</t>
  </si>
  <si>
    <t>INV-34141</t>
  </si>
  <si>
    <t>T100419</t>
  </si>
  <si>
    <t>B2419</t>
  </si>
  <si>
    <t>INV-30700</t>
  </si>
  <si>
    <t>T100420</t>
  </si>
  <si>
    <t>B2420</t>
  </si>
  <si>
    <t>INV-98737</t>
  </si>
  <si>
    <t>T100421</t>
  </si>
  <si>
    <t>B2421</t>
  </si>
  <si>
    <t>INV-21343</t>
  </si>
  <si>
    <t>T100422</t>
  </si>
  <si>
    <t>B2422</t>
  </si>
  <si>
    <t>28.03.2025</t>
  </si>
  <si>
    <t>INV-92099</t>
  </si>
  <si>
    <t>T100423</t>
  </si>
  <si>
    <t>B2423</t>
  </si>
  <si>
    <t>T100424</t>
  </si>
  <si>
    <t>B2424</t>
  </si>
  <si>
    <t>INV-70156</t>
  </si>
  <si>
    <t>T100425</t>
  </si>
  <si>
    <t>B2425</t>
  </si>
  <si>
    <t>INV-76782</t>
  </si>
  <si>
    <t>T100426</t>
  </si>
  <si>
    <t>B2426</t>
  </si>
  <si>
    <t>INV-63171</t>
  </si>
  <si>
    <t>T100427</t>
  </si>
  <si>
    <t>B2427</t>
  </si>
  <si>
    <t>INV-52054</t>
  </si>
  <si>
    <t>T100428</t>
  </si>
  <si>
    <t>B2428</t>
  </si>
  <si>
    <t>INV-77876</t>
  </si>
  <si>
    <t>T100429</t>
  </si>
  <si>
    <t>B2429</t>
  </si>
  <si>
    <t>INV-86357</t>
  </si>
  <si>
    <t>T100430</t>
  </si>
  <si>
    <t>B2430</t>
  </si>
  <si>
    <t>INV-27635</t>
  </si>
  <si>
    <t>T100431</t>
  </si>
  <si>
    <t>B2431</t>
  </si>
  <si>
    <t>INV-28513</t>
  </si>
  <si>
    <t>T100432</t>
  </si>
  <si>
    <t>B2432</t>
  </si>
  <si>
    <t>INV-16628</t>
  </si>
  <si>
    <t>T100433</t>
  </si>
  <si>
    <t>B2433</t>
  </si>
  <si>
    <t>INV-56658</t>
  </si>
  <si>
    <t>T100434</t>
  </si>
  <si>
    <t>B2434</t>
  </si>
  <si>
    <t>INV-81964</t>
  </si>
  <si>
    <t>T100435</t>
  </si>
  <si>
    <t>B2435</t>
  </si>
  <si>
    <t>T100436</t>
  </si>
  <si>
    <t>B2436</t>
  </si>
  <si>
    <t>INV-96856</t>
  </si>
  <si>
    <t>T100437</t>
  </si>
  <si>
    <t>B2437</t>
  </si>
  <si>
    <t>INV-46747</t>
  </si>
  <si>
    <t>T100438</t>
  </si>
  <si>
    <t>B2438</t>
  </si>
  <si>
    <t>INV-70387</t>
  </si>
  <si>
    <t>T100439</t>
  </si>
  <si>
    <t>B2439</t>
  </si>
  <si>
    <t>INV-76999</t>
  </si>
  <si>
    <t>T100440</t>
  </si>
  <si>
    <t>B2440</t>
  </si>
  <si>
    <t>INV-34222</t>
  </si>
  <si>
    <t>T100441</t>
  </si>
  <si>
    <t>B2441</t>
  </si>
  <si>
    <t>INV-13526</t>
  </si>
  <si>
    <t>T100442</t>
  </si>
  <si>
    <t>B2442</t>
  </si>
  <si>
    <t>INV-32612</t>
  </si>
  <si>
    <t>T100443</t>
  </si>
  <si>
    <t>B2443</t>
  </si>
  <si>
    <t>INV-33632</t>
  </si>
  <si>
    <t>T100444</t>
  </si>
  <si>
    <t>B2444</t>
  </si>
  <si>
    <t>INV-47839</t>
  </si>
  <si>
    <t>T100445</t>
  </si>
  <si>
    <t>B2445</t>
  </si>
  <si>
    <t>INV-87838</t>
  </si>
  <si>
    <t>T100447</t>
  </si>
  <si>
    <t>B2447</t>
  </si>
  <si>
    <t>INV-17377</t>
  </si>
  <si>
    <t>T100448</t>
  </si>
  <si>
    <t>B2448</t>
  </si>
  <si>
    <t>INV-96701</t>
  </si>
  <si>
    <t>T100449</t>
  </si>
  <si>
    <t>B2449</t>
  </si>
  <si>
    <t>INV-11889</t>
  </si>
  <si>
    <t>T100450</t>
  </si>
  <si>
    <t>B2450</t>
  </si>
  <si>
    <t>INV-51880</t>
  </si>
  <si>
    <t>T100451</t>
  </si>
  <si>
    <t>B2451</t>
  </si>
  <si>
    <t>INV-42648</t>
  </si>
  <si>
    <t>T100452</t>
  </si>
  <si>
    <t>B2452</t>
  </si>
  <si>
    <t>INV-69975</t>
  </si>
  <si>
    <t>T100453</t>
  </si>
  <si>
    <t>B2453</t>
  </si>
  <si>
    <t>INV-66968</t>
  </si>
  <si>
    <t>T100454</t>
  </si>
  <si>
    <t>B2454</t>
  </si>
  <si>
    <t>INV-59289</t>
  </si>
  <si>
    <t>T100455</t>
  </si>
  <si>
    <t>B2455</t>
  </si>
  <si>
    <t>INV-53815</t>
  </si>
  <si>
    <t>T100456</t>
  </si>
  <si>
    <t>B2456</t>
  </si>
  <si>
    <t>INV-97963</t>
  </si>
  <si>
    <t>T100457</t>
  </si>
  <si>
    <t>B2457</t>
  </si>
  <si>
    <t>INV-85268</t>
  </si>
  <si>
    <t>T100458</t>
  </si>
  <si>
    <t>B2458</t>
  </si>
  <si>
    <t>INV-58033</t>
  </si>
  <si>
    <t>T100459</t>
  </si>
  <si>
    <t>B2459</t>
  </si>
  <si>
    <t>INV-23473</t>
  </si>
  <si>
    <t>T100460</t>
  </si>
  <si>
    <t>B2460</t>
  </si>
  <si>
    <t>INV-90461</t>
  </si>
  <si>
    <t>T100461</t>
  </si>
  <si>
    <t>B2461</t>
  </si>
  <si>
    <t>T100462</t>
  </si>
  <si>
    <t>B2462</t>
  </si>
  <si>
    <t>INV-66546</t>
  </si>
  <si>
    <t>T100463</t>
  </si>
  <si>
    <t>B2463</t>
  </si>
  <si>
    <t>INV-67737</t>
  </si>
  <si>
    <t>T100464</t>
  </si>
  <si>
    <t>B2464</t>
  </si>
  <si>
    <t>INV-52657</t>
  </si>
  <si>
    <t>T100465</t>
  </si>
  <si>
    <t>B2465</t>
  </si>
  <si>
    <t>INV-21254</t>
  </si>
  <si>
    <t>T100466</t>
  </si>
  <si>
    <t>B2466</t>
  </si>
  <si>
    <t>INV-74981</t>
  </si>
  <si>
    <t>T100467</t>
  </si>
  <si>
    <t>B2467</t>
  </si>
  <si>
    <t>INV-98812</t>
  </si>
  <si>
    <t>T100468</t>
  </si>
  <si>
    <t>B2468</t>
  </si>
  <si>
    <t>INV-94338</t>
  </si>
  <si>
    <t>T100469</t>
  </si>
  <si>
    <t>B2469</t>
  </si>
  <si>
    <t>INV-37971</t>
  </si>
  <si>
    <t>T100470</t>
  </si>
  <si>
    <t>B2470</t>
  </si>
  <si>
    <t>INV-62149</t>
  </si>
  <si>
    <t>T100471</t>
  </si>
  <si>
    <t>B2471</t>
  </si>
  <si>
    <t>INV-69805</t>
  </si>
  <si>
    <t>T100472</t>
  </si>
  <si>
    <t>B2472</t>
  </si>
  <si>
    <t>T100473</t>
  </si>
  <si>
    <t>B2473</t>
  </si>
  <si>
    <t>INV-73329</t>
  </si>
  <si>
    <t>T100474</t>
  </si>
  <si>
    <t>B2474</t>
  </si>
  <si>
    <t>INV-26172</t>
  </si>
  <si>
    <t>T100475</t>
  </si>
  <si>
    <t>B2475</t>
  </si>
  <si>
    <t>T100476</t>
  </si>
  <si>
    <t>B2476</t>
  </si>
  <si>
    <t>INV-95990</t>
  </si>
  <si>
    <t>T100477</t>
  </si>
  <si>
    <t>B2477</t>
  </si>
  <si>
    <t>INV-77074</t>
  </si>
  <si>
    <t>T100478</t>
  </si>
  <si>
    <t>B2478</t>
  </si>
  <si>
    <t>INV-32595</t>
  </si>
  <si>
    <t>T100479</t>
  </si>
  <si>
    <t>B2479</t>
  </si>
  <si>
    <t>INV-55883</t>
  </si>
  <si>
    <t>T100480</t>
  </si>
  <si>
    <t>B2480</t>
  </si>
  <si>
    <t>INV-40730</t>
  </si>
  <si>
    <t>T100481</t>
  </si>
  <si>
    <t>B2481</t>
  </si>
  <si>
    <t>25.09.2025</t>
  </si>
  <si>
    <t>INV-62153</t>
  </si>
  <si>
    <t>T100482</t>
  </si>
  <si>
    <t>B2482</t>
  </si>
  <si>
    <t>INV-37657</t>
  </si>
  <si>
    <t>T100483</t>
  </si>
  <si>
    <t>B2483</t>
  </si>
  <si>
    <t>INV-94880</t>
  </si>
  <si>
    <t>T100484</t>
  </si>
  <si>
    <t>B2484</t>
  </si>
  <si>
    <t>INV-43898</t>
  </si>
  <si>
    <t>T100485</t>
  </si>
  <si>
    <t>B2485</t>
  </si>
  <si>
    <t>INV-74079</t>
  </si>
  <si>
    <t>T100486</t>
  </si>
  <si>
    <t>B2486</t>
  </si>
  <si>
    <t>INV-80612</t>
  </si>
  <si>
    <t>T100487</t>
  </si>
  <si>
    <t>B2487</t>
  </si>
  <si>
    <t>INV-24427</t>
  </si>
  <si>
    <t>T100488</t>
  </si>
  <si>
    <t>B2488</t>
  </si>
  <si>
    <t>INV-64735</t>
  </si>
  <si>
    <t>T100489</t>
  </si>
  <si>
    <t>B2489</t>
  </si>
  <si>
    <t>INV-62473</t>
  </si>
  <si>
    <t>T100490</t>
  </si>
  <si>
    <t>B2490</t>
  </si>
  <si>
    <t>T100491</t>
  </si>
  <si>
    <t>B2491</t>
  </si>
  <si>
    <t>INV-84467</t>
  </si>
  <si>
    <t>T100492</t>
  </si>
  <si>
    <t>B2492</t>
  </si>
  <si>
    <t>INV-14409</t>
  </si>
  <si>
    <t>T100493</t>
  </si>
  <si>
    <t>B2493</t>
  </si>
  <si>
    <t>INV-28745</t>
  </si>
  <si>
    <t>T100494</t>
  </si>
  <si>
    <t>B2494</t>
  </si>
  <si>
    <t>INV-17163</t>
  </si>
  <si>
    <t>T100495</t>
  </si>
  <si>
    <t>B2495</t>
  </si>
  <si>
    <t>INV-83587</t>
  </si>
  <si>
    <t>T100496</t>
  </si>
  <si>
    <t>B2496</t>
  </si>
  <si>
    <t>INV-39990</t>
  </si>
  <si>
    <t>T100497</t>
  </si>
  <si>
    <t>B2497</t>
  </si>
  <si>
    <t>INV-66416</t>
  </si>
  <si>
    <t>T100499</t>
  </si>
  <si>
    <t>B2499</t>
  </si>
  <si>
    <t>27.03.2026</t>
  </si>
  <si>
    <t>INV-64193</t>
  </si>
  <si>
    <t>T100500</t>
  </si>
  <si>
    <t>B2500</t>
  </si>
  <si>
    <t>23.11.2025</t>
  </si>
  <si>
    <t>T100501</t>
  </si>
  <si>
    <t>B2501</t>
  </si>
  <si>
    <t>INV-55384</t>
  </si>
  <si>
    <t>T100502</t>
  </si>
  <si>
    <t>B2502</t>
  </si>
  <si>
    <t>INV-34103</t>
  </si>
  <si>
    <t>T100503</t>
  </si>
  <si>
    <t>B2503</t>
  </si>
  <si>
    <t>INV-36831</t>
  </si>
  <si>
    <t>T100504</t>
  </si>
  <si>
    <t>B2504</t>
  </si>
  <si>
    <t>INV-53439</t>
  </si>
  <si>
    <t>T100505</t>
  </si>
  <si>
    <t>B2505</t>
  </si>
  <si>
    <t>INV-66592</t>
  </si>
  <si>
    <t>T100506</t>
  </si>
  <si>
    <t>B2506</t>
  </si>
  <si>
    <t>T100507</t>
  </si>
  <si>
    <t>B2507</t>
  </si>
  <si>
    <t>INV-90179</t>
  </si>
  <si>
    <t>T100508</t>
  </si>
  <si>
    <t>B2508</t>
  </si>
  <si>
    <t>T100509</t>
  </si>
  <si>
    <t>B2509</t>
  </si>
  <si>
    <t>INV-86698</t>
  </si>
  <si>
    <t>T100510</t>
  </si>
  <si>
    <t>B2510</t>
  </si>
  <si>
    <t>INV-37819</t>
  </si>
  <si>
    <t>T100513</t>
  </si>
  <si>
    <t>B2513</t>
  </si>
  <si>
    <t>INV-94397</t>
  </si>
  <si>
    <t>T100514</t>
  </si>
  <si>
    <t>B2514</t>
  </si>
  <si>
    <t>T100515</t>
  </si>
  <si>
    <t>B2515</t>
  </si>
  <si>
    <t>INV-87988</t>
  </si>
  <si>
    <t>T100516</t>
  </si>
  <si>
    <t>B2516</t>
  </si>
  <si>
    <t>INV-15915</t>
  </si>
  <si>
    <t>T100517</t>
  </si>
  <si>
    <t>B2517</t>
  </si>
  <si>
    <t>INV-48863</t>
  </si>
  <si>
    <t>T100518</t>
  </si>
  <si>
    <t>B2518</t>
  </si>
  <si>
    <t>INV-25144</t>
  </si>
  <si>
    <t>T100519</t>
  </si>
  <si>
    <t>B2519</t>
  </si>
  <si>
    <t>INV-33102</t>
  </si>
  <si>
    <t>T100520</t>
  </si>
  <si>
    <t>B2520</t>
  </si>
  <si>
    <t>INV-30489</t>
  </si>
  <si>
    <t>T100521</t>
  </si>
  <si>
    <t>B2521</t>
  </si>
  <si>
    <t>INV-65742</t>
  </si>
  <si>
    <t>T100522</t>
  </si>
  <si>
    <t>B2522</t>
  </si>
  <si>
    <t>INV-48931</t>
  </si>
  <si>
    <t>T100523</t>
  </si>
  <si>
    <t>B2523</t>
  </si>
  <si>
    <t>INV-12216</t>
  </si>
  <si>
    <t>T100524</t>
  </si>
  <si>
    <t>B2524</t>
  </si>
  <si>
    <t>INV-19739</t>
  </si>
  <si>
    <t>T100525</t>
  </si>
  <si>
    <t>B2525</t>
  </si>
  <si>
    <t>INV-84472</t>
  </si>
  <si>
    <t>T100526</t>
  </si>
  <si>
    <t>B2526</t>
  </si>
  <si>
    <t>INV-59787</t>
  </si>
  <si>
    <t>T100527</t>
  </si>
  <si>
    <t>B2527</t>
  </si>
  <si>
    <t>INV-72226</t>
  </si>
  <si>
    <t>T100528</t>
  </si>
  <si>
    <t>B2528</t>
  </si>
  <si>
    <t>INV-18611</t>
  </si>
  <si>
    <t>T100529</t>
  </si>
  <si>
    <t>B2529</t>
  </si>
  <si>
    <t>INV-43467</t>
  </si>
  <si>
    <t>T100530</t>
  </si>
  <si>
    <t>B2530</t>
  </si>
  <si>
    <t>INV-75637</t>
  </si>
  <si>
    <t>T100532</t>
  </si>
  <si>
    <t>B2532</t>
  </si>
  <si>
    <t>INV-36829</t>
  </si>
  <si>
    <t>T100533</t>
  </si>
  <si>
    <t>B2533</t>
  </si>
  <si>
    <t>INV-37278</t>
  </si>
  <si>
    <t>T100534</t>
  </si>
  <si>
    <t>B2534</t>
  </si>
  <si>
    <t>INV-74956</t>
  </si>
  <si>
    <t>T100535</t>
  </si>
  <si>
    <t>B2535</t>
  </si>
  <si>
    <t>INV-14795</t>
  </si>
  <si>
    <t>T100536</t>
  </si>
  <si>
    <t>B2536</t>
  </si>
  <si>
    <t>INV-11325</t>
  </si>
  <si>
    <t>T100537</t>
  </si>
  <si>
    <t>B2537</t>
  </si>
  <si>
    <t>INV-16973</t>
  </si>
  <si>
    <t>T100538</t>
  </si>
  <si>
    <t>B2538</t>
  </si>
  <si>
    <t>INV-57534</t>
  </si>
  <si>
    <t>T100539</t>
  </si>
  <si>
    <t>B2539</t>
  </si>
  <si>
    <t>INV-50687</t>
  </si>
  <si>
    <t>T100540</t>
  </si>
  <si>
    <t>B2540</t>
  </si>
  <si>
    <t>INV-38026</t>
  </si>
  <si>
    <t>T100541</t>
  </si>
  <si>
    <t>B2541</t>
  </si>
  <si>
    <t>INV-40645</t>
  </si>
  <si>
    <t>T100542</t>
  </si>
  <si>
    <t>B2542</t>
  </si>
  <si>
    <t>INV-15899</t>
  </si>
  <si>
    <t>T100543</t>
  </si>
  <si>
    <t>B2543</t>
  </si>
  <si>
    <t>INV-11515</t>
  </si>
  <si>
    <t>T100544</t>
  </si>
  <si>
    <t>B2544</t>
  </si>
  <si>
    <t>INV-38836</t>
  </si>
  <si>
    <t>T100545</t>
  </si>
  <si>
    <t>B2545</t>
  </si>
  <si>
    <t>INV-76580</t>
  </si>
  <si>
    <t>T100546</t>
  </si>
  <si>
    <t>B2546</t>
  </si>
  <si>
    <t>INV-56189</t>
  </si>
  <si>
    <t>T100547</t>
  </si>
  <si>
    <t>B2547</t>
  </si>
  <si>
    <t>INV-11877</t>
  </si>
  <si>
    <t>T100548</t>
  </si>
  <si>
    <t>B2548</t>
  </si>
  <si>
    <t>INV-39840</t>
  </si>
  <si>
    <t>T100549</t>
  </si>
  <si>
    <t>B2549</t>
  </si>
  <si>
    <t>25.10.2025</t>
  </si>
  <si>
    <t>INV-95608</t>
  </si>
  <si>
    <t>T100550</t>
  </si>
  <si>
    <t>B2550</t>
  </si>
  <si>
    <t>INV-59766</t>
  </si>
  <si>
    <t>T100551</t>
  </si>
  <si>
    <t>B2551</t>
  </si>
  <si>
    <t>INV-99591</t>
  </si>
  <si>
    <t>T100552</t>
  </si>
  <si>
    <t>B2552</t>
  </si>
  <si>
    <t>31.05.2025</t>
  </si>
  <si>
    <t>INV-78860</t>
  </si>
  <si>
    <t>T100553</t>
  </si>
  <si>
    <t>B2553</t>
  </si>
  <si>
    <t>INV-78295</t>
  </si>
  <si>
    <t>T100554</t>
  </si>
  <si>
    <t>B2554</t>
  </si>
  <si>
    <t>INV-50448</t>
  </si>
  <si>
    <t>T100555</t>
  </si>
  <si>
    <t>B2555</t>
  </si>
  <si>
    <t>T100556</t>
  </si>
  <si>
    <t>B2556</t>
  </si>
  <si>
    <t>25.07.2025</t>
  </si>
  <si>
    <t>INV-14578</t>
  </si>
  <si>
    <t>T100557</t>
  </si>
  <si>
    <t>B2557</t>
  </si>
  <si>
    <t>INV-99027</t>
  </si>
  <si>
    <t>T100558</t>
  </si>
  <si>
    <t>B2558</t>
  </si>
  <si>
    <t>INV-61716</t>
  </si>
  <si>
    <t>T100559</t>
  </si>
  <si>
    <t>B2559</t>
  </si>
  <si>
    <t>INV-94060</t>
  </si>
  <si>
    <t>T100560</t>
  </si>
  <si>
    <t>B2560</t>
  </si>
  <si>
    <t>25.03.2026</t>
  </si>
  <si>
    <t>INV-45245</t>
  </si>
  <si>
    <t>T100561</t>
  </si>
  <si>
    <t>B2561</t>
  </si>
  <si>
    <t>INV-88396</t>
  </si>
  <si>
    <t>T100562</t>
  </si>
  <si>
    <t>B2562</t>
  </si>
  <si>
    <t>INV-68757</t>
  </si>
  <si>
    <t>T100563</t>
  </si>
  <si>
    <t>B2563</t>
  </si>
  <si>
    <t>T100564</t>
  </si>
  <si>
    <t>B2564</t>
  </si>
  <si>
    <t>INV-35883</t>
  </si>
  <si>
    <t>T100565</t>
  </si>
  <si>
    <t>B2565</t>
  </si>
  <si>
    <t>INV-83464</t>
  </si>
  <si>
    <t>T100566</t>
  </si>
  <si>
    <t>B2566</t>
  </si>
  <si>
    <t>INV-40959</t>
  </si>
  <si>
    <t>T100567</t>
  </si>
  <si>
    <t>B2567</t>
  </si>
  <si>
    <t>18.12.2025</t>
  </si>
  <si>
    <t>INV-84584</t>
  </si>
  <si>
    <t>T100568</t>
  </si>
  <si>
    <t>B2568</t>
  </si>
  <si>
    <t>INV-52670</t>
  </si>
  <si>
    <t>T100569</t>
  </si>
  <si>
    <t>B2569</t>
  </si>
  <si>
    <t>INV-92227</t>
  </si>
  <si>
    <t>T100570</t>
  </si>
  <si>
    <t>B2570</t>
  </si>
  <si>
    <t>INV-38255</t>
  </si>
  <si>
    <t>T100571</t>
  </si>
  <si>
    <t>B2571</t>
  </si>
  <si>
    <t>INV-69597</t>
  </si>
  <si>
    <t>T100572</t>
  </si>
  <si>
    <t>B2572</t>
  </si>
  <si>
    <t>INV-14524</t>
  </si>
  <si>
    <t>T100573</t>
  </si>
  <si>
    <t>B2573</t>
  </si>
  <si>
    <t>INV-89315</t>
  </si>
  <si>
    <t>T100574</t>
  </si>
  <si>
    <t>B2574</t>
  </si>
  <si>
    <t>INV-30986</t>
  </si>
  <si>
    <t>T100575</t>
  </si>
  <si>
    <t>B2575</t>
  </si>
  <si>
    <t>INV-83784</t>
  </si>
  <si>
    <t>T100576</t>
  </si>
  <si>
    <t>B2576</t>
  </si>
  <si>
    <t>INV-20519</t>
  </si>
  <si>
    <t>T100577</t>
  </si>
  <si>
    <t>B2577</t>
  </si>
  <si>
    <t>INV-20840</t>
  </si>
  <si>
    <t>T100578</t>
  </si>
  <si>
    <t>B2578</t>
  </si>
  <si>
    <t>INV-80233</t>
  </si>
  <si>
    <t>T100579</t>
  </si>
  <si>
    <t>B2579</t>
  </si>
  <si>
    <t>INV-31151</t>
  </si>
  <si>
    <t>T100580</t>
  </si>
  <si>
    <t>B2580</t>
  </si>
  <si>
    <t>INV-97091</t>
  </si>
  <si>
    <t>T100581</t>
  </si>
  <si>
    <t>B2581</t>
  </si>
  <si>
    <t>INV-14001</t>
  </si>
  <si>
    <t>T100582</t>
  </si>
  <si>
    <t>B2582</t>
  </si>
  <si>
    <t>INV-20705</t>
  </si>
  <si>
    <t>T100583</t>
  </si>
  <si>
    <t>B2583</t>
  </si>
  <si>
    <t>24.07.2025</t>
  </si>
  <si>
    <t>INV-66657</t>
  </si>
  <si>
    <t>T100584</t>
  </si>
  <si>
    <t>B2584</t>
  </si>
  <si>
    <t>INV-10803</t>
  </si>
  <si>
    <t>T100585</t>
  </si>
  <si>
    <t>B2585</t>
  </si>
  <si>
    <t>INV-11286</t>
  </si>
  <si>
    <t>T100586</t>
  </si>
  <si>
    <t>B2586</t>
  </si>
  <si>
    <t>INV-86213</t>
  </si>
  <si>
    <t>T100588</t>
  </si>
  <si>
    <t>B2588</t>
  </si>
  <si>
    <t>INV-82813</t>
  </si>
  <si>
    <t>T100589</t>
  </si>
  <si>
    <t>B2589</t>
  </si>
  <si>
    <t>INV-98805</t>
  </si>
  <si>
    <t>T100590</t>
  </si>
  <si>
    <t>B2590</t>
  </si>
  <si>
    <t>INV-52768</t>
  </si>
  <si>
    <t>T100591</t>
  </si>
  <si>
    <t>B2591</t>
  </si>
  <si>
    <t>INV-42208</t>
  </si>
  <si>
    <t>T100592</t>
  </si>
  <si>
    <t>B2592</t>
  </si>
  <si>
    <t>INV-50774</t>
  </si>
  <si>
    <t>T100593</t>
  </si>
  <si>
    <t>B2593</t>
  </si>
  <si>
    <t>INV-86978</t>
  </si>
  <si>
    <t>T100594</t>
  </si>
  <si>
    <t>B2594</t>
  </si>
  <si>
    <t>INV-36383</t>
  </si>
  <si>
    <t>T100595</t>
  </si>
  <si>
    <t>B2595</t>
  </si>
  <si>
    <t>14.05.2025</t>
  </si>
  <si>
    <t>INV-70511</t>
  </si>
  <si>
    <t>T100596</t>
  </si>
  <si>
    <t>B2596</t>
  </si>
  <si>
    <t>INV-10185</t>
  </si>
  <si>
    <t>T100597</t>
  </si>
  <si>
    <t>B2597</t>
  </si>
  <si>
    <t>INV-71875</t>
  </si>
  <si>
    <t>T100598</t>
  </si>
  <si>
    <t>B2598</t>
  </si>
  <si>
    <t>INV-80937</t>
  </si>
  <si>
    <t>T100599</t>
  </si>
  <si>
    <t>B2599</t>
  </si>
  <si>
    <t>INV-45485</t>
  </si>
  <si>
    <t>T100600</t>
  </si>
  <si>
    <t>B2600</t>
  </si>
  <si>
    <t>INV-61038</t>
  </si>
  <si>
    <t>T100601</t>
  </si>
  <si>
    <t>B2601</t>
  </si>
  <si>
    <t>INV-42443</t>
  </si>
  <si>
    <t>T100602</t>
  </si>
  <si>
    <t>B2602</t>
  </si>
  <si>
    <t>INV-78701</t>
  </si>
  <si>
    <t>T100603</t>
  </si>
  <si>
    <t>B2603</t>
  </si>
  <si>
    <t>INV-18129</t>
  </si>
  <si>
    <t>T100604</t>
  </si>
  <si>
    <t>B2604</t>
  </si>
  <si>
    <t>INV-75767</t>
  </si>
  <si>
    <t>T100605</t>
  </si>
  <si>
    <t>B2605</t>
  </si>
  <si>
    <t>INV-71672</t>
  </si>
  <si>
    <t>T100606</t>
  </si>
  <si>
    <t>B2606</t>
  </si>
  <si>
    <t>INV-98881</t>
  </si>
  <si>
    <t>T100607</t>
  </si>
  <si>
    <t>B2607</t>
  </si>
  <si>
    <t>INV-43718</t>
  </si>
  <si>
    <t>T100608</t>
  </si>
  <si>
    <t>B2608</t>
  </si>
  <si>
    <t>INV-88710</t>
  </si>
  <si>
    <t>T100609</t>
  </si>
  <si>
    <t>B2609</t>
  </si>
  <si>
    <t>INV-34688</t>
  </si>
  <si>
    <t>T100610</t>
  </si>
  <si>
    <t>B2610</t>
  </si>
  <si>
    <t>INV-63980</t>
  </si>
  <si>
    <t>T100611</t>
  </si>
  <si>
    <t>B2611</t>
  </si>
  <si>
    <t>INV-98304</t>
  </si>
  <si>
    <t>T100612</t>
  </si>
  <si>
    <t>B2612</t>
  </si>
  <si>
    <t>INV-30819</t>
  </si>
  <si>
    <t>T100613</t>
  </si>
  <si>
    <t>B2613</t>
  </si>
  <si>
    <t>20.11.2025</t>
  </si>
  <si>
    <t>INV-39865</t>
  </si>
  <si>
    <t>T100614</t>
  </si>
  <si>
    <t>B2614</t>
  </si>
  <si>
    <t>INV-89219</t>
  </si>
  <si>
    <t>T100615</t>
  </si>
  <si>
    <t>B2615</t>
  </si>
  <si>
    <t>INV-36856</t>
  </si>
  <si>
    <t>T100616</t>
  </si>
  <si>
    <t>B2616</t>
  </si>
  <si>
    <t>INV-90581</t>
  </si>
  <si>
    <t>T100617</t>
  </si>
  <si>
    <t>B2617</t>
  </si>
  <si>
    <t>INV-25440</t>
  </si>
  <si>
    <t>T100618</t>
  </si>
  <si>
    <t>B2618</t>
  </si>
  <si>
    <t>INV-75516</t>
  </si>
  <si>
    <t>T100619</t>
  </si>
  <si>
    <t>B2619</t>
  </si>
  <si>
    <t>INV-13933</t>
  </si>
  <si>
    <t>T100620</t>
  </si>
  <si>
    <t>B2620</t>
  </si>
  <si>
    <t>INV-79229</t>
  </si>
  <si>
    <t>T100621</t>
  </si>
  <si>
    <t>B2621</t>
  </si>
  <si>
    <t>INV-94560</t>
  </si>
  <si>
    <t>T100622</t>
  </si>
  <si>
    <t>B2622</t>
  </si>
  <si>
    <t>INV-92421</t>
  </si>
  <si>
    <t>T100623</t>
  </si>
  <si>
    <t>B2623</t>
  </si>
  <si>
    <t>INV-45348</t>
  </si>
  <si>
    <t>T100624</t>
  </si>
  <si>
    <t>B2624</t>
  </si>
  <si>
    <t>INV-92932</t>
  </si>
  <si>
    <t>T100625</t>
  </si>
  <si>
    <t>B2625</t>
  </si>
  <si>
    <t>INV-53379</t>
  </si>
  <si>
    <t>T100626</t>
  </si>
  <si>
    <t>B2626</t>
  </si>
  <si>
    <t>INV-31105</t>
  </si>
  <si>
    <t>T100627</t>
  </si>
  <si>
    <t>B2627</t>
  </si>
  <si>
    <t>INV-80816</t>
  </si>
  <si>
    <t>T100628</t>
  </si>
  <si>
    <t>B2628</t>
  </si>
  <si>
    <t>INV-13734</t>
  </si>
  <si>
    <t>T100629</t>
  </si>
  <si>
    <t>B2629</t>
  </si>
  <si>
    <t>INV-87262</t>
  </si>
  <si>
    <t>T100630</t>
  </si>
  <si>
    <t>B2630</t>
  </si>
  <si>
    <t>INV-20055</t>
  </si>
  <si>
    <t>T100631</t>
  </si>
  <si>
    <t>B2631</t>
  </si>
  <si>
    <t>INV-93784</t>
  </si>
  <si>
    <t>T100632</t>
  </si>
  <si>
    <t>B2632</t>
  </si>
  <si>
    <t>INV-11308</t>
  </si>
  <si>
    <t>T100633</t>
  </si>
  <si>
    <t>B2633</t>
  </si>
  <si>
    <t>INV-29824</t>
  </si>
  <si>
    <t>T100634</t>
  </si>
  <si>
    <t>B2634</t>
  </si>
  <si>
    <t>INV-42890</t>
  </si>
  <si>
    <t>T100635</t>
  </si>
  <si>
    <t>B2635</t>
  </si>
  <si>
    <t>T100636</t>
  </si>
  <si>
    <t>B2636</t>
  </si>
  <si>
    <t>INV-82165</t>
  </si>
  <si>
    <t>T100637</t>
  </si>
  <si>
    <t>B2637</t>
  </si>
  <si>
    <t>INV-53321</t>
  </si>
  <si>
    <t>T100638</t>
  </si>
  <si>
    <t>B2638</t>
  </si>
  <si>
    <t>INV-26495</t>
  </si>
  <si>
    <t>T100639</t>
  </si>
  <si>
    <t>B2639</t>
  </si>
  <si>
    <t>INV-63407</t>
  </si>
  <si>
    <t>T100640</t>
  </si>
  <si>
    <t>B2640</t>
  </si>
  <si>
    <t>INV-71885</t>
  </si>
  <si>
    <t>T100641</t>
  </si>
  <si>
    <t>B2641</t>
  </si>
  <si>
    <t>INV-18875</t>
  </si>
  <si>
    <t>T100642</t>
  </si>
  <si>
    <t>B2642</t>
  </si>
  <si>
    <t>INV-37409</t>
  </si>
  <si>
    <t>T100643</t>
  </si>
  <si>
    <t>B2643</t>
  </si>
  <si>
    <t>INV-49683</t>
  </si>
  <si>
    <t>T100644</t>
  </si>
  <si>
    <t>B2644</t>
  </si>
  <si>
    <t>INV-47222</t>
  </si>
  <si>
    <t>T100645</t>
  </si>
  <si>
    <t>B2645</t>
  </si>
  <si>
    <t>INV-59772</t>
  </si>
  <si>
    <t>T100646</t>
  </si>
  <si>
    <t>B2646</t>
  </si>
  <si>
    <t>INV-85889</t>
  </si>
  <si>
    <t>T100647</t>
  </si>
  <si>
    <t>B2647</t>
  </si>
  <si>
    <t>INV-56501</t>
  </si>
  <si>
    <t>T100648</t>
  </si>
  <si>
    <t>B2648</t>
  </si>
  <si>
    <t>INV-76076</t>
  </si>
  <si>
    <t>T100649</t>
  </si>
  <si>
    <t>B2649</t>
  </si>
  <si>
    <t>INV-94872</t>
  </si>
  <si>
    <t>T100650</t>
  </si>
  <si>
    <t>B2650</t>
  </si>
  <si>
    <t>INV-69076</t>
  </si>
  <si>
    <t>T100651</t>
  </si>
  <si>
    <t>B2651</t>
  </si>
  <si>
    <t>INV-86919</t>
  </si>
  <si>
    <t>T100652</t>
  </si>
  <si>
    <t>B2652</t>
  </si>
  <si>
    <t>17.11.2025</t>
  </si>
  <si>
    <t>INV-86586</t>
  </si>
  <si>
    <t>T100653</t>
  </si>
  <si>
    <t>B2653</t>
  </si>
  <si>
    <t>INV-30683</t>
  </si>
  <si>
    <t>T100654</t>
  </si>
  <si>
    <t>B2654</t>
  </si>
  <si>
    <t>INV-77157</t>
  </si>
  <si>
    <t>T100655</t>
  </si>
  <si>
    <t>B2655</t>
  </si>
  <si>
    <t>INV-39304</t>
  </si>
  <si>
    <t>T100656</t>
  </si>
  <si>
    <t>B2656</t>
  </si>
  <si>
    <t>INV-45011</t>
  </si>
  <si>
    <t>T100657</t>
  </si>
  <si>
    <t>B2657</t>
  </si>
  <si>
    <t>INV-81020</t>
  </si>
  <si>
    <t>T100658</t>
  </si>
  <si>
    <t>B2658</t>
  </si>
  <si>
    <t>INV-52078</t>
  </si>
  <si>
    <t>T100659</t>
  </si>
  <si>
    <t>B2659</t>
  </si>
  <si>
    <t>INV-81314</t>
  </si>
  <si>
    <t>T100660</t>
  </si>
  <si>
    <t>B2660</t>
  </si>
  <si>
    <t>17.02.2026</t>
  </si>
  <si>
    <t>T100661</t>
  </si>
  <si>
    <t>B2661</t>
  </si>
  <si>
    <t>31.08.2025</t>
  </si>
  <si>
    <t>INV-72348</t>
  </si>
  <si>
    <t>T100662</t>
  </si>
  <si>
    <t>B2662</t>
  </si>
  <si>
    <t>INV-85527</t>
  </si>
  <si>
    <t>T100663</t>
  </si>
  <si>
    <t>B2663</t>
  </si>
  <si>
    <t>INV-83757</t>
  </si>
  <si>
    <t>T100664</t>
  </si>
  <si>
    <t>B2664</t>
  </si>
  <si>
    <t>INV-26291</t>
  </si>
  <si>
    <t>T100665</t>
  </si>
  <si>
    <t>B2665</t>
  </si>
  <si>
    <t>INV-21809</t>
  </si>
  <si>
    <t>T100666</t>
  </si>
  <si>
    <t>B2666</t>
  </si>
  <si>
    <t>INV-89318</t>
  </si>
  <si>
    <t>T100667</t>
  </si>
  <si>
    <t>B2667</t>
  </si>
  <si>
    <t>INV-33996</t>
  </si>
  <si>
    <t>T100668</t>
  </si>
  <si>
    <t>B2668</t>
  </si>
  <si>
    <t>INV-81194</t>
  </si>
  <si>
    <t>T100669</t>
  </si>
  <si>
    <t>B2669</t>
  </si>
  <si>
    <t>INV-60344</t>
  </si>
  <si>
    <t>T100670</t>
  </si>
  <si>
    <t>B2670</t>
  </si>
  <si>
    <t>INV-82961</t>
  </si>
  <si>
    <t>T100671</t>
  </si>
  <si>
    <t>B2671</t>
  </si>
  <si>
    <t>T100672</t>
  </si>
  <si>
    <t>B2672</t>
  </si>
  <si>
    <t>INV-65695</t>
  </si>
  <si>
    <t>T100673</t>
  </si>
  <si>
    <t>B2673</t>
  </si>
  <si>
    <t>INV-93559</t>
  </si>
  <si>
    <t>T100674</t>
  </si>
  <si>
    <t>B2674</t>
  </si>
  <si>
    <t>INV-72841</t>
  </si>
  <si>
    <t>T100675</t>
  </si>
  <si>
    <t>B2675</t>
  </si>
  <si>
    <t>INV-73495</t>
  </si>
  <si>
    <t>T100676</t>
  </si>
  <si>
    <t>B2676</t>
  </si>
  <si>
    <t>INV-39525</t>
  </si>
  <si>
    <t>T100677</t>
  </si>
  <si>
    <t>B2677</t>
  </si>
  <si>
    <t>INV-23454</t>
  </si>
  <si>
    <t>T100678</t>
  </si>
  <si>
    <t>B2678</t>
  </si>
  <si>
    <t>INV-23734</t>
  </si>
  <si>
    <t>T100679</t>
  </si>
  <si>
    <t>B2679</t>
  </si>
  <si>
    <t>INV-43532</t>
  </si>
  <si>
    <t>T100680</t>
  </si>
  <si>
    <t>B2680</t>
  </si>
  <si>
    <t>INV-85389</t>
  </si>
  <si>
    <t>T100681</t>
  </si>
  <si>
    <t>B2681</t>
  </si>
  <si>
    <t>INV-35421</t>
  </si>
  <si>
    <t>T100682</t>
  </si>
  <si>
    <t>B2682</t>
  </si>
  <si>
    <t>INV-12314</t>
  </si>
  <si>
    <t>T100683</t>
  </si>
  <si>
    <t>B2683</t>
  </si>
  <si>
    <t>INV-18272</t>
  </si>
  <si>
    <t>T100684</t>
  </si>
  <si>
    <t>B2684</t>
  </si>
  <si>
    <t>INV-70918</t>
  </si>
  <si>
    <t>T100685</t>
  </si>
  <si>
    <t>B2685</t>
  </si>
  <si>
    <t>INV-68835</t>
  </si>
  <si>
    <t>T100686</t>
  </si>
  <si>
    <t>B2686</t>
  </si>
  <si>
    <t>INV-86018</t>
  </si>
  <si>
    <t>T100687</t>
  </si>
  <si>
    <t>B2687</t>
  </si>
  <si>
    <t>INV-51612</t>
  </si>
  <si>
    <t>T100688</t>
  </si>
  <si>
    <t>B2688</t>
  </si>
  <si>
    <t>INV-19137</t>
  </si>
  <si>
    <t>T100689</t>
  </si>
  <si>
    <t>B2689</t>
  </si>
  <si>
    <t>INV-93986</t>
  </si>
  <si>
    <t>T100690</t>
  </si>
  <si>
    <t>B2690</t>
  </si>
  <si>
    <t>INV-52922</t>
  </si>
  <si>
    <t>T100691</t>
  </si>
  <si>
    <t>B2691</t>
  </si>
  <si>
    <t>INV-30996</t>
  </si>
  <si>
    <t>T100692</t>
  </si>
  <si>
    <t>B2692</t>
  </si>
  <si>
    <t>INV-99636</t>
  </si>
  <si>
    <t>T100693</t>
  </si>
  <si>
    <t>B2693</t>
  </si>
  <si>
    <t>INV-85434</t>
  </si>
  <si>
    <t>T100694</t>
  </si>
  <si>
    <t>B2694</t>
  </si>
  <si>
    <t>20.05.2025</t>
  </si>
  <si>
    <t>INV-76545</t>
  </si>
  <si>
    <t>T100695</t>
  </si>
  <si>
    <t>B2695</t>
  </si>
  <si>
    <t>INV-87983</t>
  </si>
  <si>
    <t>T100696</t>
  </si>
  <si>
    <t>B2696</t>
  </si>
  <si>
    <t>INV-91447</t>
  </si>
  <si>
    <t>T100697</t>
  </si>
  <si>
    <t>B2697</t>
  </si>
  <si>
    <t>INV-43402</t>
  </si>
  <si>
    <t>T100698</t>
  </si>
  <si>
    <t>B2698</t>
  </si>
  <si>
    <t>INV-19258</t>
  </si>
  <si>
    <t>T100699</t>
  </si>
  <si>
    <t>B2699</t>
  </si>
  <si>
    <t>INV-85326</t>
  </si>
  <si>
    <t>T100700</t>
  </si>
  <si>
    <t>B2700</t>
  </si>
  <si>
    <t>INV-57812</t>
  </si>
  <si>
    <t>T100701</t>
  </si>
  <si>
    <t>B2701</t>
  </si>
  <si>
    <t>INV-52437</t>
  </si>
  <si>
    <t>T100702</t>
  </si>
  <si>
    <t>B2702</t>
  </si>
  <si>
    <t>INV-94072</t>
  </si>
  <si>
    <t>T100703</t>
  </si>
  <si>
    <t>B2703</t>
  </si>
  <si>
    <t>INV-33014</t>
  </si>
  <si>
    <t>T100704</t>
  </si>
  <si>
    <t>B2704</t>
  </si>
  <si>
    <t>T100705</t>
  </si>
  <si>
    <t>B2705</t>
  </si>
  <si>
    <t>INV-73711</t>
  </si>
  <si>
    <t>T100706</t>
  </si>
  <si>
    <t>B2706</t>
  </si>
  <si>
    <t>INV-23586</t>
  </si>
  <si>
    <t>T100707</t>
  </si>
  <si>
    <t>B2707</t>
  </si>
  <si>
    <t>INV-29805</t>
  </si>
  <si>
    <t>T100708</t>
  </si>
  <si>
    <t>B2708</t>
  </si>
  <si>
    <t>INV-44426</t>
  </si>
  <si>
    <t>T100709</t>
  </si>
  <si>
    <t>B2709</t>
  </si>
  <si>
    <t>INV-23732</t>
  </si>
  <si>
    <t>T100710</t>
  </si>
  <si>
    <t>B2710</t>
  </si>
  <si>
    <t>INV-70799</t>
  </si>
  <si>
    <t>T100711</t>
  </si>
  <si>
    <t>B2711</t>
  </si>
  <si>
    <t>INV-17123</t>
  </si>
  <si>
    <t>T100712</t>
  </si>
  <si>
    <t>B2712</t>
  </si>
  <si>
    <t>INV-84086</t>
  </si>
  <si>
    <t>T100713</t>
  </si>
  <si>
    <t>B2713</t>
  </si>
  <si>
    <t>INV-43147</t>
  </si>
  <si>
    <t>T100714</t>
  </si>
  <si>
    <t>B2714</t>
  </si>
  <si>
    <t>INV-15946</t>
  </si>
  <si>
    <t>T100715</t>
  </si>
  <si>
    <t>B2715</t>
  </si>
  <si>
    <t>INV-77914</t>
  </si>
  <si>
    <t>T100716</t>
  </si>
  <si>
    <t>B2716</t>
  </si>
  <si>
    <t>INV-83851</t>
  </si>
  <si>
    <t>T100717</t>
  </si>
  <si>
    <t>B2717</t>
  </si>
  <si>
    <t>INV-15836</t>
  </si>
  <si>
    <t>T100718</t>
  </si>
  <si>
    <t>B2718</t>
  </si>
  <si>
    <t>INV-28025</t>
  </si>
  <si>
    <t>T100719</t>
  </si>
  <si>
    <t>B2719</t>
  </si>
  <si>
    <t>18.02.2026</t>
  </si>
  <si>
    <t>T100720</t>
  </si>
  <si>
    <t>B2720</t>
  </si>
  <si>
    <t>INV-93453</t>
  </si>
  <si>
    <t>T100721</t>
  </si>
  <si>
    <t>B2721</t>
  </si>
  <si>
    <t>INV-97680</t>
  </si>
  <si>
    <t>T100722</t>
  </si>
  <si>
    <t>B2722</t>
  </si>
  <si>
    <t>T100723</t>
  </si>
  <si>
    <t>B2723</t>
  </si>
  <si>
    <t>INV-25873</t>
  </si>
  <si>
    <t>T100724</t>
  </si>
  <si>
    <t>B2724</t>
  </si>
  <si>
    <t>INV-19354</t>
  </si>
  <si>
    <t>T100725</t>
  </si>
  <si>
    <t>B2725</t>
  </si>
  <si>
    <t>INV-24265</t>
  </si>
  <si>
    <t>T100726</t>
  </si>
  <si>
    <t>B2726</t>
  </si>
  <si>
    <t>INV-79251</t>
  </si>
  <si>
    <t>T100727</t>
  </si>
  <si>
    <t>B2727</t>
  </si>
  <si>
    <t>30.08.2025</t>
  </si>
  <si>
    <t>INV-45082</t>
  </si>
  <si>
    <t>T100728</t>
  </si>
  <si>
    <t>B2728</t>
  </si>
  <si>
    <t>INV-10132</t>
  </si>
  <si>
    <t>T100729</t>
  </si>
  <si>
    <t>B2729</t>
  </si>
  <si>
    <t>INV-59523</t>
  </si>
  <si>
    <t>T100730</t>
  </si>
  <si>
    <t>B2730</t>
  </si>
  <si>
    <t>INV-33195</t>
  </si>
  <si>
    <t>T100731</t>
  </si>
  <si>
    <t>B2731</t>
  </si>
  <si>
    <t>INV-19772</t>
  </si>
  <si>
    <t>T100732</t>
  </si>
  <si>
    <t>B2732</t>
  </si>
  <si>
    <t>INV-55172</t>
  </si>
  <si>
    <t>T100733</t>
  </si>
  <si>
    <t>B2733</t>
  </si>
  <si>
    <t>INV-40774</t>
  </si>
  <si>
    <t>T100734</t>
  </si>
  <si>
    <t>B2734</t>
  </si>
  <si>
    <t>T100735</t>
  </si>
  <si>
    <t>B2735</t>
  </si>
  <si>
    <t>INV-47433</t>
  </si>
  <si>
    <t>T100736</t>
  </si>
  <si>
    <t>B2736</t>
  </si>
  <si>
    <t>14.01.2026</t>
  </si>
  <si>
    <t>INV-60678</t>
  </si>
  <si>
    <t>T100737</t>
  </si>
  <si>
    <t>B2737</t>
  </si>
  <si>
    <t>INV-10219</t>
  </si>
  <si>
    <t>T100738</t>
  </si>
  <si>
    <t>B2738</t>
  </si>
  <si>
    <t>INV-44265</t>
  </si>
  <si>
    <t>T100739</t>
  </si>
  <si>
    <t>B2739</t>
  </si>
  <si>
    <t>T100740</t>
  </si>
  <si>
    <t>B2740</t>
  </si>
  <si>
    <t>T100741</t>
  </si>
  <si>
    <t>B2741</t>
  </si>
  <si>
    <t>INV-10712</t>
  </si>
  <si>
    <t>T100742</t>
  </si>
  <si>
    <t>B2742</t>
  </si>
  <si>
    <t>INV-31583</t>
  </si>
  <si>
    <t>T100743</t>
  </si>
  <si>
    <t>B2743</t>
  </si>
  <si>
    <t>INV-48945</t>
  </si>
  <si>
    <t>T100744</t>
  </si>
  <si>
    <t>B2744</t>
  </si>
  <si>
    <t>INV-27906</t>
  </si>
  <si>
    <t>T100745</t>
  </si>
  <si>
    <t>B2745</t>
  </si>
  <si>
    <t>T100746</t>
  </si>
  <si>
    <t>B2746</t>
  </si>
  <si>
    <t>INV-64152</t>
  </si>
  <si>
    <t>T100747</t>
  </si>
  <si>
    <t>B2747</t>
  </si>
  <si>
    <t>INV-96715</t>
  </si>
  <si>
    <t>T100748</t>
  </si>
  <si>
    <t>B2748</t>
  </si>
  <si>
    <t>INV-26328</t>
  </si>
  <si>
    <t>T100749</t>
  </si>
  <si>
    <t>B2749</t>
  </si>
  <si>
    <t>INV-34238</t>
  </si>
  <si>
    <t>T100750</t>
  </si>
  <si>
    <t>B2750</t>
  </si>
  <si>
    <t>INV-39018</t>
  </si>
  <si>
    <t>T100751</t>
  </si>
  <si>
    <t>B2751</t>
  </si>
  <si>
    <t>INV-68515</t>
  </si>
  <si>
    <t>T100752</t>
  </si>
  <si>
    <t>B2752</t>
  </si>
  <si>
    <t>INV-99278</t>
  </si>
  <si>
    <t>T100753</t>
  </si>
  <si>
    <t>B2753</t>
  </si>
  <si>
    <t>INV-70623</t>
  </si>
  <si>
    <t>T100754</t>
  </si>
  <si>
    <t>B2754</t>
  </si>
  <si>
    <t>INV-48256</t>
  </si>
  <si>
    <t>T100755</t>
  </si>
  <si>
    <t>B2755</t>
  </si>
  <si>
    <t>INV-88729</t>
  </si>
  <si>
    <t>T100756</t>
  </si>
  <si>
    <t>B2756</t>
  </si>
  <si>
    <t>INV-27325</t>
  </si>
  <si>
    <t>T100757</t>
  </si>
  <si>
    <t>B2757</t>
  </si>
  <si>
    <t>INV-43101</t>
  </si>
  <si>
    <t>T100758</t>
  </si>
  <si>
    <t>B2758</t>
  </si>
  <si>
    <t>INV-40465</t>
  </si>
  <si>
    <t>T100759</t>
  </si>
  <si>
    <t>B2759</t>
  </si>
  <si>
    <t>INV-78765</t>
  </si>
  <si>
    <t>T100760</t>
  </si>
  <si>
    <t>B2760</t>
  </si>
  <si>
    <t>INV-95275</t>
  </si>
  <si>
    <t>T100761</t>
  </si>
  <si>
    <t>B2761</t>
  </si>
  <si>
    <t>INV-42094</t>
  </si>
  <si>
    <t>T100762</t>
  </si>
  <si>
    <t>B2762</t>
  </si>
  <si>
    <t>INV-16269</t>
  </si>
  <si>
    <t>T100763</t>
  </si>
  <si>
    <t>B2763</t>
  </si>
  <si>
    <t>INV-11588</t>
  </si>
  <si>
    <t>T100764</t>
  </si>
  <si>
    <t>B2764</t>
  </si>
  <si>
    <t>T100765</t>
  </si>
  <si>
    <t>B2765</t>
  </si>
  <si>
    <t>INV-60224</t>
  </si>
  <si>
    <t>T100766</t>
  </si>
  <si>
    <t>B2766</t>
  </si>
  <si>
    <t>INV-57796</t>
  </si>
  <si>
    <t>T100767</t>
  </si>
  <si>
    <t>B2767</t>
  </si>
  <si>
    <t>INV-28489</t>
  </si>
  <si>
    <t>T100768</t>
  </si>
  <si>
    <t>B2768</t>
  </si>
  <si>
    <t>30.10.2025</t>
  </si>
  <si>
    <t>INV-69244</t>
  </si>
  <si>
    <t>T100769</t>
  </si>
  <si>
    <t>B2769</t>
  </si>
  <si>
    <t>INV-59804</t>
  </si>
  <si>
    <t>T100770</t>
  </si>
  <si>
    <t>B2770</t>
  </si>
  <si>
    <t>INV-44155</t>
  </si>
  <si>
    <t>T100772</t>
  </si>
  <si>
    <t>B2772</t>
  </si>
  <si>
    <t>INV-12027</t>
  </si>
  <si>
    <t>T100773</t>
  </si>
  <si>
    <t>B2773</t>
  </si>
  <si>
    <t>INV-30968</t>
  </si>
  <si>
    <t>T100774</t>
  </si>
  <si>
    <t>B2774</t>
  </si>
  <si>
    <t>INV-65587</t>
  </si>
  <si>
    <t>T100775</t>
  </si>
  <si>
    <t>B2775</t>
  </si>
  <si>
    <t>INV-20701</t>
  </si>
  <si>
    <t>T100776</t>
  </si>
  <si>
    <t>B2776</t>
  </si>
  <si>
    <t>INV-83065</t>
  </si>
  <si>
    <t>T100777</t>
  </si>
  <si>
    <t>B2777</t>
  </si>
  <si>
    <t>INV-79816</t>
  </si>
  <si>
    <t>T100778</t>
  </si>
  <si>
    <t>B2778</t>
  </si>
  <si>
    <t>INV-60399</t>
  </si>
  <si>
    <t>T100779</t>
  </si>
  <si>
    <t>B2779</t>
  </si>
  <si>
    <t>INV-94893</t>
  </si>
  <si>
    <t>T100780</t>
  </si>
  <si>
    <t>B2780</t>
  </si>
  <si>
    <t>T100781</t>
  </si>
  <si>
    <t>B2781</t>
  </si>
  <si>
    <t>INV-53639</t>
  </si>
  <si>
    <t>T100782</t>
  </si>
  <si>
    <t>B2782</t>
  </si>
  <si>
    <t>INV-44503</t>
  </si>
  <si>
    <t>T100783</t>
  </si>
  <si>
    <t>B2783</t>
  </si>
  <si>
    <t>INV-61058</t>
  </si>
  <si>
    <t>T100784</t>
  </si>
  <si>
    <t>B2784</t>
  </si>
  <si>
    <t>INV-21915</t>
  </si>
  <si>
    <t>T100785</t>
  </si>
  <si>
    <t>B2785</t>
  </si>
  <si>
    <t>INV-59263</t>
  </si>
  <si>
    <t>T100786</t>
  </si>
  <si>
    <t>B2786</t>
  </si>
  <si>
    <t>INV-52654</t>
  </si>
  <si>
    <t>T100787</t>
  </si>
  <si>
    <t>B2787</t>
  </si>
  <si>
    <t>INV-85930</t>
  </si>
  <si>
    <t>T100788</t>
  </si>
  <si>
    <t>B2788</t>
  </si>
  <si>
    <t>INV-58228</t>
  </si>
  <si>
    <t>T100789</t>
  </si>
  <si>
    <t>B2789</t>
  </si>
  <si>
    <t>INV-31421</t>
  </si>
  <si>
    <t>T100790</t>
  </si>
  <si>
    <t>B2790</t>
  </si>
  <si>
    <t>INV-12133</t>
  </si>
  <si>
    <t>T100791</t>
  </si>
  <si>
    <t>B2791</t>
  </si>
  <si>
    <t>INV-65294</t>
  </si>
  <si>
    <t>T100792</t>
  </si>
  <si>
    <t>B2792</t>
  </si>
  <si>
    <t>INV-94264</t>
  </si>
  <si>
    <t>T100793</t>
  </si>
  <si>
    <t>B2793</t>
  </si>
  <si>
    <t>INV-38702</t>
  </si>
  <si>
    <t>T100794</t>
  </si>
  <si>
    <t>B2794</t>
  </si>
  <si>
    <t>INV-54612</t>
  </si>
  <si>
    <t>T100795</t>
  </si>
  <si>
    <t>B2795</t>
  </si>
  <si>
    <t>INV-83857</t>
  </si>
  <si>
    <t>T100796</t>
  </si>
  <si>
    <t>B2796</t>
  </si>
  <si>
    <t>T100797</t>
  </si>
  <si>
    <t>B2797</t>
  </si>
  <si>
    <t>INV-87037</t>
  </si>
  <si>
    <t>T100798</t>
  </si>
  <si>
    <t>B2798</t>
  </si>
  <si>
    <t>INV-30925</t>
  </si>
  <si>
    <t>T100799</t>
  </si>
  <si>
    <t>B2799</t>
  </si>
  <si>
    <t>INV-39220</t>
  </si>
  <si>
    <t>T100800</t>
  </si>
  <si>
    <t>B2800</t>
  </si>
  <si>
    <t>21.01.2025</t>
  </si>
  <si>
    <t>T100801</t>
  </si>
  <si>
    <t>B2801</t>
  </si>
  <si>
    <t>INV-76945</t>
  </si>
  <si>
    <t>T100802</t>
  </si>
  <si>
    <t>B2802</t>
  </si>
  <si>
    <t>INV-14407</t>
  </si>
  <si>
    <t>T100803</t>
  </si>
  <si>
    <t>B2803</t>
  </si>
  <si>
    <t>INV-92291</t>
  </si>
  <si>
    <t>T100804</t>
  </si>
  <si>
    <t>B2804</t>
  </si>
  <si>
    <t>INV-92466</t>
  </si>
  <si>
    <t>T100805</t>
  </si>
  <si>
    <t>B2805</t>
  </si>
  <si>
    <t>INV-95610</t>
  </si>
  <si>
    <t>T100806</t>
  </si>
  <si>
    <t>B2806</t>
  </si>
  <si>
    <t>INV-40205</t>
  </si>
  <si>
    <t>T100807</t>
  </si>
  <si>
    <t>B2807</t>
  </si>
  <si>
    <t>INV-10338</t>
  </si>
  <si>
    <t>T100808</t>
  </si>
  <si>
    <t>B2808</t>
  </si>
  <si>
    <t>INV-48376</t>
  </si>
  <si>
    <t>T100809</t>
  </si>
  <si>
    <t>B2809</t>
  </si>
  <si>
    <t>INV-94785</t>
  </si>
  <si>
    <t>T100810</t>
  </si>
  <si>
    <t>B2810</t>
  </si>
  <si>
    <t>INV-86935</t>
  </si>
  <si>
    <t>T100811</t>
  </si>
  <si>
    <t>B2811</t>
  </si>
  <si>
    <t>T100812</t>
  </si>
  <si>
    <t>B2812</t>
  </si>
  <si>
    <t>INV-37136</t>
  </si>
  <si>
    <t>T100813</t>
  </si>
  <si>
    <t>B2813</t>
  </si>
  <si>
    <t>INV-85047</t>
  </si>
  <si>
    <t>T100814</t>
  </si>
  <si>
    <t>B2814</t>
  </si>
  <si>
    <t>INV-18639</t>
  </si>
  <si>
    <t>T100815</t>
  </si>
  <si>
    <t>B2815</t>
  </si>
  <si>
    <t>INV-56685</t>
  </si>
  <si>
    <t>T100816</t>
  </si>
  <si>
    <t>B2816</t>
  </si>
  <si>
    <t>INV-37555</t>
  </si>
  <si>
    <t>T100817</t>
  </si>
  <si>
    <t>B2817</t>
  </si>
  <si>
    <t>INV-64738</t>
  </si>
  <si>
    <t>T100818</t>
  </si>
  <si>
    <t>B2818</t>
  </si>
  <si>
    <t>INV-23710</t>
  </si>
  <si>
    <t>T100820</t>
  </si>
  <si>
    <t>B2820</t>
  </si>
  <si>
    <t>INV-84240</t>
  </si>
  <si>
    <t>T100821</t>
  </si>
  <si>
    <t>B2821</t>
  </si>
  <si>
    <t>INV-25829</t>
  </si>
  <si>
    <t>T100822</t>
  </si>
  <si>
    <t>B2822</t>
  </si>
  <si>
    <t>INV-76673</t>
  </si>
  <si>
    <t>T100823</t>
  </si>
  <si>
    <t>B2823</t>
  </si>
  <si>
    <t>31.12.2025</t>
  </si>
  <si>
    <t>INV-58394</t>
  </si>
  <si>
    <t>T100824</t>
  </si>
  <si>
    <t>B2824</t>
  </si>
  <si>
    <t>INV-97434</t>
  </si>
  <si>
    <t>T100825</t>
  </si>
  <si>
    <t>B2825</t>
  </si>
  <si>
    <t>INV-48819</t>
  </si>
  <si>
    <t>T100826</t>
  </si>
  <si>
    <t>B2826</t>
  </si>
  <si>
    <t>INV-34088</t>
  </si>
  <si>
    <t>T100827</t>
  </si>
  <si>
    <t>B2827</t>
  </si>
  <si>
    <t>INV-49114</t>
  </si>
  <si>
    <t>T100828</t>
  </si>
  <si>
    <t>B2828</t>
  </si>
  <si>
    <t>INV-77400</t>
  </si>
  <si>
    <t>T100829</t>
  </si>
  <si>
    <t>B2829</t>
  </si>
  <si>
    <t>INV-82694</t>
  </si>
  <si>
    <t>T100830</t>
  </si>
  <si>
    <t>B2830</t>
  </si>
  <si>
    <t>INV-76465</t>
  </si>
  <si>
    <t>T100831</t>
  </si>
  <si>
    <t>B2831</t>
  </si>
  <si>
    <t>INV-64133</t>
  </si>
  <si>
    <t>T100832</t>
  </si>
  <si>
    <t>B2832</t>
  </si>
  <si>
    <t>INV-20081</t>
  </si>
  <si>
    <t>T100833</t>
  </si>
  <si>
    <t>B2833</t>
  </si>
  <si>
    <t>INV-81327</t>
  </si>
  <si>
    <t>T100834</t>
  </si>
  <si>
    <t>B2834</t>
  </si>
  <si>
    <t>INV-79640</t>
  </si>
  <si>
    <t>T100835</t>
  </si>
  <si>
    <t>B2835</t>
  </si>
  <si>
    <t>INV-19216</t>
  </si>
  <si>
    <t>T100838</t>
  </si>
  <si>
    <t>B2838</t>
  </si>
  <si>
    <t>INV-86794</t>
  </si>
  <si>
    <t>T100839</t>
  </si>
  <si>
    <t>B2839</t>
  </si>
  <si>
    <t>INV-97866</t>
  </si>
  <si>
    <t>T100840</t>
  </si>
  <si>
    <t>B2840</t>
  </si>
  <si>
    <t>T100841</t>
  </si>
  <si>
    <t>B2841</t>
  </si>
  <si>
    <t>INV-44413</t>
  </si>
  <si>
    <t>T100842</t>
  </si>
  <si>
    <t>B2842</t>
  </si>
  <si>
    <t>INV-77097</t>
  </si>
  <si>
    <t>T100843</t>
  </si>
  <si>
    <t>B2843</t>
  </si>
  <si>
    <t>INV-43477</t>
  </si>
  <si>
    <t>T100844</t>
  </si>
  <si>
    <t>B2844</t>
  </si>
  <si>
    <t>INV-11139</t>
  </si>
  <si>
    <t>T100845</t>
  </si>
  <si>
    <t>B2845</t>
  </si>
  <si>
    <t>T100846</t>
  </si>
  <si>
    <t>B2846</t>
  </si>
  <si>
    <t>INV-79082</t>
  </si>
  <si>
    <t>T100847</t>
  </si>
  <si>
    <t>B2847</t>
  </si>
  <si>
    <t>INV-23069</t>
  </si>
  <si>
    <t>T100848</t>
  </si>
  <si>
    <t>B2848</t>
  </si>
  <si>
    <t>INV-27742</t>
  </si>
  <si>
    <t>T100849</t>
  </si>
  <si>
    <t>B2849</t>
  </si>
  <si>
    <t>28.03.2026</t>
  </si>
  <si>
    <t>T100850</t>
  </si>
  <si>
    <t>B2850</t>
  </si>
  <si>
    <t>INV-29976</t>
  </si>
  <si>
    <t>T100851</t>
  </si>
  <si>
    <t>B2851</t>
  </si>
  <si>
    <t>INV-34778</t>
  </si>
  <si>
    <t>T100852</t>
  </si>
  <si>
    <t>B2852</t>
  </si>
  <si>
    <t>INV-31964</t>
  </si>
  <si>
    <t>T100853</t>
  </si>
  <si>
    <t>B2853</t>
  </si>
  <si>
    <t>INV-58003</t>
  </si>
  <si>
    <t>T100854</t>
  </si>
  <si>
    <t>B2854</t>
  </si>
  <si>
    <t>INV-16200</t>
  </si>
  <si>
    <t>T100856</t>
  </si>
  <si>
    <t>B2856</t>
  </si>
  <si>
    <t>INV-59125</t>
  </si>
  <si>
    <t>T100857</t>
  </si>
  <si>
    <t>B2857</t>
  </si>
  <si>
    <t>INV-49033</t>
  </si>
  <si>
    <t>T100858</t>
  </si>
  <si>
    <t>B2858</t>
  </si>
  <si>
    <t>INV-36377</t>
  </si>
  <si>
    <t>T100859</t>
  </si>
  <si>
    <t>B2859</t>
  </si>
  <si>
    <t>T100860</t>
  </si>
  <si>
    <t>B2860</t>
  </si>
  <si>
    <t>INV-48251</t>
  </si>
  <si>
    <t>T100861</t>
  </si>
  <si>
    <t>B2861</t>
  </si>
  <si>
    <t>INV-46669</t>
  </si>
  <si>
    <t>T100862</t>
  </si>
  <si>
    <t>B2862</t>
  </si>
  <si>
    <t>26.02.2026</t>
  </si>
  <si>
    <t>INV-54158</t>
  </si>
  <si>
    <t>T100863</t>
  </si>
  <si>
    <t>B2863</t>
  </si>
  <si>
    <t>INV-56362</t>
  </si>
  <si>
    <t>T100864</t>
  </si>
  <si>
    <t>B2864</t>
  </si>
  <si>
    <t>INV-45513</t>
  </si>
  <si>
    <t>T100865</t>
  </si>
  <si>
    <t>B2865</t>
  </si>
  <si>
    <t>INV-63707</t>
  </si>
  <si>
    <t>T100866</t>
  </si>
  <si>
    <t>B2866</t>
  </si>
  <si>
    <t>INV-78147</t>
  </si>
  <si>
    <t>T100867</t>
  </si>
  <si>
    <t>B2867</t>
  </si>
  <si>
    <t>INV-43008</t>
  </si>
  <si>
    <t>T100868</t>
  </si>
  <si>
    <t>B2868</t>
  </si>
  <si>
    <t>INV-38723</t>
  </si>
  <si>
    <t>T100869</t>
  </si>
  <si>
    <t>B2869</t>
  </si>
  <si>
    <t>INV-76996</t>
  </si>
  <si>
    <t>T100870</t>
  </si>
  <si>
    <t>B2870</t>
  </si>
  <si>
    <t>24.01.2026</t>
  </si>
  <si>
    <t>INV-97898</t>
  </si>
  <si>
    <t>T100871</t>
  </si>
  <si>
    <t>B2871</t>
  </si>
  <si>
    <t>INV-29967</t>
  </si>
  <si>
    <t>T100872</t>
  </si>
  <si>
    <t>B2872</t>
  </si>
  <si>
    <t>INV-71479</t>
  </si>
  <si>
    <t>T100873</t>
  </si>
  <si>
    <t>B2873</t>
  </si>
  <si>
    <t>INV-35555</t>
  </si>
  <si>
    <t>T100874</t>
  </si>
  <si>
    <t>B2874</t>
  </si>
  <si>
    <t>INV-37134</t>
  </si>
  <si>
    <t>T100875</t>
  </si>
  <si>
    <t>B2875</t>
  </si>
  <si>
    <t>T100876</t>
  </si>
  <si>
    <t>B2876</t>
  </si>
  <si>
    <t>INV-97411</t>
  </si>
  <si>
    <t>T100877</t>
  </si>
  <si>
    <t>B2877</t>
  </si>
  <si>
    <t>INV-63589</t>
  </si>
  <si>
    <t>T100878</t>
  </si>
  <si>
    <t>B2878</t>
  </si>
  <si>
    <t>INV-73874</t>
  </si>
  <si>
    <t>T100879</t>
  </si>
  <si>
    <t>B2879</t>
  </si>
  <si>
    <t>INV-55402</t>
  </si>
  <si>
    <t>T100880</t>
  </si>
  <si>
    <t>B2880</t>
  </si>
  <si>
    <t>INV-79516</t>
  </si>
  <si>
    <t>T100881</t>
  </si>
  <si>
    <t>B2881</t>
  </si>
  <si>
    <t>INV-71856</t>
  </si>
  <si>
    <t>T100882</t>
  </si>
  <si>
    <t>B2882</t>
  </si>
  <si>
    <t>INV-84255</t>
  </si>
  <si>
    <t>T100883</t>
  </si>
  <si>
    <t>B2883</t>
  </si>
  <si>
    <t>T100884</t>
  </si>
  <si>
    <t>B2884</t>
  </si>
  <si>
    <t>INV-75048</t>
  </si>
  <si>
    <t>T100885</t>
  </si>
  <si>
    <t>B2885</t>
  </si>
  <si>
    <t>INV-19980</t>
  </si>
  <si>
    <t>T100886</t>
  </si>
  <si>
    <t>B2886</t>
  </si>
  <si>
    <t>INV-21420</t>
  </si>
  <si>
    <t>T100887</t>
  </si>
  <si>
    <t>B2887</t>
  </si>
  <si>
    <t>INV-37876</t>
  </si>
  <si>
    <t>T100888</t>
  </si>
  <si>
    <t>B2888</t>
  </si>
  <si>
    <t>INV-75043</t>
  </si>
  <si>
    <t>T100889</t>
  </si>
  <si>
    <t>B2889</t>
  </si>
  <si>
    <t>INV-58127</t>
  </si>
  <si>
    <t>T100890</t>
  </si>
  <si>
    <t>B2890</t>
  </si>
  <si>
    <t>INV-42163</t>
  </si>
  <si>
    <t>T100891</t>
  </si>
  <si>
    <t>B2891</t>
  </si>
  <si>
    <t>T100892</t>
  </si>
  <si>
    <t>B2892</t>
  </si>
  <si>
    <t>23.04.2026</t>
  </si>
  <si>
    <t>INV-45221</t>
  </si>
  <si>
    <t>T100893</t>
  </si>
  <si>
    <t>B2893</t>
  </si>
  <si>
    <t>INV-92269</t>
  </si>
  <si>
    <t>T100894</t>
  </si>
  <si>
    <t>B2894</t>
  </si>
  <si>
    <t>T100895</t>
  </si>
  <si>
    <t>B2895</t>
  </si>
  <si>
    <t>INV-72809</t>
  </si>
  <si>
    <t>T100896</t>
  </si>
  <si>
    <t>B2896</t>
  </si>
  <si>
    <t>T100897</t>
  </si>
  <si>
    <t>B2897</t>
  </si>
  <si>
    <t>INV-39727</t>
  </si>
  <si>
    <t>T100898</t>
  </si>
  <si>
    <t>B2898</t>
  </si>
  <si>
    <t>INV-94057</t>
  </si>
  <si>
    <t>T100900</t>
  </si>
  <si>
    <t>B2900</t>
  </si>
  <si>
    <t>INV-58314</t>
  </si>
  <si>
    <t>T100901</t>
  </si>
  <si>
    <t>B2901</t>
  </si>
  <si>
    <t>INV-71550</t>
  </si>
  <si>
    <t>T100902</t>
  </si>
  <si>
    <t>B2902</t>
  </si>
  <si>
    <t>INV-63767</t>
  </si>
  <si>
    <t>T100903</t>
  </si>
  <si>
    <t>B2903</t>
  </si>
  <si>
    <t>INV-80000</t>
  </si>
  <si>
    <t>T100904</t>
  </si>
  <si>
    <t>B2904</t>
  </si>
  <si>
    <t>INV-60141</t>
  </si>
  <si>
    <t>T100905</t>
  </si>
  <si>
    <t>B2905</t>
  </si>
  <si>
    <t>INV-38975</t>
  </si>
  <si>
    <t>T100906</t>
  </si>
  <si>
    <t>B2906</t>
  </si>
  <si>
    <t>INV-35694</t>
  </si>
  <si>
    <t>T100907</t>
  </si>
  <si>
    <t>B2907</t>
  </si>
  <si>
    <t>INV-24696</t>
  </si>
  <si>
    <t>T100908</t>
  </si>
  <si>
    <t>B2908</t>
  </si>
  <si>
    <t>INV-18460</t>
  </si>
  <si>
    <t>T100909</t>
  </si>
  <si>
    <t>B2909</t>
  </si>
  <si>
    <t>INV-69990</t>
  </si>
  <si>
    <t>T100910</t>
  </si>
  <si>
    <t>B2910</t>
  </si>
  <si>
    <t>INV-20576</t>
  </si>
  <si>
    <t>T100911</t>
  </si>
  <si>
    <t>B2911</t>
  </si>
  <si>
    <t>INV-85090</t>
  </si>
  <si>
    <t>T100912</t>
  </si>
  <si>
    <t>B2912</t>
  </si>
  <si>
    <t>INV-83578</t>
  </si>
  <si>
    <t>T100913</t>
  </si>
  <si>
    <t>B2913</t>
  </si>
  <si>
    <t>INV-68778</t>
  </si>
  <si>
    <t>T100914</t>
  </si>
  <si>
    <t>B2914</t>
  </si>
  <si>
    <t>INV-13985</t>
  </si>
  <si>
    <t>T100915</t>
  </si>
  <si>
    <t>B2915</t>
  </si>
  <si>
    <t>INV-96257</t>
  </si>
  <si>
    <t>T100916</t>
  </si>
  <si>
    <t>B2916</t>
  </si>
  <si>
    <t>INV-75175</t>
  </si>
  <si>
    <t>T100917</t>
  </si>
  <si>
    <t>B2917</t>
  </si>
  <si>
    <t>INV-33811</t>
  </si>
  <si>
    <t>T100918</t>
  </si>
  <si>
    <t>B2918</t>
  </si>
  <si>
    <t>INV-91391</t>
  </si>
  <si>
    <t>T100919</t>
  </si>
  <si>
    <t>B2919</t>
  </si>
  <si>
    <t>INV-51588</t>
  </si>
  <si>
    <t>T100920</t>
  </si>
  <si>
    <t>B2920</t>
  </si>
  <si>
    <t>INV-41415</t>
  </si>
  <si>
    <t>T100921</t>
  </si>
  <si>
    <t>B2921</t>
  </si>
  <si>
    <t>13.08.2025</t>
  </si>
  <si>
    <t>INV-57849</t>
  </si>
  <si>
    <t>T100922</t>
  </si>
  <si>
    <t>B2922</t>
  </si>
  <si>
    <t>INV-33369</t>
  </si>
  <si>
    <t>T100923</t>
  </si>
  <si>
    <t>B2923</t>
  </si>
  <si>
    <t>INV-54363</t>
  </si>
  <si>
    <t>T100924</t>
  </si>
  <si>
    <t>B2924</t>
  </si>
  <si>
    <t>INV-14989</t>
  </si>
  <si>
    <t>T100925</t>
  </si>
  <si>
    <t>B2925</t>
  </si>
  <si>
    <t>INV-87524</t>
  </si>
  <si>
    <t>T100926</t>
  </si>
  <si>
    <t>B2926</t>
  </si>
  <si>
    <t>INV-22293</t>
  </si>
  <si>
    <t>T100927</t>
  </si>
  <si>
    <t>B2927</t>
  </si>
  <si>
    <t>INV-22931</t>
  </si>
  <si>
    <t>T100928</t>
  </si>
  <si>
    <t>B2928</t>
  </si>
  <si>
    <t>INV-96980</t>
  </si>
  <si>
    <t>T100929</t>
  </si>
  <si>
    <t>B2929</t>
  </si>
  <si>
    <t>INV-55418</t>
  </si>
  <si>
    <t>T100930</t>
  </si>
  <si>
    <t>B2930</t>
  </si>
  <si>
    <t>30.01.2026</t>
  </si>
  <si>
    <t>INV-31489</t>
  </si>
  <si>
    <t>T100931</t>
  </si>
  <si>
    <t>B2931</t>
  </si>
  <si>
    <t>INV-19829</t>
  </si>
  <si>
    <t>T100932</t>
  </si>
  <si>
    <t>B2932</t>
  </si>
  <si>
    <t>INV-78253</t>
  </si>
  <si>
    <t>T100933</t>
  </si>
  <si>
    <t>B2933</t>
  </si>
  <si>
    <t>INV-76959</t>
  </si>
  <si>
    <t>T100935</t>
  </si>
  <si>
    <t>B2935</t>
  </si>
  <si>
    <t>INV-55848</t>
  </si>
  <si>
    <t>T100936</t>
  </si>
  <si>
    <t>B2936</t>
  </si>
  <si>
    <t>INV-65702</t>
  </si>
  <si>
    <t>T100937</t>
  </si>
  <si>
    <t>B2937</t>
  </si>
  <si>
    <t>INV-14449</t>
  </si>
  <si>
    <t>T100938</t>
  </si>
  <si>
    <t>B2938</t>
  </si>
  <si>
    <t>INV-88931</t>
  </si>
  <si>
    <t>T100939</t>
  </si>
  <si>
    <t>B2939</t>
  </si>
  <si>
    <t>INV-97386</t>
  </si>
  <si>
    <t>T100940</t>
  </si>
  <si>
    <t>B2940</t>
  </si>
  <si>
    <t>INV-52695</t>
  </si>
  <si>
    <t>T100941</t>
  </si>
  <si>
    <t>B2941</t>
  </si>
  <si>
    <t>INV-52734</t>
  </si>
  <si>
    <t>T100942</t>
  </si>
  <si>
    <t>B2942</t>
  </si>
  <si>
    <t>INV-64869</t>
  </si>
  <si>
    <t>T100943</t>
  </si>
  <si>
    <t>B2943</t>
  </si>
  <si>
    <t>INV-98208</t>
  </si>
  <si>
    <t>T100944</t>
  </si>
  <si>
    <t>B2944</t>
  </si>
  <si>
    <t>INV-95941</t>
  </si>
  <si>
    <t>T100945</t>
  </si>
  <si>
    <t>B2945</t>
  </si>
  <si>
    <t>INV-18274</t>
  </si>
  <si>
    <t>T100946</t>
  </si>
  <si>
    <t>B2946</t>
  </si>
  <si>
    <t>22.04.2025</t>
  </si>
  <si>
    <t>INV-92845</t>
  </si>
  <si>
    <t>T100947</t>
  </si>
  <si>
    <t>B2947</t>
  </si>
  <si>
    <t>T100948</t>
  </si>
  <si>
    <t>B2948</t>
  </si>
  <si>
    <t>INV-76752</t>
  </si>
  <si>
    <t>T100949</t>
  </si>
  <si>
    <t>B2949</t>
  </si>
  <si>
    <t>INV-67855</t>
  </si>
  <si>
    <t>T100950</t>
  </si>
  <si>
    <t>B2950</t>
  </si>
  <si>
    <t>INV-40152</t>
  </si>
  <si>
    <t>T100951</t>
  </si>
  <si>
    <t>B2951</t>
  </si>
  <si>
    <t>INV-87610</t>
  </si>
  <si>
    <t>T100952</t>
  </si>
  <si>
    <t>B2952</t>
  </si>
  <si>
    <t>T100953</t>
  </si>
  <si>
    <t>B2953</t>
  </si>
  <si>
    <t>INV-12341</t>
  </si>
  <si>
    <t>T100954</t>
  </si>
  <si>
    <t>B2954</t>
  </si>
  <si>
    <t>INV-14439</t>
  </si>
  <si>
    <t>T100955</t>
  </si>
  <si>
    <t>B2955</t>
  </si>
  <si>
    <t>INV-74777</t>
  </si>
  <si>
    <t>T100956</t>
  </si>
  <si>
    <t>B2956</t>
  </si>
  <si>
    <t>T100957</t>
  </si>
  <si>
    <t>B2957</t>
  </si>
  <si>
    <t>INV-46503</t>
  </si>
  <si>
    <t>T100958</t>
  </si>
  <si>
    <t>B2958</t>
  </si>
  <si>
    <t>INV-51975</t>
  </si>
  <si>
    <t>T100959</t>
  </si>
  <si>
    <t>B2959</t>
  </si>
  <si>
    <t>INV-93494</t>
  </si>
  <si>
    <t>T100960</t>
  </si>
  <si>
    <t>B2960</t>
  </si>
  <si>
    <t>INV-67254</t>
  </si>
  <si>
    <t>T100961</t>
  </si>
  <si>
    <t>B2961</t>
  </si>
  <si>
    <t>INV-73989</t>
  </si>
  <si>
    <t>T100962</t>
  </si>
  <si>
    <t>B2962</t>
  </si>
  <si>
    <t>INV-33254</t>
  </si>
  <si>
    <t>T100963</t>
  </si>
  <si>
    <t>B2963</t>
  </si>
  <si>
    <t>T100964</t>
  </si>
  <si>
    <t>B2964</t>
  </si>
  <si>
    <t>INV-48048</t>
  </si>
  <si>
    <t>T100965</t>
  </si>
  <si>
    <t>B2965</t>
  </si>
  <si>
    <t>INV-67406</t>
  </si>
  <si>
    <t>T100966</t>
  </si>
  <si>
    <t>B2966</t>
  </si>
  <si>
    <t>INV-51539</t>
  </si>
  <si>
    <t>T100967</t>
  </si>
  <si>
    <t>B2967</t>
  </si>
  <si>
    <t>INV-52773</t>
  </si>
  <si>
    <t>T100968</t>
  </si>
  <si>
    <t>B2968</t>
  </si>
  <si>
    <t>T100969</t>
  </si>
  <si>
    <t>B2969</t>
  </si>
  <si>
    <t>T100970</t>
  </si>
  <si>
    <t>B2970</t>
  </si>
  <si>
    <t>INV-93223</t>
  </si>
  <si>
    <t>T100971</t>
  </si>
  <si>
    <t>B2971</t>
  </si>
  <si>
    <t>T100972</t>
  </si>
  <si>
    <t>B2972</t>
  </si>
  <si>
    <t>INV-63654</t>
  </si>
  <si>
    <t>T100973</t>
  </si>
  <si>
    <t>B2973</t>
  </si>
  <si>
    <t>INV-83285</t>
  </si>
  <si>
    <t>T100974</t>
  </si>
  <si>
    <t>B2974</t>
  </si>
  <si>
    <t>28.01.2026</t>
  </si>
  <si>
    <t>INV-98702</t>
  </si>
  <si>
    <t>T100975</t>
  </si>
  <si>
    <t>B2975</t>
  </si>
  <si>
    <t>INV-55488</t>
  </si>
  <si>
    <t>T100976</t>
  </si>
  <si>
    <t>B2976</t>
  </si>
  <si>
    <t>INV-30445</t>
  </si>
  <si>
    <t>T100977</t>
  </si>
  <si>
    <t>B2977</t>
  </si>
  <si>
    <t>INV-73011</t>
  </si>
  <si>
    <t>T100978</t>
  </si>
  <si>
    <t>B2978</t>
  </si>
  <si>
    <t>INV-37937</t>
  </si>
  <si>
    <t>T100979</t>
  </si>
  <si>
    <t>B2979</t>
  </si>
  <si>
    <t>INV-22697</t>
  </si>
  <si>
    <t>T100980</t>
  </si>
  <si>
    <t>B2980</t>
  </si>
  <si>
    <t>INV-72107</t>
  </si>
  <si>
    <t>T100981</t>
  </si>
  <si>
    <t>B2981</t>
  </si>
  <si>
    <t>INV-23543</t>
  </si>
  <si>
    <t>T100982</t>
  </si>
  <si>
    <t>B2982</t>
  </si>
  <si>
    <t>INV-15012</t>
  </si>
  <si>
    <t>T100983</t>
  </si>
  <si>
    <t>B2983</t>
  </si>
  <si>
    <t>INV-74763</t>
  </si>
  <si>
    <t>T100984</t>
  </si>
  <si>
    <t>B2984</t>
  </si>
  <si>
    <t>INV-31182</t>
  </si>
  <si>
    <t>T100985</t>
  </si>
  <si>
    <t>B2985</t>
  </si>
  <si>
    <t>INV-57932</t>
  </si>
  <si>
    <t>T100986</t>
  </si>
  <si>
    <t>B2986</t>
  </si>
  <si>
    <t>INV-44593</t>
  </si>
  <si>
    <t>T100987</t>
  </si>
  <si>
    <t>B2987</t>
  </si>
  <si>
    <t>INV-83346</t>
  </si>
  <si>
    <t>T100988</t>
  </si>
  <si>
    <t>B2988</t>
  </si>
  <si>
    <t>INV-91657</t>
  </si>
  <si>
    <t>T100989</t>
  </si>
  <si>
    <t>B2989</t>
  </si>
  <si>
    <t>INV-26040</t>
  </si>
  <si>
    <t>T100990</t>
  </si>
  <si>
    <t>B2990</t>
  </si>
  <si>
    <t>INV-60524</t>
  </si>
  <si>
    <t>T100991</t>
  </si>
  <si>
    <t>B2991</t>
  </si>
  <si>
    <t>INV-52185</t>
  </si>
  <si>
    <t>T100992</t>
  </si>
  <si>
    <t>B2992</t>
  </si>
  <si>
    <t>INV-40927</t>
  </si>
  <si>
    <t>T100993</t>
  </si>
  <si>
    <t>B2993</t>
  </si>
  <si>
    <t>INV-18618</t>
  </si>
  <si>
    <t>T100994</t>
  </si>
  <si>
    <t>B2994</t>
  </si>
  <si>
    <t>T100995</t>
  </si>
  <si>
    <t>B2995</t>
  </si>
  <si>
    <t>INV-17813</t>
  </si>
  <si>
    <t>T100996</t>
  </si>
  <si>
    <t>B2996</t>
  </si>
  <si>
    <t>T100997</t>
  </si>
  <si>
    <t>B2997</t>
  </si>
  <si>
    <t>INV-10726</t>
  </si>
  <si>
    <t>T100998</t>
  </si>
  <si>
    <t>B2998</t>
  </si>
  <si>
    <t>INV-97946</t>
  </si>
  <si>
    <t>T100999</t>
  </si>
  <si>
    <t>B2999</t>
  </si>
  <si>
    <t>INV-38900</t>
  </si>
  <si>
    <t>No Notes</t>
  </si>
  <si>
    <t>unknown</t>
  </si>
  <si>
    <t>Critical</t>
  </si>
  <si>
    <t>20251124</t>
  </si>
  <si>
    <t>01-11-2025</t>
  </si>
  <si>
    <t>29-12-2025</t>
  </si>
  <si>
    <t>02.04.2025</t>
  </si>
  <si>
    <t>2025-08-29</t>
  </si>
  <si>
    <t>20251112</t>
  </si>
  <si>
    <t>17-01-2026</t>
  </si>
  <si>
    <t>01-06-2025</t>
  </si>
  <si>
    <t>B2005</t>
  </si>
  <si>
    <t>2025-04-07</t>
  </si>
  <si>
    <t>05-04-2025</t>
  </si>
  <si>
    <t>INV-63964</t>
  </si>
  <si>
    <t>25-01-2026</t>
  </si>
  <si>
    <t>14-05-2026</t>
  </si>
  <si>
    <t>2025-12-13</t>
  </si>
  <si>
    <t>21-01-2026</t>
  </si>
  <si>
    <t>2025-06-05</t>
  </si>
  <si>
    <t>06-12-2025</t>
  </si>
  <si>
    <t>B2009</t>
  </si>
  <si>
    <t>2025-11-24</t>
  </si>
  <si>
    <t>INV-49529</t>
  </si>
  <si>
    <t>2026-02-05</t>
  </si>
  <si>
    <t>07-04-2026</t>
  </si>
  <si>
    <t>2025-12-21</t>
  </si>
  <si>
    <t>20-02-2026</t>
  </si>
  <si>
    <t>05.04.2026</t>
  </si>
  <si>
    <t>20251002</t>
  </si>
  <si>
    <t>23-11-2025</t>
  </si>
  <si>
    <t>09.02.2026</t>
  </si>
  <si>
    <t>20-10-2025</t>
  </si>
  <si>
    <t>20250828</t>
  </si>
  <si>
    <t>20260126</t>
  </si>
  <si>
    <t>2025-03-29</t>
  </si>
  <si>
    <t>17-01-2025</t>
  </si>
  <si>
    <t>18-11-2025</t>
  </si>
  <si>
    <t>20-01-2026</t>
  </si>
  <si>
    <t>14-06-2025</t>
  </si>
  <si>
    <t>08.09.2025</t>
  </si>
  <si>
    <t>2025-07-03</t>
  </si>
  <si>
    <t>22-04-2025</t>
  </si>
  <si>
    <t>06-10-2025</t>
  </si>
  <si>
    <t>03-08-2025</t>
  </si>
  <si>
    <t>2025-09-10</t>
  </si>
  <si>
    <t>19-04-2025</t>
  </si>
  <si>
    <t>10-12-2024</t>
  </si>
  <si>
    <t>2025-02-22</t>
  </si>
  <si>
    <t>20250327</t>
  </si>
  <si>
    <t>2025-12-30</t>
  </si>
  <si>
    <t>2026-03-02</t>
  </si>
  <si>
    <t>2026-02-23</t>
  </si>
  <si>
    <t>02-03-2026</t>
  </si>
  <si>
    <t>2025-05-10</t>
  </si>
  <si>
    <t>2026-02-14</t>
  </si>
  <si>
    <t>10-05-2026</t>
  </si>
  <si>
    <t>21-10-2025</t>
  </si>
  <si>
    <t>28-08-2025</t>
  </si>
  <si>
    <t>08-11-2025</t>
  </si>
  <si>
    <t>2026-02-18</t>
  </si>
  <si>
    <t>26-06-2025</t>
  </si>
  <si>
    <t>2025-08-01</t>
  </si>
  <si>
    <t>29-07-2025</t>
  </si>
  <si>
    <t>15-03-2025</t>
  </si>
  <si>
    <t>2025-02-09</t>
  </si>
  <si>
    <t>23-05-2025</t>
  </si>
  <si>
    <t>20250207</t>
  </si>
  <si>
    <t>07-07-2025</t>
  </si>
  <si>
    <t>2025-10-03</t>
  </si>
  <si>
    <t>2026-04-01</t>
  </si>
  <si>
    <t>23-05-2026</t>
  </si>
  <si>
    <t>15-09-2025</t>
  </si>
  <si>
    <t>2025-10-31</t>
  </si>
  <si>
    <t>20251107</t>
  </si>
  <si>
    <t>25-01-2025</t>
  </si>
  <si>
    <t>29-11-2024</t>
  </si>
  <si>
    <t>2025-10-01</t>
  </si>
  <si>
    <t>B2038</t>
  </si>
  <si>
    <t>INV-58916</t>
  </si>
  <si>
    <t>26-12-2024</t>
  </si>
  <si>
    <t>02.02.2025</t>
  </si>
  <si>
    <t>15-11-2025</t>
  </si>
  <si>
    <t>20260409</t>
  </si>
  <si>
    <t>14-01-2025</t>
  </si>
  <si>
    <t>2025-10-16</t>
  </si>
  <si>
    <t>2024-10-29</t>
  </si>
  <si>
    <t>20250203</t>
  </si>
  <si>
    <t>20250313</t>
  </si>
  <si>
    <t>20251109</t>
  </si>
  <si>
    <t>29-08-2025</t>
  </si>
  <si>
    <t>2026-02-04</t>
  </si>
  <si>
    <t>27-02-2025</t>
  </si>
  <si>
    <t>2024-12-01</t>
  </si>
  <si>
    <t>06-09-2025</t>
  </si>
  <si>
    <t>08-08-2025</t>
  </si>
  <si>
    <t>11-07-2025</t>
  </si>
  <si>
    <t>2025-08-08</t>
  </si>
  <si>
    <t>2025-10-04</t>
  </si>
  <si>
    <t>20250601</t>
  </si>
  <si>
    <t>20250703</t>
  </si>
  <si>
    <t>21-08-2025</t>
  </si>
  <si>
    <t>29-11-2025</t>
  </si>
  <si>
    <t>24-02-2026</t>
  </si>
  <si>
    <t>01-03-2025</t>
  </si>
  <si>
    <t>05-05-2025</t>
  </si>
  <si>
    <t>20250825</t>
  </si>
  <si>
    <t>20250112</t>
  </si>
  <si>
    <t>20241031</t>
  </si>
  <si>
    <t>2025-02-11</t>
  </si>
  <si>
    <t>2026-01-28</t>
  </si>
  <si>
    <t>20-11-2025</t>
  </si>
  <si>
    <t>08-02-2026</t>
  </si>
  <si>
    <t>07-09-2025</t>
  </si>
  <si>
    <t>20250619</t>
  </si>
  <si>
    <t>2025-08-23</t>
  </si>
  <si>
    <t>2025-10-13</t>
  </si>
  <si>
    <t>28-10-2025</t>
  </si>
  <si>
    <t>2025-09-18</t>
  </si>
  <si>
    <t>25-12-2025</t>
  </si>
  <si>
    <t>20250726</t>
  </si>
  <si>
    <t>2025-06-02</t>
  </si>
  <si>
    <t>11-08-2025</t>
  </si>
  <si>
    <t>13-12-2025</t>
  </si>
  <si>
    <t>2025-10-24</t>
  </si>
  <si>
    <t>20260214</t>
  </si>
  <si>
    <t>24-04-2025</t>
  </si>
  <si>
    <t>01-02-2025</t>
  </si>
  <si>
    <t>16-06-2025</t>
  </si>
  <si>
    <t>2025-04-26</t>
  </si>
  <si>
    <t>2025-03-20</t>
  </si>
  <si>
    <t>06-05-2025</t>
  </si>
  <si>
    <t>05-07-2025</t>
  </si>
  <si>
    <t>07-08-2025</t>
  </si>
  <si>
    <t>20250701</t>
  </si>
  <si>
    <t>19-06-2025</t>
  </si>
  <si>
    <t>04-12-2025</t>
  </si>
  <si>
    <t>20260102</t>
  </si>
  <si>
    <t>04-01-2025</t>
  </si>
  <si>
    <t>20250411</t>
  </si>
  <si>
    <t>21-06-2025</t>
  </si>
  <si>
    <t>13-01-2025</t>
  </si>
  <si>
    <t>2024-12-25</t>
  </si>
  <si>
    <t>16-02-2025</t>
  </si>
  <si>
    <t>2025-09-14</t>
  </si>
  <si>
    <t>20250612</t>
  </si>
  <si>
    <t>2025-04-28</t>
  </si>
  <si>
    <t>24-06-2025</t>
  </si>
  <si>
    <t>30-09-2025</t>
  </si>
  <si>
    <t>12-06-2025</t>
  </si>
  <si>
    <t>2025-04-06</t>
  </si>
  <si>
    <t>19-02-2025</t>
  </si>
  <si>
    <t>20251104</t>
  </si>
  <si>
    <t>23-09-2025</t>
  </si>
  <si>
    <t>01-01-2026</t>
  </si>
  <si>
    <t>20260211</t>
  </si>
  <si>
    <t>20251103</t>
  </si>
  <si>
    <t>10-12-2025</t>
  </si>
  <si>
    <t>20250413</t>
  </si>
  <si>
    <t>20250206</t>
  </si>
  <si>
    <t>18-05-2025</t>
  </si>
  <si>
    <t>20250707</t>
  </si>
  <si>
    <t>26-04-2025</t>
  </si>
  <si>
    <t>20250812</t>
  </si>
  <si>
    <t>10-02-2025</t>
  </si>
  <si>
    <t>2024-12-10</t>
  </si>
  <si>
    <t>20250329</t>
  </si>
  <si>
    <t>18-02-2026</t>
  </si>
  <si>
    <t>12-04-2025</t>
  </si>
  <si>
    <t>2025-03-02</t>
  </si>
  <si>
    <t>09-06-2025</t>
  </si>
  <si>
    <t>20250819</t>
  </si>
  <si>
    <t>2025-12-15</t>
  </si>
  <si>
    <t>06-06-2025</t>
  </si>
  <si>
    <t>20251011</t>
  </si>
  <si>
    <t>2025-10-18</t>
  </si>
  <si>
    <t>2024-10-30</t>
  </si>
  <si>
    <t>07-03-2025</t>
  </si>
  <si>
    <t>2025-03-18</t>
  </si>
  <si>
    <t>31-10-2025</t>
  </si>
  <si>
    <t>11-04-2025</t>
  </si>
  <si>
    <t>20250927</t>
  </si>
  <si>
    <t>2026-01-13</t>
  </si>
  <si>
    <t>2026-01-04</t>
  </si>
  <si>
    <t>2025-08-21</t>
  </si>
  <si>
    <t>03-12-2024</t>
  </si>
  <si>
    <t>2025-02-21</t>
  </si>
  <si>
    <t>2025-04-16</t>
  </si>
  <si>
    <t>2025-11-08</t>
  </si>
  <si>
    <t>20251016</t>
  </si>
  <si>
    <t>2026-03-06</t>
  </si>
  <si>
    <t>2025-12-18</t>
  </si>
  <si>
    <t>2025-08-25</t>
  </si>
  <si>
    <t>12-11-2025</t>
  </si>
  <si>
    <t>2025-04-01</t>
  </si>
  <si>
    <t>2025-05-08</t>
  </si>
  <si>
    <t>20250705</t>
  </si>
  <si>
    <t>20250320</t>
  </si>
  <si>
    <t>2025-09-20</t>
  </si>
  <si>
    <t>2025-08-09</t>
  </si>
  <si>
    <t>07-10-2025</t>
  </si>
  <si>
    <t>14-02-2025</t>
  </si>
  <si>
    <t>20250512</t>
  </si>
  <si>
    <t>03-11-2025</t>
  </si>
  <si>
    <t>2025-09-19</t>
  </si>
  <si>
    <t>2026-01-05</t>
  </si>
  <si>
    <t>17-05-2025</t>
  </si>
  <si>
    <t>27-04-2025</t>
  </si>
  <si>
    <t>06-04-2025</t>
  </si>
  <si>
    <t>2025-06-22</t>
  </si>
  <si>
    <t>2025-04-15</t>
  </si>
  <si>
    <t>2025-03-10</t>
  </si>
  <si>
    <t>12-12-2024</t>
  </si>
  <si>
    <t>29-04-2025</t>
  </si>
  <si>
    <t>04-09-2025</t>
  </si>
  <si>
    <t>20260201</t>
  </si>
  <si>
    <t>2026-05-16</t>
  </si>
  <si>
    <t>2025-09-08</t>
  </si>
  <si>
    <t>20260312</t>
  </si>
  <si>
    <t>30-04-2025</t>
  </si>
  <si>
    <t>2025-08-05</t>
  </si>
  <si>
    <t>20250918</t>
  </si>
  <si>
    <t>2025-12-11</t>
  </si>
  <si>
    <t>2025-04-24</t>
  </si>
  <si>
    <t>2025-08-10</t>
  </si>
  <si>
    <t>2025-10-25</t>
  </si>
  <si>
    <t>05-11-2025</t>
  </si>
  <si>
    <t>08-04-2025</t>
  </si>
  <si>
    <t>2025-02-04</t>
  </si>
  <si>
    <t>10-01-2025</t>
  </si>
  <si>
    <t>11-11-2025</t>
  </si>
  <si>
    <t>2026-03-24</t>
  </si>
  <si>
    <t>16-07-2025</t>
  </si>
  <si>
    <t>20250504</t>
  </si>
  <si>
    <t>2025-08-18</t>
  </si>
  <si>
    <t>12-03-2025</t>
  </si>
  <si>
    <t>02-06-2025</t>
  </si>
  <si>
    <t>2025-08-27</t>
  </si>
  <si>
    <t>B2118</t>
  </si>
  <si>
    <t>20251018</t>
  </si>
  <si>
    <t>27-12-2025</t>
  </si>
  <si>
    <t>07-02-2026</t>
  </si>
  <si>
    <t>INV-29129</t>
  </si>
  <si>
    <t>2025-08-19</t>
  </si>
  <si>
    <t>12-12-2025</t>
  </si>
  <si>
    <t>2025-06-27</t>
  </si>
  <si>
    <t>20250618</t>
  </si>
  <si>
    <t>20-05-2025</t>
  </si>
  <si>
    <t>2025-08-26</t>
  </si>
  <si>
    <t>20250108</t>
  </si>
  <si>
    <t>10-06-2025</t>
  </si>
  <si>
    <t>2026-02-21</t>
  </si>
  <si>
    <t>17-12-2025</t>
  </si>
  <si>
    <t>17-04-2026</t>
  </si>
  <si>
    <t>2024-11-24</t>
  </si>
  <si>
    <t>20-02-2025</t>
  </si>
  <si>
    <t>29-01-2026</t>
  </si>
  <si>
    <t>2026-04-11</t>
  </si>
  <si>
    <t>2025-01-16</t>
  </si>
  <si>
    <t>2025-03-14</t>
  </si>
  <si>
    <t>30-03-2026</t>
  </si>
  <si>
    <t>2025-09-28</t>
  </si>
  <si>
    <t>20250405</t>
  </si>
  <si>
    <t>31-07-2025</t>
  </si>
  <si>
    <t>20250613</t>
  </si>
  <si>
    <t>2026-01-06</t>
  </si>
  <si>
    <t>01-02-2026</t>
  </si>
  <si>
    <t>04-08-2025</t>
  </si>
  <si>
    <t>2025-09-26</t>
  </si>
  <si>
    <t>2025-05-03</t>
  </si>
  <si>
    <t>20251024</t>
  </si>
  <si>
    <t>21-12-2025</t>
  </si>
  <si>
    <t>2025-03-08</t>
  </si>
  <si>
    <t>19-08-2025</t>
  </si>
  <si>
    <t>20250823</t>
  </si>
  <si>
    <t>20-07-2025</t>
  </si>
  <si>
    <t>13-05-2025</t>
  </si>
  <si>
    <t>05-09-2025</t>
  </si>
  <si>
    <t>30-06-2025</t>
  </si>
  <si>
    <t>19-07-2025</t>
  </si>
  <si>
    <t>20250813</t>
  </si>
  <si>
    <t>2025-06-20</t>
  </si>
  <si>
    <t>04-04-2025</t>
  </si>
  <si>
    <t>20250623</t>
  </si>
  <si>
    <t>20250609</t>
  </si>
  <si>
    <t>10-05-2025</t>
  </si>
  <si>
    <t>20250222</t>
  </si>
  <si>
    <t>20250625</t>
  </si>
  <si>
    <t>09-02-2025</t>
  </si>
  <si>
    <t>12-07-2025</t>
  </si>
  <si>
    <t>2025-11-22</t>
  </si>
  <si>
    <t>20260119</t>
  </si>
  <si>
    <t>2026-02-12</t>
  </si>
  <si>
    <t>20260423</t>
  </si>
  <si>
    <t>20250301</t>
  </si>
  <si>
    <t>01.04.2025</t>
  </si>
  <si>
    <t>2025-07-01</t>
  </si>
  <si>
    <t>05.10.2025</t>
  </si>
  <si>
    <t>02-03-2025</t>
  </si>
  <si>
    <t>16-01-2025</t>
  </si>
  <si>
    <t>20250622</t>
  </si>
  <si>
    <t>2025-03-04</t>
  </si>
  <si>
    <t>2025-04-27</t>
  </si>
  <si>
    <t>2025-10-23</t>
  </si>
  <si>
    <t>2025-05-01</t>
  </si>
  <si>
    <t>03-12-2025</t>
  </si>
  <si>
    <t>20250920</t>
  </si>
  <si>
    <t>20251005</t>
  </si>
  <si>
    <t>2025-03-23</t>
  </si>
  <si>
    <t>20260124</t>
  </si>
  <si>
    <t>31-12-2025</t>
  </si>
  <si>
    <t>20250630</t>
  </si>
  <si>
    <t>20241120</t>
  </si>
  <si>
    <t>2025-03-19</t>
  </si>
  <si>
    <t>14-01-2026</t>
  </si>
  <si>
    <t>20250319</t>
  </si>
  <si>
    <t>2025-02-25</t>
  </si>
  <si>
    <t>27-06-2025</t>
  </si>
  <si>
    <t>2025-08-14</t>
  </si>
  <si>
    <t>20250305</t>
  </si>
  <si>
    <t>09-07-2025</t>
  </si>
  <si>
    <t>02-02-2026</t>
  </si>
  <si>
    <t>20260310</t>
  </si>
  <si>
    <t>2024-10-08</t>
  </si>
  <si>
    <t>12-02-2025</t>
  </si>
  <si>
    <t>2025-12-04</t>
  </si>
  <si>
    <t>06-02-2025</t>
  </si>
  <si>
    <t>23-07-2025</t>
  </si>
  <si>
    <t>04-05-2025</t>
  </si>
  <si>
    <t>14-09-2025</t>
  </si>
  <si>
    <t>24-08-2025</t>
  </si>
  <si>
    <t>05-08-2025</t>
  </si>
  <si>
    <t>18-12-2025</t>
  </si>
  <si>
    <t>20250930</t>
  </si>
  <si>
    <t>05-03-2025</t>
  </si>
  <si>
    <t>2025-05-15</t>
  </si>
  <si>
    <t>2025-12-14</t>
  </si>
  <si>
    <t>2025-09-09</t>
  </si>
  <si>
    <t>23-06-2025</t>
  </si>
  <si>
    <t>05.08.2025</t>
  </si>
  <si>
    <t>2025-07-12</t>
  </si>
  <si>
    <t>20250228</t>
  </si>
  <si>
    <t>20250321</t>
  </si>
  <si>
    <t>21-05-2025</t>
  </si>
  <si>
    <t>2025-03-16</t>
  </si>
  <si>
    <t>16-08-2025</t>
  </si>
  <si>
    <t>20251004</t>
  </si>
  <si>
    <t>2025-06-11</t>
  </si>
  <si>
    <t>20250410</t>
  </si>
  <si>
    <t>20260222</t>
  </si>
  <si>
    <t>2025-10-10</t>
  </si>
  <si>
    <t>26-08-2025</t>
  </si>
  <si>
    <t>30-11-2025</t>
  </si>
  <si>
    <t>07-12-2025</t>
  </si>
  <si>
    <t>20250419</t>
  </si>
  <si>
    <t>05-02-2026</t>
  </si>
  <si>
    <t>21-04-2026</t>
  </si>
  <si>
    <t>20250428</t>
  </si>
  <si>
    <t>B2192</t>
  </si>
  <si>
    <t>2025-02-23</t>
  </si>
  <si>
    <t>INV-62081</t>
  </si>
  <si>
    <t>05-06-2025</t>
  </si>
  <si>
    <t>20-12-2024</t>
  </si>
  <si>
    <t>2025-02-12</t>
  </si>
  <si>
    <t>20250506</t>
  </si>
  <si>
    <t>B2196</t>
  </si>
  <si>
    <t>18-03-2025</t>
  </si>
  <si>
    <t>INV-18169</t>
  </si>
  <si>
    <t>2025-12-02</t>
  </si>
  <si>
    <t>31-03-2026</t>
  </si>
  <si>
    <t>02-04-2025</t>
  </si>
  <si>
    <t>06-01-2026</t>
  </si>
  <si>
    <t>2026-02-17</t>
  </si>
  <si>
    <t>2026-04-23</t>
  </si>
  <si>
    <t>20250723</t>
  </si>
  <si>
    <t>2025-04-02</t>
  </si>
  <si>
    <t>2025-04-04</t>
  </si>
  <si>
    <t>22-07-2025</t>
  </si>
  <si>
    <t>12-10-2025</t>
  </si>
  <si>
    <t>20250922</t>
  </si>
  <si>
    <t>2026-01-14</t>
  </si>
  <si>
    <t>2025-10-17</t>
  </si>
  <si>
    <t>20260123</t>
  </si>
  <si>
    <t>2025-01-12</t>
  </si>
  <si>
    <t>2024-12-03</t>
  </si>
  <si>
    <t>13-02-2025</t>
  </si>
  <si>
    <t>2025-03-25</t>
  </si>
  <si>
    <t>14-05-2025</t>
  </si>
  <si>
    <t>26-10-2025</t>
  </si>
  <si>
    <t>12-05-2025</t>
  </si>
  <si>
    <t>07-04-2025</t>
  </si>
  <si>
    <t>08-05-2025</t>
  </si>
  <si>
    <t>15-04-2025</t>
  </si>
  <si>
    <t>2025-05-21</t>
  </si>
  <si>
    <t>07-01-2025</t>
  </si>
  <si>
    <t>20250616</t>
  </si>
  <si>
    <t>2026-02-07</t>
  </si>
  <si>
    <t>2026-03-11</t>
  </si>
  <si>
    <t>20251012</t>
  </si>
  <si>
    <t>26-02-2026</t>
  </si>
  <si>
    <t>B2214</t>
  </si>
  <si>
    <t>14-04-2025</t>
  </si>
  <si>
    <t>INV-77467</t>
  </si>
  <si>
    <t>26-01-2026</t>
  </si>
  <si>
    <t>20260105</t>
  </si>
  <si>
    <t>20250328</t>
  </si>
  <si>
    <t>19-11-2025</t>
  </si>
  <si>
    <t>02-07-2025</t>
  </si>
  <si>
    <t>08-01-2025</t>
  </si>
  <si>
    <t>08-10-2025</t>
  </si>
  <si>
    <t>2026-03-13</t>
  </si>
  <si>
    <t>2025-01-09</t>
  </si>
  <si>
    <t>20250524</t>
  </si>
  <si>
    <t>2025-01-31</t>
  </si>
  <si>
    <t>09.03.2025</t>
  </si>
  <si>
    <t>2025-07-20</t>
  </si>
  <si>
    <t>2025-05-24</t>
  </si>
  <si>
    <t>18-09-2025</t>
  </si>
  <si>
    <t>2025-11-18</t>
  </si>
  <si>
    <t>26-09-2025</t>
  </si>
  <si>
    <t>B2232</t>
  </si>
  <si>
    <t>2024-11-11</t>
  </si>
  <si>
    <t>INV-55188</t>
  </si>
  <si>
    <t>25-05-2025</t>
  </si>
  <si>
    <t>22-08-2025</t>
  </si>
  <si>
    <t>2025-01-30</t>
  </si>
  <si>
    <t>2025-05-22</t>
  </si>
  <si>
    <t>20250620</t>
  </si>
  <si>
    <t>20250721</t>
  </si>
  <si>
    <t>20251022</t>
  </si>
  <si>
    <t>17-08-2025</t>
  </si>
  <si>
    <t>04-07-2025</t>
  </si>
  <si>
    <t>2025-06-13</t>
  </si>
  <si>
    <t>27-02-2026</t>
  </si>
  <si>
    <t>2026-03-28</t>
  </si>
  <si>
    <t>20241224</t>
  </si>
  <si>
    <t>18-07-2025</t>
  </si>
  <si>
    <t>2025-03-12</t>
  </si>
  <si>
    <t>2025-01-23</t>
  </si>
  <si>
    <t>20250115</t>
  </si>
  <si>
    <t>2025-09-23</t>
  </si>
  <si>
    <t>20250717</t>
  </si>
  <si>
    <t>23-04-2025</t>
  </si>
  <si>
    <t>2025-06-12</t>
  </si>
  <si>
    <t>20250722</t>
  </si>
  <si>
    <t>20250513</t>
  </si>
  <si>
    <t>14-11-2025</t>
  </si>
  <si>
    <t>2026-02-06</t>
  </si>
  <si>
    <t>2025-09-17</t>
  </si>
  <si>
    <t>2025-09-27</t>
  </si>
  <si>
    <t>2025-05-20</t>
  </si>
  <si>
    <t>20250523</t>
  </si>
  <si>
    <t>2025-08-13</t>
  </si>
  <si>
    <t>2025-03-31</t>
  </si>
  <si>
    <t>17-03-2025</t>
  </si>
  <si>
    <t>2025-01-17</t>
  </si>
  <si>
    <t>20250415</t>
  </si>
  <si>
    <t>2025-12-24</t>
  </si>
  <si>
    <t>26-03-2026</t>
  </si>
  <si>
    <t>2025-11-09</t>
  </si>
  <si>
    <t>2025-05-26</t>
  </si>
  <si>
    <t>15-10-2025</t>
  </si>
  <si>
    <t>20251222</t>
  </si>
  <si>
    <t>20250220</t>
  </si>
  <si>
    <t>26-01-2025</t>
  </si>
  <si>
    <t>20250514</t>
  </si>
  <si>
    <t>2025-09-02</t>
  </si>
  <si>
    <t>20260104</t>
  </si>
  <si>
    <t>09-04-2026</t>
  </si>
  <si>
    <t>20250525</t>
  </si>
  <si>
    <t>25-02-2026</t>
  </si>
  <si>
    <t>18-01-2026</t>
  </si>
  <si>
    <t>20250821</t>
  </si>
  <si>
    <t>20250608</t>
  </si>
  <si>
    <t>2025-10-06</t>
  </si>
  <si>
    <t>08-03-2026</t>
  </si>
  <si>
    <t>20251108</t>
  </si>
  <si>
    <t>23-08-2025</t>
  </si>
  <si>
    <t>12-01-2025</t>
  </si>
  <si>
    <t>20250602</t>
  </si>
  <si>
    <t>2025-11-06</t>
  </si>
  <si>
    <t>12-02-2026</t>
  </si>
  <si>
    <t>27-01-2026</t>
  </si>
  <si>
    <t>15-02-2026</t>
  </si>
  <si>
    <t>2026-01-26</t>
  </si>
  <si>
    <t>25-06-2025</t>
  </si>
  <si>
    <t>20250820</t>
  </si>
  <si>
    <t>20250522</t>
  </si>
  <si>
    <t>20250910</t>
  </si>
  <si>
    <t>20250402</t>
  </si>
  <si>
    <t>21-04-2025</t>
  </si>
  <si>
    <t>2025-09-21</t>
  </si>
  <si>
    <t>2025-07-11</t>
  </si>
  <si>
    <t>2025-05-04</t>
  </si>
  <si>
    <t>20250412</t>
  </si>
  <si>
    <t>15-06-2025</t>
  </si>
  <si>
    <t>03-04-2025</t>
  </si>
  <si>
    <t>03-07-2025</t>
  </si>
  <si>
    <t>2025-05-25</t>
  </si>
  <si>
    <t>20251201</t>
  </si>
  <si>
    <t>26-05-2026</t>
  </si>
  <si>
    <t>2024-12-09</t>
  </si>
  <si>
    <t>11.04.2025</t>
  </si>
  <si>
    <t>20251202</t>
  </si>
  <si>
    <t>20241030</t>
  </si>
  <si>
    <t>16-04-2026</t>
  </si>
  <si>
    <t>20250106</t>
  </si>
  <si>
    <t>2024-10-17</t>
  </si>
  <si>
    <t>20250223</t>
  </si>
  <si>
    <t>20250104</t>
  </si>
  <si>
    <t>22-01-2026</t>
  </si>
  <si>
    <t>20260519</t>
  </si>
  <si>
    <t>15-01-2026</t>
  </si>
  <si>
    <t>2026-03-26</t>
  </si>
  <si>
    <t>10.07.2025</t>
  </si>
  <si>
    <t>20250730</t>
  </si>
  <si>
    <t>01-07-2025</t>
  </si>
  <si>
    <t>20250422</t>
  </si>
  <si>
    <t>03-03-2025</t>
  </si>
  <si>
    <t>22-05-2025</t>
  </si>
  <si>
    <t>12.04.2025</t>
  </si>
  <si>
    <t>20250924</t>
  </si>
  <si>
    <t>B2305</t>
  </si>
  <si>
    <t>2025-07-28</t>
  </si>
  <si>
    <t>2025-09-29</t>
  </si>
  <si>
    <t>INV-87623</t>
  </si>
  <si>
    <t>2025-03-15</t>
  </si>
  <si>
    <t>28-03-2025</t>
  </si>
  <si>
    <t>2025-07-18</t>
  </si>
  <si>
    <t>20250814</t>
  </si>
  <si>
    <t>20251215</t>
  </si>
  <si>
    <t>2025-11-12</t>
  </si>
  <si>
    <t>02-09-2025</t>
  </si>
  <si>
    <t>20251028</t>
  </si>
  <si>
    <t>24-09-2025</t>
  </si>
  <si>
    <t>2025-03-21</t>
  </si>
  <si>
    <t>20251228</t>
  </si>
  <si>
    <t>19-04-2026</t>
  </si>
  <si>
    <t>20250531</t>
  </si>
  <si>
    <t>20250727</t>
  </si>
  <si>
    <t>2025-04-09</t>
  </si>
  <si>
    <t>20250911</t>
  </si>
  <si>
    <t>16-12-2025</t>
  </si>
  <si>
    <t>2026-02-28</t>
  </si>
  <si>
    <t>20250118</t>
  </si>
  <si>
    <t>20250508</t>
  </si>
  <si>
    <t>02-11-2025</t>
  </si>
  <si>
    <t>20260325</t>
  </si>
  <si>
    <t>2024-12-24</t>
  </si>
  <si>
    <t>20250215</t>
  </si>
  <si>
    <t>2025-11-05</t>
  </si>
  <si>
    <t>20250425</t>
  </si>
  <si>
    <t>20250714</t>
  </si>
  <si>
    <t>2024-12-30</t>
  </si>
  <si>
    <t>2025-10-27</t>
  </si>
  <si>
    <t>2025-07-23</t>
  </si>
  <si>
    <t>B2332</t>
  </si>
  <si>
    <t>INV-77419</t>
  </si>
  <si>
    <t>10-04-2025</t>
  </si>
  <si>
    <t>20250204</t>
  </si>
  <si>
    <t>01-06-2026</t>
  </si>
  <si>
    <t>20251208</t>
  </si>
  <si>
    <t>13-04-2026</t>
  </si>
  <si>
    <t>19-05-2025</t>
  </si>
  <si>
    <t>20250306</t>
  </si>
  <si>
    <t>20250818</t>
  </si>
  <si>
    <t>2026-01-19</t>
  </si>
  <si>
    <t>20260307</t>
  </si>
  <si>
    <t>06.04.2025</t>
  </si>
  <si>
    <t>2025-10-02</t>
  </si>
  <si>
    <t>19-10-2025</t>
  </si>
  <si>
    <t>2025-07-16</t>
  </si>
  <si>
    <t>06-08-2025</t>
  </si>
  <si>
    <t>B2349</t>
  </si>
  <si>
    <t>INV-29850</t>
  </si>
  <si>
    <t>B2350</t>
  </si>
  <si>
    <t>20250502</t>
  </si>
  <si>
    <t>05.09.2025</t>
  </si>
  <si>
    <t>20251110</t>
  </si>
  <si>
    <t>INV-49522</t>
  </si>
  <si>
    <t>2025-04-17</t>
  </si>
  <si>
    <t>2025-12-12</t>
  </si>
  <si>
    <t>11-01-2025</t>
  </si>
  <si>
    <t>2024-12-02</t>
  </si>
  <si>
    <t>20251020</t>
  </si>
  <si>
    <t>19-12-2025</t>
  </si>
  <si>
    <t>20-12-2025</t>
  </si>
  <si>
    <t>09-03-2026</t>
  </si>
  <si>
    <t>30-03-2025</t>
  </si>
  <si>
    <t>15-08-2025</t>
  </si>
  <si>
    <t>2025-06-18</t>
  </si>
  <si>
    <t>20251204</t>
  </si>
  <si>
    <t>2025-04-18</t>
  </si>
  <si>
    <t>2025-06-15</t>
  </si>
  <si>
    <t>2025-02-15</t>
  </si>
  <si>
    <t>2025-09-13</t>
  </si>
  <si>
    <t>2025-06-29</t>
  </si>
  <si>
    <t>27-10-2025</t>
  </si>
  <si>
    <t>20251130</t>
  </si>
  <si>
    <t>2026-02-13</t>
  </si>
  <si>
    <t>2025-09-11</t>
  </si>
  <si>
    <t>11.07.2025</t>
  </si>
  <si>
    <t>20-08-2025</t>
  </si>
  <si>
    <t>20260314</t>
  </si>
  <si>
    <t>2026-06-09</t>
  </si>
  <si>
    <t>20250710</t>
  </si>
  <si>
    <t>20250421</t>
  </si>
  <si>
    <t>2025-04-05</t>
  </si>
  <si>
    <t>18-10-2025</t>
  </si>
  <si>
    <t>26-12-2025</t>
  </si>
  <si>
    <t>26-03-2025</t>
  </si>
  <si>
    <t>20250801</t>
  </si>
  <si>
    <t>05-12-2025</t>
  </si>
  <si>
    <t>2026-01-03</t>
  </si>
  <si>
    <t>20250303</t>
  </si>
  <si>
    <t>2025-04-21</t>
  </si>
  <si>
    <t>2025-03-11</t>
  </si>
  <si>
    <t>03-02-2025</t>
  </si>
  <si>
    <t>2025-10-12</t>
  </si>
  <si>
    <t>20250212</t>
  </si>
  <si>
    <t>2025-05-18</t>
  </si>
  <si>
    <t>20250724</t>
  </si>
  <si>
    <t>08-06-2025</t>
  </si>
  <si>
    <t>2025-02-10</t>
  </si>
  <si>
    <t>2025-01-29</t>
  </si>
  <si>
    <t>03.04.2025</t>
  </si>
  <si>
    <t>04-10-2025</t>
  </si>
  <si>
    <t>03-03-2026</t>
  </si>
  <si>
    <t>20260106</t>
  </si>
  <si>
    <t>2025-05-29</t>
  </si>
  <si>
    <t>20250511</t>
  </si>
  <si>
    <t>2025-08-04</t>
  </si>
  <si>
    <t>2026-04-17</t>
  </si>
  <si>
    <t>20251025</t>
  </si>
  <si>
    <t>20250427</t>
  </si>
  <si>
    <t>2026-01-20</t>
  </si>
  <si>
    <t>2026-02-27</t>
  </si>
  <si>
    <t>05.12.2025</t>
  </si>
  <si>
    <t>21-11-2025</t>
  </si>
  <si>
    <t>2025-04-20</t>
  </si>
  <si>
    <t>20260122</t>
  </si>
  <si>
    <t>2025-07-19</t>
  </si>
  <si>
    <t>11-02-2025</t>
  </si>
  <si>
    <t>17-11-2025</t>
  </si>
  <si>
    <t>15-12-2025</t>
  </si>
  <si>
    <t>2025-07-08</t>
  </si>
  <si>
    <t>20250507</t>
  </si>
  <si>
    <t>20250719</t>
  </si>
  <si>
    <t>04-11-2025</t>
  </si>
  <si>
    <t>2025-06-16</t>
  </si>
  <si>
    <t>2025-07-31</t>
  </si>
  <si>
    <t>20250715</t>
  </si>
  <si>
    <t>25-08-2025</t>
  </si>
  <si>
    <t>20251001</t>
  </si>
  <si>
    <t>20250527</t>
  </si>
  <si>
    <t>2025-04-08</t>
  </si>
  <si>
    <t>19-01-2025</t>
  </si>
  <si>
    <t>05.05.2025</t>
  </si>
  <si>
    <t>2024-11-29</t>
  </si>
  <si>
    <t>2025-11-27</t>
  </si>
  <si>
    <t>09-12-2025</t>
  </si>
  <si>
    <t>2025-02-14</t>
  </si>
  <si>
    <t>28-12-2025</t>
  </si>
  <si>
    <t>21-02-2026</t>
  </si>
  <si>
    <t>2025-08-07</t>
  </si>
  <si>
    <t>01-09-2025</t>
  </si>
  <si>
    <t>20250113</t>
  </si>
  <si>
    <t>24-01-2025</t>
  </si>
  <si>
    <t>2025-05-13</t>
  </si>
  <si>
    <t>20250403</t>
  </si>
  <si>
    <t>24-10-2025</t>
  </si>
  <si>
    <t>2025-06-26</t>
  </si>
  <si>
    <t>2025-10-07</t>
  </si>
  <si>
    <t>2025-05-30</t>
  </si>
  <si>
    <t>20250907</t>
  </si>
  <si>
    <t>20250114</t>
  </si>
  <si>
    <t>2025-03-26</t>
  </si>
  <si>
    <t>20260521</t>
  </si>
  <si>
    <t>B2446</t>
  </si>
  <si>
    <t>2025-10-11</t>
  </si>
  <si>
    <t>INV-99746</t>
  </si>
  <si>
    <t>2024-12-20</t>
  </si>
  <si>
    <t>20260315</t>
  </si>
  <si>
    <t>2026-03-03</t>
  </si>
  <si>
    <t>05-10-2025</t>
  </si>
  <si>
    <t>20260117</t>
  </si>
  <si>
    <t>20251027</t>
  </si>
  <si>
    <t>01-08-2025</t>
  </si>
  <si>
    <t>20250817</t>
  </si>
  <si>
    <t>20241225</t>
  </si>
  <si>
    <t>20250414</t>
  </si>
  <si>
    <t>2025-08-02</t>
  </si>
  <si>
    <t>20251119</t>
  </si>
  <si>
    <t>20250217</t>
  </si>
  <si>
    <t>20250330</t>
  </si>
  <si>
    <t>03.12.2025</t>
  </si>
  <si>
    <t>20250407</t>
  </si>
  <si>
    <t>2026-04-13</t>
  </si>
  <si>
    <t>20250107</t>
  </si>
  <si>
    <t>2026-01-30</t>
  </si>
  <si>
    <t>2025-03-06</t>
  </si>
  <si>
    <t>20250718</t>
  </si>
  <si>
    <t>12.09.2025</t>
  </si>
  <si>
    <t>20250326</t>
  </si>
  <si>
    <t>17-09-2025</t>
  </si>
  <si>
    <t>14-02-2026</t>
  </si>
  <si>
    <t>2026-02-09</t>
  </si>
  <si>
    <t>20250312</t>
  </si>
  <si>
    <t>2025-05-09</t>
  </si>
  <si>
    <t>20250426</t>
  </si>
  <si>
    <t>08-09-2025</t>
  </si>
  <si>
    <t>2025-09-04</t>
  </si>
  <si>
    <t>2025-11-15</t>
  </si>
  <si>
    <t>20250902</t>
  </si>
  <si>
    <t>20260111</t>
  </si>
  <si>
    <t>09-04-2025</t>
  </si>
  <si>
    <t>20250826</t>
  </si>
  <si>
    <t>11-10-2025</t>
  </si>
  <si>
    <t>11-01-2026</t>
  </si>
  <si>
    <t>B2498</t>
  </si>
  <si>
    <t>INV-70250</t>
  </si>
  <si>
    <t>20260401</t>
  </si>
  <si>
    <t>20251007</t>
  </si>
  <si>
    <t>20241220</t>
  </si>
  <si>
    <t>2025-06-19</t>
  </si>
  <si>
    <t>14-03-2025</t>
  </si>
  <si>
    <t>2026-02-02</t>
  </si>
  <si>
    <t>20260405</t>
  </si>
  <si>
    <t>B2511</t>
  </si>
  <si>
    <t>2025-06-23</t>
  </si>
  <si>
    <t>INV-88529</t>
  </si>
  <si>
    <t>08-01-2026</t>
  </si>
  <si>
    <t>B2512</t>
  </si>
  <si>
    <t>22-10-2025</t>
  </si>
  <si>
    <t>20250101</t>
  </si>
  <si>
    <t>2024-11-19</t>
  </si>
  <si>
    <t>20250704</t>
  </si>
  <si>
    <t>20250827</t>
  </si>
  <si>
    <t>20250119</t>
  </si>
  <si>
    <t>17-12-2024</t>
  </si>
  <si>
    <t>20250905</t>
  </si>
  <si>
    <t>22-03-2025</t>
  </si>
  <si>
    <t>20250530</t>
  </si>
  <si>
    <t>2025-09-03</t>
  </si>
  <si>
    <t>20250526</t>
  </si>
  <si>
    <t>B2531</t>
  </si>
  <si>
    <t>INV-21145</t>
  </si>
  <si>
    <t>20250518</t>
  </si>
  <si>
    <t>23-12-2025</t>
  </si>
  <si>
    <t>08-12-2025</t>
  </si>
  <si>
    <t>20260107</t>
  </si>
  <si>
    <t>20260118</t>
  </si>
  <si>
    <t>20250611</t>
  </si>
  <si>
    <t>16-03-2025</t>
  </si>
  <si>
    <t>2025-07-21</t>
  </si>
  <si>
    <t>08.02.2026</t>
  </si>
  <si>
    <t>20260217</t>
  </si>
  <si>
    <t>2026-03-20</t>
  </si>
  <si>
    <t>18-08-2025</t>
  </si>
  <si>
    <t>2025-06-08</t>
  </si>
  <si>
    <t>29-03-2025</t>
  </si>
  <si>
    <t>2025-12-31</t>
  </si>
  <si>
    <t>2026-01-07</t>
  </si>
  <si>
    <t>17-02-2025</t>
  </si>
  <si>
    <t>2026-01-25</t>
  </si>
  <si>
    <t>20260219</t>
  </si>
  <si>
    <t>2026-01-09</t>
  </si>
  <si>
    <t>2026-04-07</t>
  </si>
  <si>
    <t>2026-01-31</t>
  </si>
  <si>
    <t>03.04.2026</t>
  </si>
  <si>
    <t>02-12-2025</t>
  </si>
  <si>
    <t>2025-04-22</t>
  </si>
  <si>
    <t>20250702</t>
  </si>
  <si>
    <t>02-10-2025</t>
  </si>
  <si>
    <t>06-07-2025</t>
  </si>
  <si>
    <t>2025-01-14</t>
  </si>
  <si>
    <t>27-01-2025</t>
  </si>
  <si>
    <t>27-07-2025</t>
  </si>
  <si>
    <t>20251031</t>
  </si>
  <si>
    <t>2025-09-16</t>
  </si>
  <si>
    <t>B2587</t>
  </si>
  <si>
    <t>19-01-2026</t>
  </si>
  <si>
    <t>INV-54070</t>
  </si>
  <si>
    <t>31-12-2024</t>
  </si>
  <si>
    <t>20260203</t>
  </si>
  <si>
    <t>13-08-2025</t>
  </si>
  <si>
    <t>09-01-2026</t>
  </si>
  <si>
    <t>2026-01-17</t>
  </si>
  <si>
    <t>20251123</t>
  </si>
  <si>
    <t>2025-04-10</t>
  </si>
  <si>
    <t>20251209</t>
  </si>
  <si>
    <t>2025-09-22</t>
  </si>
  <si>
    <t>2025-12-17</t>
  </si>
  <si>
    <t>08-11-2024</t>
  </si>
  <si>
    <t>20250218</t>
  </si>
  <si>
    <t>01.09.2025</t>
  </si>
  <si>
    <t>20241123</t>
  </si>
  <si>
    <t>20250227</t>
  </si>
  <si>
    <t>23-01-2026</t>
  </si>
  <si>
    <t>20250903</t>
  </si>
  <si>
    <t>20241213</t>
  </si>
  <si>
    <t>20250429</t>
  </si>
  <si>
    <t>20250808</t>
  </si>
  <si>
    <t>2025-01-02</t>
  </si>
  <si>
    <t>20241023</t>
  </si>
  <si>
    <t>20250803</t>
  </si>
  <si>
    <t>04-03-2026</t>
  </si>
  <si>
    <t>04-03-2025</t>
  </si>
  <si>
    <t>20250109</t>
  </si>
  <si>
    <t>05.04.2025</t>
  </si>
  <si>
    <t>20250605</t>
  </si>
  <si>
    <t>20260121</t>
  </si>
  <si>
    <t>22-03-2026</t>
  </si>
  <si>
    <t>20251221</t>
  </si>
  <si>
    <t>2025-07-30</t>
  </si>
  <si>
    <t>2025-08-28</t>
  </si>
  <si>
    <t>2026-01-10</t>
  </si>
  <si>
    <t>2025-12-26</t>
  </si>
  <si>
    <t>2026-02-19</t>
  </si>
  <si>
    <t>20260221</t>
  </si>
  <si>
    <t>2025-11-20</t>
  </si>
  <si>
    <t>2025-10-22</t>
  </si>
  <si>
    <t>2025-10-15</t>
  </si>
  <si>
    <t>2025-05-17</t>
  </si>
  <si>
    <t>28-02-2026</t>
  </si>
  <si>
    <t>2025-07-04</t>
  </si>
  <si>
    <t>20241121</t>
  </si>
  <si>
    <t>2025-07-14</t>
  </si>
  <si>
    <t>20251229</t>
  </si>
  <si>
    <t>20251008</t>
  </si>
  <si>
    <t>2025-02-02</t>
  </si>
  <si>
    <t>20250708</t>
  </si>
  <si>
    <t>13-04-2025</t>
  </si>
  <si>
    <t>20250830</t>
  </si>
  <si>
    <t>29-09-2025</t>
  </si>
  <si>
    <t>2025-02-24</t>
  </si>
  <si>
    <t>09-05-2025</t>
  </si>
  <si>
    <t>03.08.2025</t>
  </si>
  <si>
    <t>2026-03-07</t>
  </si>
  <si>
    <t>2025-07-26</t>
  </si>
  <si>
    <t>2025-05-06</t>
  </si>
  <si>
    <t>07.07.2025</t>
  </si>
  <si>
    <t>26-07-2025</t>
  </si>
  <si>
    <t>2025-01-05</t>
  </si>
  <si>
    <t>25-10-2024</t>
  </si>
  <si>
    <t>2025-01-20</t>
  </si>
  <si>
    <t>2025-03-05</t>
  </si>
  <si>
    <t>22-06-2025</t>
  </si>
  <si>
    <t>2026-01-15</t>
  </si>
  <si>
    <t>20260206</t>
  </si>
  <si>
    <t>17-02-2026</t>
  </si>
  <si>
    <t>05.03.2026</t>
  </si>
  <si>
    <t>20250520</t>
  </si>
  <si>
    <t>2025-04-25</t>
  </si>
  <si>
    <t>2025-06-07</t>
  </si>
  <si>
    <t>2025-02-19</t>
  </si>
  <si>
    <t>2026-01-27</t>
  </si>
  <si>
    <t>28-07-2025</t>
  </si>
  <si>
    <t>20251023</t>
  </si>
  <si>
    <t>20250408</t>
  </si>
  <si>
    <t>20250110</t>
  </si>
  <si>
    <t>05-12-2024</t>
  </si>
  <si>
    <t>30-05-2025</t>
  </si>
  <si>
    <t>05-04-2026</t>
  </si>
  <si>
    <t>2025-08-24</t>
  </si>
  <si>
    <t>20251017</t>
  </si>
  <si>
    <t>13-09-2025</t>
  </si>
  <si>
    <t>20260316</t>
  </si>
  <si>
    <t>20250111</t>
  </si>
  <si>
    <t>20251019</t>
  </si>
  <si>
    <t>20250225</t>
  </si>
  <si>
    <t>18-04-2025</t>
  </si>
  <si>
    <t>20250824</t>
  </si>
  <si>
    <t>2026-02-16</t>
  </si>
  <si>
    <t>20260204</t>
  </si>
  <si>
    <t>20250804</t>
  </si>
  <si>
    <t>03.10.2025</t>
  </si>
  <si>
    <t>20250614</t>
  </si>
  <si>
    <t>2025-12-06</t>
  </si>
  <si>
    <t>04-04-2026</t>
  </si>
  <si>
    <t>20250712</t>
  </si>
  <si>
    <t>20250309</t>
  </si>
  <si>
    <t>19-02-2026</t>
  </si>
  <si>
    <t>2026-01-12</t>
  </si>
  <si>
    <t>20251206</t>
  </si>
  <si>
    <t>20250615</t>
  </si>
  <si>
    <t>2026-04-29</t>
  </si>
  <si>
    <t>20250211</t>
  </si>
  <si>
    <t>2024-12-19</t>
  </si>
  <si>
    <t>20250831</t>
  </si>
  <si>
    <t>20241210</t>
  </si>
  <si>
    <t>B2771</t>
  </si>
  <si>
    <t>20250324</t>
  </si>
  <si>
    <t>INV-33868</t>
  </si>
  <si>
    <t>20260108</t>
  </si>
  <si>
    <t>20260215</t>
  </si>
  <si>
    <t>23-04-2026</t>
  </si>
  <si>
    <t>10.06.2025</t>
  </si>
  <si>
    <t>20250921</t>
  </si>
  <si>
    <t>2026-04-05</t>
  </si>
  <si>
    <t>2025-05-19</t>
  </si>
  <si>
    <t>2025-11-04</t>
  </si>
  <si>
    <t>2025-08-11</t>
  </si>
  <si>
    <t>20250915</t>
  </si>
  <si>
    <t>20251026</t>
  </si>
  <si>
    <t>20260425</t>
  </si>
  <si>
    <t>26-11-2024</t>
  </si>
  <si>
    <t>20251122</t>
  </si>
  <si>
    <t>20250503</t>
  </si>
  <si>
    <t>05.06.2025</t>
  </si>
  <si>
    <t>2025-10-30</t>
  </si>
  <si>
    <t>20251224</t>
  </si>
  <si>
    <t>20250521</t>
  </si>
  <si>
    <t>20250210</t>
  </si>
  <si>
    <t>01.03.2025</t>
  </si>
  <si>
    <t>B2819</t>
  </si>
  <si>
    <t>20250809</t>
  </si>
  <si>
    <t>INV-54014</t>
  </si>
  <si>
    <t>2026-01-01</t>
  </si>
  <si>
    <t>20260114</t>
  </si>
  <si>
    <t>15-02-2025</t>
  </si>
  <si>
    <t>09.12.2025</t>
  </si>
  <si>
    <t>20250318</t>
  </si>
  <si>
    <t>B2836</t>
  </si>
  <si>
    <t>INV-23742</t>
  </si>
  <si>
    <t>B2837</t>
  </si>
  <si>
    <t>INV-31526</t>
  </si>
  <si>
    <t>20250610</t>
  </si>
  <si>
    <t>2025-04-13</t>
  </si>
  <si>
    <t>2026-03-17</t>
  </si>
  <si>
    <t>06-06-2026</t>
  </si>
  <si>
    <t>2025-06-21</t>
  </si>
  <si>
    <t>31-01-2026</t>
  </si>
  <si>
    <t>20251217</t>
  </si>
  <si>
    <t>02.08.2025</t>
  </si>
  <si>
    <t>2025-02-03</t>
  </si>
  <si>
    <t>2025-12-20</t>
  </si>
  <si>
    <t>B2855</t>
  </si>
  <si>
    <t>2026-03-14</t>
  </si>
  <si>
    <t>20251218</t>
  </si>
  <si>
    <t>20251128</t>
  </si>
  <si>
    <t>20260103</t>
  </si>
  <si>
    <t>2026-05-26</t>
  </si>
  <si>
    <t>20260421</t>
  </si>
  <si>
    <t>20251125</t>
  </si>
  <si>
    <t>2025-09-30</t>
  </si>
  <si>
    <t>20251223</t>
  </si>
  <si>
    <t>2025-07-17</t>
  </si>
  <si>
    <t>20250406</t>
  </si>
  <si>
    <t>13-07-2025</t>
  </si>
  <si>
    <t>2025-03-03</t>
  </si>
  <si>
    <t>20260205</t>
  </si>
  <si>
    <t>20250509</t>
  </si>
  <si>
    <t>20250331</t>
  </si>
  <si>
    <t>15-05-2025</t>
  </si>
  <si>
    <t>04.05.2025</t>
  </si>
  <si>
    <t>2025-06-01</t>
  </si>
  <si>
    <t>B2899</t>
  </si>
  <si>
    <t>INV-61100</t>
  </si>
  <si>
    <t>20251013</t>
  </si>
  <si>
    <t>20250214</t>
  </si>
  <si>
    <t>2025-03-22</t>
  </si>
  <si>
    <t>20250208</t>
  </si>
  <si>
    <t>20251216</t>
  </si>
  <si>
    <t>20251210</t>
  </si>
  <si>
    <t>20260213</t>
  </si>
  <si>
    <t>02.07.2025</t>
  </si>
  <si>
    <t>2025-12-28</t>
  </si>
  <si>
    <t>20250213</t>
  </si>
  <si>
    <t>26-02-2025</t>
  </si>
  <si>
    <t>2025-11-17</t>
  </si>
  <si>
    <t>2025-05-31</t>
  </si>
  <si>
    <t>20251105</t>
  </si>
  <si>
    <t>20250202</t>
  </si>
  <si>
    <t>20250325</t>
  </si>
  <si>
    <t>20250807</t>
  </si>
  <si>
    <t>B2934</t>
  </si>
  <si>
    <t>INV-79711</t>
  </si>
  <si>
    <t>2025-07-09</t>
  </si>
  <si>
    <t>2025-04-14</t>
  </si>
  <si>
    <t>2025-07-02</t>
  </si>
  <si>
    <t>20241221</t>
  </si>
  <si>
    <t>20250424</t>
  </si>
  <si>
    <t>23-10-2025</t>
  </si>
  <si>
    <t>20250919</t>
  </si>
  <si>
    <t>20250926</t>
  </si>
  <si>
    <t>10.10.2025</t>
  </si>
  <si>
    <t>2025-12-05</t>
  </si>
  <si>
    <t>2026-06-20</t>
  </si>
  <si>
    <t>20250307</t>
  </si>
  <si>
    <t>01.01.2026</t>
  </si>
  <si>
    <t>20250604</t>
  </si>
  <si>
    <t>20241029</t>
  </si>
  <si>
    <t>AFRICA</t>
  </si>
  <si>
    <t xml:space="preserve">cost plus </t>
  </si>
  <si>
    <t>December 16, 2025</t>
  </si>
  <si>
    <t>29.12.2025</t>
  </si>
  <si>
    <t>03/25/2025</t>
  </si>
  <si>
    <t xml:space="preserve">asia </t>
  </si>
  <si>
    <t>unit rate</t>
  </si>
  <si>
    <t>Struct.</t>
  </si>
  <si>
    <t>01/28/2025</t>
  </si>
  <si>
    <t>TBD</t>
  </si>
  <si>
    <t>N/A</t>
  </si>
  <si>
    <t>aed</t>
  </si>
  <si>
    <t>11/17/2025</t>
  </si>
  <si>
    <t>02/09/2026</t>
  </si>
  <si>
    <t>2025/12/09</t>
  </si>
  <si>
    <t>lump sum</t>
  </si>
  <si>
    <t>17.01.2026</t>
  </si>
  <si>
    <t>04/19/2025</t>
  </si>
  <si>
    <t>06/21/2025</t>
  </si>
  <si>
    <t>17/07/2025</t>
  </si>
  <si>
    <t>2025/03/01</t>
  </si>
  <si>
    <t>2024/12/12</t>
  </si>
  <si>
    <t>05/04/2025</t>
  </si>
  <si>
    <t>February 08, 2026</t>
  </si>
  <si>
    <t>Instruments</t>
  </si>
  <si>
    <t>March 02, 2026</t>
  </si>
  <si>
    <t>civil</t>
  </si>
  <si>
    <t>2025/11/30</t>
  </si>
  <si>
    <t>21.01.2026</t>
  </si>
  <si>
    <t>eur</t>
  </si>
  <si>
    <t>August 07, 2025</t>
  </si>
  <si>
    <t>2025/06/05</t>
  </si>
  <si>
    <t>2025/11/19</t>
  </si>
  <si>
    <t>06.12.2025</t>
  </si>
  <si>
    <t>01/19/2026</t>
  </si>
  <si>
    <t>12/16/2025</t>
  </si>
  <si>
    <t>10/02/2026</t>
  </si>
  <si>
    <t>07.04.2026</t>
  </si>
  <si>
    <t>usd</t>
  </si>
  <si>
    <t>November 12, 2025</t>
  </si>
  <si>
    <t>20/02/2026</t>
  </si>
  <si>
    <t>americas</t>
  </si>
  <si>
    <t>ELECTRICAL</t>
  </si>
  <si>
    <t>2026/01/21</t>
  </si>
  <si>
    <t>20/04/2026</t>
  </si>
  <si>
    <t>2025/12/25</t>
  </si>
  <si>
    <t>March 17, 2026</t>
  </si>
  <si>
    <t>Aed</t>
  </si>
  <si>
    <t>04/14/2026</t>
  </si>
  <si>
    <t>20.10.2025</t>
  </si>
  <si>
    <t>December 13, 2025</t>
  </si>
  <si>
    <t>10/07/2025</t>
  </si>
  <si>
    <t>18/11/2025</t>
  </si>
  <si>
    <t>September 19, 2025</t>
  </si>
  <si>
    <t xml:space="preserve"> AED</t>
  </si>
  <si>
    <t>07/18/2025</t>
  </si>
  <si>
    <t>2025/07/03</t>
  </si>
  <si>
    <t>June 10, 2025</t>
  </si>
  <si>
    <t>03/31/2025</t>
  </si>
  <si>
    <t>July 02, 2025</t>
  </si>
  <si>
    <t>europe</t>
  </si>
  <si>
    <t xml:space="preserve">EPC </t>
  </si>
  <si>
    <t>07/19/2025</t>
  </si>
  <si>
    <t>2025/09/10</t>
  </si>
  <si>
    <t>29/05/2025</t>
  </si>
  <si>
    <t>20.01.2025</t>
  </si>
  <si>
    <t>10.12.2024</t>
  </si>
  <si>
    <t>02/21/2026</t>
  </si>
  <si>
    <t>February 03, 2026</t>
  </si>
  <si>
    <t>April 06, 2026</t>
  </si>
  <si>
    <t>2025/02/26</t>
  </si>
  <si>
    <t>December 04, 2024</t>
  </si>
  <si>
    <t>April 13, 2026</t>
  </si>
  <si>
    <t>10/05/2026</t>
  </si>
  <si>
    <t>21/10/2025</t>
  </si>
  <si>
    <t>LUMPSUM</t>
  </si>
  <si>
    <t>08/11/2025</t>
  </si>
  <si>
    <t>26/06/2025</t>
  </si>
  <si>
    <t>May 26, 2025</t>
  </si>
  <si>
    <t>2025/08/01</t>
  </si>
  <si>
    <t>23.05.2025</t>
  </si>
  <si>
    <t>November 11, 2024</t>
  </si>
  <si>
    <t>April 16, 2025</t>
  </si>
  <si>
    <t>01/17/2025</t>
  </si>
  <si>
    <t>21.10.2024</t>
  </si>
  <si>
    <t>28/04/2025</t>
  </si>
  <si>
    <t>20.04.2025</t>
  </si>
  <si>
    <t>March 05, 2025</t>
  </si>
  <si>
    <t>August 28, 2025</t>
  </si>
  <si>
    <t>07/07/2025</t>
  </si>
  <si>
    <t>2025/10/03</t>
  </si>
  <si>
    <t>11/12/2025</t>
  </si>
  <si>
    <t>#ERROR</t>
  </si>
  <si>
    <t>02/08/2026</t>
  </si>
  <si>
    <t>2025/12/21</t>
  </si>
  <si>
    <t>2026/04/01</t>
  </si>
  <si>
    <t xml:space="preserve">USD </t>
  </si>
  <si>
    <t>10/03/2025</t>
  </si>
  <si>
    <t>2025/10/31</t>
  </si>
  <si>
    <t>25.01.2025</t>
  </si>
  <si>
    <t>03/19/2025</t>
  </si>
  <si>
    <t>July 13, 2025</t>
  </si>
  <si>
    <t>09/01/2025</t>
  </si>
  <si>
    <t>January 21, 2026</t>
  </si>
  <si>
    <t>15.11.2025</t>
  </si>
  <si>
    <t>14/01/2025</t>
  </si>
  <si>
    <t>16.10.2024</t>
  </si>
  <si>
    <t xml:space="preserve">mechanical </t>
  </si>
  <si>
    <t>2025/07/29</t>
  </si>
  <si>
    <t>?</t>
  </si>
  <si>
    <t>January 13, 2025</t>
  </si>
  <si>
    <t xml:space="preserve"> GCC</t>
  </si>
  <si>
    <t>29/08/2025</t>
  </si>
  <si>
    <t>2026/02/04</t>
  </si>
  <si>
    <t>04/20/2025</t>
  </si>
  <si>
    <t>June 09, 2025</t>
  </si>
  <si>
    <t>October 03, 2025</t>
  </si>
  <si>
    <t>2026/03/15</t>
  </si>
  <si>
    <t>08.08.2025</t>
  </si>
  <si>
    <t>19/03/2025</t>
  </si>
  <si>
    <t>29/12/2025</t>
  </si>
  <si>
    <t>29/11/2025</t>
  </si>
  <si>
    <t>2026/04/03</t>
  </si>
  <si>
    <t>02/05/2025</t>
  </si>
  <si>
    <t>2024/12/15</t>
  </si>
  <si>
    <t>01/03/2025</t>
  </si>
  <si>
    <t>June 11, 2025</t>
  </si>
  <si>
    <t>May 05, 2025</t>
  </si>
  <si>
    <t>2025/02/11</t>
  </si>
  <si>
    <t>16/11/2025</t>
  </si>
  <si>
    <t>2026/02/10</t>
  </si>
  <si>
    <t>February 19, 2026</t>
  </si>
  <si>
    <t>April 11, 2026</t>
  </si>
  <si>
    <t>12/18/2025</t>
  </si>
  <si>
    <t>06/03/2026</t>
  </si>
  <si>
    <t>04/17/2026</t>
  </si>
  <si>
    <t>07/09/2025</t>
  </si>
  <si>
    <t>2025/08/23</t>
  </si>
  <si>
    <t>28.10.2025</t>
  </si>
  <si>
    <t>2025/09/18</t>
  </si>
  <si>
    <t>25/12/2025</t>
  </si>
  <si>
    <t>November 29, 2025</t>
  </si>
  <si>
    <t>2025/10/13</t>
  </si>
  <si>
    <t>13/12/2025</t>
  </si>
  <si>
    <t>24.04.2025</t>
  </si>
  <si>
    <t>01.02.2025</t>
  </si>
  <si>
    <t>2025/03/20</t>
  </si>
  <si>
    <t>2025/08/17</t>
  </si>
  <si>
    <t>11/23/2025</t>
  </si>
  <si>
    <t>29/07/2025</t>
  </si>
  <si>
    <t>08/25/2025</t>
  </si>
  <si>
    <t>April 12, 2025</t>
  </si>
  <si>
    <t>06/22/2025</t>
  </si>
  <si>
    <t>October 08, 2025</t>
  </si>
  <si>
    <t>04/30/2026</t>
  </si>
  <si>
    <t>25/01/2026</t>
  </si>
  <si>
    <t>01.12.2025</t>
  </si>
  <si>
    <t>05/06/2026</t>
  </si>
  <si>
    <t>April 01, 2025</t>
  </si>
  <si>
    <t>May 25, 2025</t>
  </si>
  <si>
    <t>04/06/2025</t>
  </si>
  <si>
    <t>July 21, 2025</t>
  </si>
  <si>
    <t>24/06/2025</t>
  </si>
  <si>
    <t>12/06/2025</t>
  </si>
  <si>
    <t>November 21, 2025</t>
  </si>
  <si>
    <t>27/03/2026</t>
  </si>
  <si>
    <t>05.07.2025</t>
  </si>
  <si>
    <t>23.09.2025</t>
  </si>
  <si>
    <t>2025/09/05</t>
  </si>
  <si>
    <t>2025/08/16</t>
  </si>
  <si>
    <t>10/12/2025</t>
  </si>
  <si>
    <t>06/01/2025</t>
  </si>
  <si>
    <t>06/03/2025</t>
  </si>
  <si>
    <t>05/07/2025</t>
  </si>
  <si>
    <t>26/04/2025</t>
  </si>
  <si>
    <t>10/02/2025</t>
  </si>
  <si>
    <t>2025/02/09</t>
  </si>
  <si>
    <t>May 15, 2025</t>
  </si>
  <si>
    <t>02/07/2026</t>
  </si>
  <si>
    <t>12/04/2025</t>
  </si>
  <si>
    <t>2025/03/02</t>
  </si>
  <si>
    <t>May 31, 2025</t>
  </si>
  <si>
    <t>September 06, 2025</t>
  </si>
  <si>
    <t>08/28/2025</t>
  </si>
  <si>
    <t>June 06, 2025</t>
  </si>
  <si>
    <t>2025/03/18</t>
  </si>
  <si>
    <t>2025/06/06</t>
  </si>
  <si>
    <t>04/26/2025</t>
  </si>
  <si>
    <t>2025/08/21</t>
  </si>
  <si>
    <t>2025/04/16</t>
  </si>
  <si>
    <t>08/02/2026</t>
  </si>
  <si>
    <t>2025/12/08</t>
  </si>
  <si>
    <t>03/15/2026</t>
  </si>
  <si>
    <t>06/02/2026</t>
  </si>
  <si>
    <t>2025/12/18</t>
  </si>
  <si>
    <t>08/24/2025</t>
  </si>
  <si>
    <t>July 19, 2025</t>
  </si>
  <si>
    <t>10/29/2025</t>
  </si>
  <si>
    <t>January 26, 2025</t>
  </si>
  <si>
    <t>2025/05/08</t>
  </si>
  <si>
    <t>08/02/2025</t>
  </si>
  <si>
    <t>April 23, 2025</t>
  </si>
  <si>
    <t>&gt;1</t>
  </si>
  <si>
    <t>07/10/2025</t>
  </si>
  <si>
    <t>28/01/2025</t>
  </si>
  <si>
    <t>01/11/2024</t>
  </si>
  <si>
    <t>2025/09/19</t>
  </si>
  <si>
    <t>2025/11/24</t>
  </si>
  <si>
    <t>06/04/2025</t>
  </si>
  <si>
    <t>2025/06/22</t>
  </si>
  <si>
    <t>29/04/2025</t>
  </si>
  <si>
    <t>04/09/2025</t>
  </si>
  <si>
    <t>February 17, 2026</t>
  </si>
  <si>
    <t>2025/09/08</t>
  </si>
  <si>
    <t>August 13, 2025</t>
  </si>
  <si>
    <t>2025/10/19</t>
  </si>
  <si>
    <t>December 19, 2025</t>
  </si>
  <si>
    <t>March 18, 2026</t>
  </si>
  <si>
    <t>30/04/2025</t>
  </si>
  <si>
    <t>2025/08/05</t>
  </si>
  <si>
    <t>2025/12/11</t>
  </si>
  <si>
    <t>December 15, 2025</t>
  </si>
  <si>
    <t>21.07.2025</t>
  </si>
  <si>
    <t>08/04/2025</t>
  </si>
  <si>
    <t>10.01.2025</t>
  </si>
  <si>
    <t>04/12/2025</t>
  </si>
  <si>
    <t>07/08/2025</t>
  </si>
  <si>
    <t>2025/08/18</t>
  </si>
  <si>
    <t>12/03/2025</t>
  </si>
  <si>
    <t>09/16/2025</t>
  </si>
  <si>
    <t>18.11.2025</t>
  </si>
  <si>
    <t>02/06/2025</t>
  </si>
  <si>
    <t>03/30/2025</t>
  </si>
  <si>
    <t>16/07/2025</t>
  </si>
  <si>
    <t>September 13, 2025</t>
  </si>
  <si>
    <t>2025/08/19</t>
  </si>
  <si>
    <t>09/08/2025</t>
  </si>
  <si>
    <t>12/09/2025</t>
  </si>
  <si>
    <t>December 12, 2025</t>
  </si>
  <si>
    <t>12.08.2025</t>
  </si>
  <si>
    <t>28/09/2025</t>
  </si>
  <si>
    <t>10.02.2025</t>
  </si>
  <si>
    <t>10/06/2025</t>
  </si>
  <si>
    <t>17.12.2025</t>
  </si>
  <si>
    <t>17/04/2026</t>
  </si>
  <si>
    <t>February 02, 2025</t>
  </si>
  <si>
    <t>2025/01/16</t>
  </si>
  <si>
    <t>2024/11/23</t>
  </si>
  <si>
    <t>04/13/2025</t>
  </si>
  <si>
    <t>01/07/2026</t>
  </si>
  <si>
    <t>12.11.2025</t>
  </si>
  <si>
    <t>08/13/2025</t>
  </si>
  <si>
    <t>2025/01/24</t>
  </si>
  <si>
    <t>14.12.2024</t>
  </si>
  <si>
    <t>09/23/2025</t>
  </si>
  <si>
    <t>September 17, 2025</t>
  </si>
  <si>
    <t>24.03.2025</t>
  </si>
  <si>
    <t>27.12.2024</t>
  </si>
  <si>
    <t>2026/01/24</t>
  </si>
  <si>
    <t>01/02/2026</t>
  </si>
  <si>
    <t>24/03/2026</t>
  </si>
  <si>
    <t>05/26/2025</t>
  </si>
  <si>
    <t>2025/09/26</t>
  </si>
  <si>
    <t>11/08/2025</t>
  </si>
  <si>
    <t>2025/04/30</t>
  </si>
  <si>
    <t>July 24, 2025</t>
  </si>
  <si>
    <t>2025/10/09</t>
  </si>
  <si>
    <t>21/12/2025</t>
  </si>
  <si>
    <t>December 23, 2024</t>
  </si>
  <si>
    <t>24.05.2025</t>
  </si>
  <si>
    <t>10/01/2025</t>
  </si>
  <si>
    <t>23/11/2025</t>
  </si>
  <si>
    <t>19/08/2025</t>
  </si>
  <si>
    <t>middle east</t>
  </si>
  <si>
    <t>20.07.2025</t>
  </si>
  <si>
    <t>13.05.2025</t>
  </si>
  <si>
    <t>October 16, 2025</t>
  </si>
  <si>
    <t>10.09.2025</t>
  </si>
  <si>
    <t>30.06.2025</t>
  </si>
  <si>
    <t>10.11.2025</t>
  </si>
  <si>
    <t>04/21/2025</t>
  </si>
  <si>
    <t>2025/06/20</t>
  </si>
  <si>
    <t>07/24/2025</t>
  </si>
  <si>
    <t>19.02.2025</t>
  </si>
  <si>
    <t>2025/04/11</t>
  </si>
  <si>
    <t>2025/02/13</t>
  </si>
  <si>
    <t>11.06.2025</t>
  </si>
  <si>
    <t>10/05/2025</t>
  </si>
  <si>
    <t>September 02, 2025</t>
  </si>
  <si>
    <t>11.02.2026</t>
  </si>
  <si>
    <t>01/02/2025</t>
  </si>
  <si>
    <t>10/25/2025</t>
  </si>
  <si>
    <t>02.03.2025</t>
  </si>
  <si>
    <t>2025/03/04</t>
  </si>
  <si>
    <t>12/07/2024</t>
  </si>
  <si>
    <t>2025/04/15</t>
  </si>
  <si>
    <t>24.12.2025</t>
  </si>
  <si>
    <t>2024/12/28</t>
  </si>
  <si>
    <t>2025/05/01</t>
  </si>
  <si>
    <t>01.12.2024</t>
  </si>
  <si>
    <t>12/28/2025</t>
  </si>
  <si>
    <t>12/12/2025</t>
  </si>
  <si>
    <t>September 28, 2025</t>
  </si>
  <si>
    <t>2025/03/23</t>
  </si>
  <si>
    <t>July 08, 2025</t>
  </si>
  <si>
    <t>11/28/2025</t>
  </si>
  <si>
    <t>March 18, 2025</t>
  </si>
  <si>
    <t>28.12.2024</t>
  </si>
  <si>
    <t>04/18/2025</t>
  </si>
  <si>
    <t>January 29, 2025</t>
  </si>
  <si>
    <t>2025/03/19</t>
  </si>
  <si>
    <t>2026/02/23</t>
  </si>
  <si>
    <t>14/01/2026</t>
  </si>
  <si>
    <t>30.03.2026</t>
  </si>
  <si>
    <t>2025/02/25</t>
  </si>
  <si>
    <t>06.06.2025</t>
  </si>
  <si>
    <t>November 24, 2024</t>
  </si>
  <si>
    <t>05/09/2025</t>
  </si>
  <si>
    <t>21.03.2025</t>
  </si>
  <si>
    <t>09/07/2025</t>
  </si>
  <si>
    <t>02/02/2026</t>
  </si>
  <si>
    <t>November 18, 2025</t>
  </si>
  <si>
    <t>04/23/2026</t>
  </si>
  <si>
    <t>01/06/2025</t>
  </si>
  <si>
    <t>2024/10/08</t>
  </si>
  <si>
    <t>2025/12/04</t>
  </si>
  <si>
    <t>December 09, 2025</t>
  </si>
  <si>
    <t>02/20/2025</t>
  </si>
  <si>
    <t>June 02, 2025</t>
  </si>
  <si>
    <t>08/27/2025</t>
  </si>
  <si>
    <t>10/15/2025</t>
  </si>
  <si>
    <t>03/04/2026</t>
  </si>
  <si>
    <t>27.06.2025</t>
  </si>
  <si>
    <t>April 02, 2025</t>
  </si>
  <si>
    <t>2025/08/03</t>
  </si>
  <si>
    <t>27.08.2025</t>
  </si>
  <si>
    <t>09/11/2025</t>
  </si>
  <si>
    <t>16/01/2025</t>
  </si>
  <si>
    <t>07.10.2025</t>
  </si>
  <si>
    <t>2025/09/09</t>
  </si>
  <si>
    <t>23/06/2025</t>
  </si>
  <si>
    <t>08/21/2025</t>
  </si>
  <si>
    <t>08.04.2025</t>
  </si>
  <si>
    <t>11/06/2025</t>
  </si>
  <si>
    <t>August 04, 2025</t>
  </si>
  <si>
    <t>2025/07/12</t>
  </si>
  <si>
    <t>August 18, 2025</t>
  </si>
  <si>
    <t>10/11/2025</t>
  </si>
  <si>
    <t>January 06, 2025</t>
  </si>
  <si>
    <t>October 25, 2024</t>
  </si>
  <si>
    <t>03/01/2025</t>
  </si>
  <si>
    <t>March 15, 2025</t>
  </si>
  <si>
    <t>01/16/2025</t>
  </si>
  <si>
    <t>21.05.2025</t>
  </si>
  <si>
    <t>23.07.2025</t>
  </si>
  <si>
    <t>16.08.2025</t>
  </si>
  <si>
    <t>June 27, 2025</t>
  </si>
  <si>
    <t>10/21/2025</t>
  </si>
  <si>
    <t>26.06.2025</t>
  </si>
  <si>
    <t>05/02/2026</t>
  </si>
  <si>
    <t>2025/02/23</t>
  </si>
  <si>
    <t>05/27/2025</t>
  </si>
  <si>
    <t>02/25/2025</t>
  </si>
  <si>
    <t>01/12/2025</t>
  </si>
  <si>
    <t>05/06/2025</t>
  </si>
  <si>
    <t>10/09/2025</t>
  </si>
  <si>
    <t>09.02.2025</t>
  </si>
  <si>
    <t>04/02/2025</t>
  </si>
  <si>
    <t>18/03/2025</t>
  </si>
  <si>
    <t>14/10/2025</t>
  </si>
  <si>
    <t>07/02/2025</t>
  </si>
  <si>
    <t>2025/03/13</t>
  </si>
  <si>
    <t>2026/02/17</t>
  </si>
  <si>
    <t>June 01, 2025</t>
  </si>
  <si>
    <t>12/10/2025</t>
  </si>
  <si>
    <t>2026/01/14</t>
  </si>
  <si>
    <t>February 18, 2026</t>
  </si>
  <si>
    <t>07/06/2025</t>
  </si>
  <si>
    <t>14/05/2025</t>
  </si>
  <si>
    <t>16/10/2025</t>
  </si>
  <si>
    <t>26.10.2025</t>
  </si>
  <si>
    <t>12/05/2025</t>
  </si>
  <si>
    <t>07.04.2025</t>
  </si>
  <si>
    <t>08.05.2025</t>
  </si>
  <si>
    <t>15/04/2025</t>
  </si>
  <si>
    <t>07/01/2025</t>
  </si>
  <si>
    <t>2026/02/07</t>
  </si>
  <si>
    <t>March 11, 2026</t>
  </si>
  <si>
    <t>February 04, 2026</t>
  </si>
  <si>
    <t>October 30, 2025</t>
  </si>
  <si>
    <t>March 31, 2025</t>
  </si>
  <si>
    <t>2025/03/09</t>
  </si>
  <si>
    <t>January 16, 2026</t>
  </si>
  <si>
    <t>2025/12/14</t>
  </si>
  <si>
    <t>26.01.2026</t>
  </si>
  <si>
    <t>01/14/2026</t>
  </si>
  <si>
    <t>2026/05/03</t>
  </si>
  <si>
    <t>06/28/2025</t>
  </si>
  <si>
    <t>January 03, 2026</t>
  </si>
  <si>
    <t>19.11.2025</t>
  </si>
  <si>
    <t>24/04/2026</t>
  </si>
  <si>
    <t>14/04/2025</t>
  </si>
  <si>
    <t>May 18, 2025</t>
  </si>
  <si>
    <t>August 01, 2025</t>
  </si>
  <si>
    <t>September 29, 2025</t>
  </si>
  <si>
    <t>September 09, 2025</t>
  </si>
  <si>
    <t>08/10/2025</t>
  </si>
  <si>
    <t>January 20, 2026</t>
  </si>
  <si>
    <t>October 26, 2025</t>
  </si>
  <si>
    <t>13/03/2025</t>
  </si>
  <si>
    <t>06/20/2025</t>
  </si>
  <si>
    <t>August 27, 2025</t>
  </si>
  <si>
    <t>09/17/2025</t>
  </si>
  <si>
    <t>07/03/2025</t>
  </si>
  <si>
    <t>2025/05/24</t>
  </si>
  <si>
    <t>22/11/2025</t>
  </si>
  <si>
    <t>15.09.2025</t>
  </si>
  <si>
    <t>10/10/2025</t>
  </si>
  <si>
    <t>2025/11/18</t>
  </si>
  <si>
    <t>2025/11/29</t>
  </si>
  <si>
    <t>01/31/2026</t>
  </si>
  <si>
    <t>2025/03/24</t>
  </si>
  <si>
    <t>2025/05/11</t>
  </si>
  <si>
    <t>2025/01/30</t>
  </si>
  <si>
    <t>05.02.2026</t>
  </si>
  <si>
    <t>11/27/2025</t>
  </si>
  <si>
    <t>01/13/2025</t>
  </si>
  <si>
    <t>December 16, 2024</t>
  </si>
  <si>
    <t>2025/02/06</t>
  </si>
  <si>
    <t>24/04/2025</t>
  </si>
  <si>
    <t>07/21/2025</t>
  </si>
  <si>
    <t>09/18/2025</t>
  </si>
  <si>
    <t>2025/04/19</t>
  </si>
  <si>
    <t>17/08/2025</t>
  </si>
  <si>
    <t>April 07, 2025</t>
  </si>
  <si>
    <t>02/04/2026</t>
  </si>
  <si>
    <t>2026/04/22</t>
  </si>
  <si>
    <t>2025/01/06</t>
  </si>
  <si>
    <t>16.02.2025</t>
  </si>
  <si>
    <t>November 07, 2024</t>
  </si>
  <si>
    <t>February 18, 2025</t>
  </si>
  <si>
    <t>15.04.2025</t>
  </si>
  <si>
    <t>07/28/2025</t>
  </si>
  <si>
    <t>07/11/2025</t>
  </si>
  <si>
    <t>December 20, 2025</t>
  </si>
  <si>
    <t>August 17, 2025</t>
  </si>
  <si>
    <t>06/11/2025</t>
  </si>
  <si>
    <t>23/04/2025</t>
  </si>
  <si>
    <t>14.11.2024</t>
  </si>
  <si>
    <t>14.11.2025</t>
  </si>
  <si>
    <t>2025/09/17</t>
  </si>
  <si>
    <t>2025/08/12</t>
  </si>
  <si>
    <t>2025/09/27</t>
  </si>
  <si>
    <t>May 02, 2025</t>
  </si>
  <si>
    <t>2025/01/27</t>
  </si>
  <si>
    <t>31/10/2024</t>
  </si>
  <si>
    <t>17/03/2025</t>
  </si>
  <si>
    <t>27.05.2025</t>
  </si>
  <si>
    <t>02/14/2026</t>
  </si>
  <si>
    <t>2025/12/24</t>
  </si>
  <si>
    <t>08.05.2026</t>
  </si>
  <si>
    <t>September 14, 2025</t>
  </si>
  <si>
    <t>14/08/2025</t>
  </si>
  <si>
    <t>July 30, 2025</t>
  </si>
  <si>
    <t>2025/10/23</t>
  </si>
  <si>
    <t>11/03/2025</t>
  </si>
  <si>
    <t>2025/04/24</t>
  </si>
  <si>
    <t>28/11/2024</t>
  </si>
  <si>
    <t>2025/03/14</t>
  </si>
  <si>
    <t>2025/11/11</t>
  </si>
  <si>
    <t>05.01.2026</t>
  </si>
  <si>
    <t>July 22, 2025</t>
  </si>
  <si>
    <t>04/27/2025</t>
  </si>
  <si>
    <t>30.01.2025</t>
  </si>
  <si>
    <t>2025/02/01</t>
  </si>
  <si>
    <t>17/04/2025</t>
  </si>
  <si>
    <t>02/03/2025</t>
  </si>
  <si>
    <t>05/11/2025</t>
  </si>
  <si>
    <t>25/02/2026</t>
  </si>
  <si>
    <t>May 01, 2026</t>
  </si>
  <si>
    <t>2025/10/06</t>
  </si>
  <si>
    <t>September 18, 2025</t>
  </si>
  <si>
    <t>14/11/2025</t>
  </si>
  <si>
    <t>08/03/2026</t>
  </si>
  <si>
    <t>23/08/2025</t>
  </si>
  <si>
    <t>12/22/2025</t>
  </si>
  <si>
    <t>December 01, 2025</t>
  </si>
  <si>
    <t>15/02/2026</t>
  </si>
  <si>
    <t>2026/01/26</t>
  </si>
  <si>
    <t>16/05/2025</t>
  </si>
  <si>
    <t>2025/04/27</t>
  </si>
  <si>
    <t>October 22, 2025</t>
  </si>
  <si>
    <t>15/07/2025</t>
  </si>
  <si>
    <t>29.11.2025</t>
  </si>
  <si>
    <t>20/01/2025</t>
  </si>
  <si>
    <t>21/05/2025</t>
  </si>
  <si>
    <t>2026/01/11</t>
  </si>
  <si>
    <t>March 07, 2025</t>
  </si>
  <si>
    <t>2025/05/23</t>
  </si>
  <si>
    <t>2025/05/25</t>
  </si>
  <si>
    <t>February 22, 2026</t>
  </si>
  <si>
    <t>02/27/2026</t>
  </si>
  <si>
    <t>01/05/2026</t>
  </si>
  <si>
    <t>03/07/2025</t>
  </si>
  <si>
    <t>27.11.2025</t>
  </si>
  <si>
    <t>21/04/2025</t>
  </si>
  <si>
    <t>04.01.2025</t>
  </si>
  <si>
    <t>2026/02/18</t>
  </si>
  <si>
    <t>22.11.2025</t>
  </si>
  <si>
    <t>01.05.2025</t>
  </si>
  <si>
    <t>2026/02/25</t>
  </si>
  <si>
    <t>22/01/2026</t>
  </si>
  <si>
    <t>17/06/2025</t>
  </si>
  <si>
    <t>April 29, 2025</t>
  </si>
  <si>
    <t>2025/08/29</t>
  </si>
  <si>
    <t>27/06/2025</t>
  </si>
  <si>
    <t>2025/07/27</t>
  </si>
  <si>
    <t>2025/03/30</t>
  </si>
  <si>
    <t>01/07/2025</t>
  </si>
  <si>
    <t>12/03/2024</t>
  </si>
  <si>
    <t>30/01/2025</t>
  </si>
  <si>
    <t>03.03.2025</t>
  </si>
  <si>
    <t>07/20/2025</t>
  </si>
  <si>
    <t>03/22/2025</t>
  </si>
  <si>
    <t>2025/07/28</t>
  </si>
  <si>
    <t>2025/09/29</t>
  </si>
  <si>
    <t>January 05, 2026</t>
  </si>
  <si>
    <t>25.03.2025</t>
  </si>
  <si>
    <t>2025/03/15</t>
  </si>
  <si>
    <t>May 22, 2025</t>
  </si>
  <si>
    <t>May 20, 2025</t>
  </si>
  <si>
    <t>07/29/2025</t>
  </si>
  <si>
    <t>October 13, 2024</t>
  </si>
  <si>
    <t>03/05/2025</t>
  </si>
  <si>
    <t>2025/11/12</t>
  </si>
  <si>
    <t>02/09/2025</t>
  </si>
  <si>
    <t>11/20/2025</t>
  </si>
  <si>
    <t>22/02/2026</t>
  </si>
  <si>
    <t>18/12/2025</t>
  </si>
  <si>
    <t>28/02/2025</t>
  </si>
  <si>
    <t>07/12/2025</t>
  </si>
  <si>
    <t>December 23, 2025</t>
  </si>
  <si>
    <t>08/07/2025</t>
  </si>
  <si>
    <t>13/10/2025</t>
  </si>
  <si>
    <t>October 07, 2025</t>
  </si>
  <si>
    <t>2025/11/14</t>
  </si>
  <si>
    <t>02/11/2025</t>
  </si>
  <si>
    <t>06.02.2025</t>
  </si>
  <si>
    <t>09.11.2024</t>
  </si>
  <si>
    <t>January 17, 2025</t>
  </si>
  <si>
    <t>11/04/2025</t>
  </si>
  <si>
    <t>10/14/2025</t>
  </si>
  <si>
    <t>16.02.2026</t>
  </si>
  <si>
    <t>March 13, 2025</t>
  </si>
  <si>
    <t>07/05/2025</t>
  </si>
  <si>
    <t>15.01.2025</t>
  </si>
  <si>
    <t>December 10, 2025</t>
  </si>
  <si>
    <t>01/20/2025</t>
  </si>
  <si>
    <t>02/23/2025</t>
  </si>
  <si>
    <t>01/05/2025</t>
  </si>
  <si>
    <t>10/13/2025</t>
  </si>
  <si>
    <t>05/05/2025</t>
  </si>
  <si>
    <t>01/06/2026</t>
  </si>
  <si>
    <t>13/02/2026</t>
  </si>
  <si>
    <t>07/14/2025</t>
  </si>
  <si>
    <t>11.12.2025</t>
  </si>
  <si>
    <t>10/28/2025</t>
  </si>
  <si>
    <t>22.02.2025</t>
  </si>
  <si>
    <t>10/08/2025</t>
  </si>
  <si>
    <t>01/04/2026</t>
  </si>
  <si>
    <t>19.10.2025</t>
  </si>
  <si>
    <t>04/01/2025</t>
  </si>
  <si>
    <t>09.10.2025</t>
  </si>
  <si>
    <t>April 22, 2025</t>
  </si>
  <si>
    <t>June 18, 2025</t>
  </si>
  <si>
    <t>November 06, 2025</t>
  </si>
  <si>
    <t>22/08/2025</t>
  </si>
  <si>
    <t>09/02/2026</t>
  </si>
  <si>
    <t>02/24/2026</t>
  </si>
  <si>
    <t>January 19, 2026</t>
  </si>
  <si>
    <t>06/07/2026</t>
  </si>
  <si>
    <t>02/15/2025</t>
  </si>
  <si>
    <t>01/21/2025</t>
  </si>
  <si>
    <t>2025/02/17</t>
  </si>
  <si>
    <t>22/01/2025</t>
  </si>
  <si>
    <t>2024/10/31</t>
  </si>
  <si>
    <t>16/02/2025</t>
  </si>
  <si>
    <t>2025/05/16</t>
  </si>
  <si>
    <t>January 23, 2026</t>
  </si>
  <si>
    <t>2025/10/28</t>
  </si>
  <si>
    <t>January 30, 2026</t>
  </si>
  <si>
    <t>2025/07/20</t>
  </si>
  <si>
    <t>22/04/2025</t>
  </si>
  <si>
    <t>2025/12/12</t>
  </si>
  <si>
    <t>January 31, 2026</t>
  </si>
  <si>
    <t>25.04.2025</t>
  </si>
  <si>
    <t>08/17/2025</t>
  </si>
  <si>
    <t>20/06/2025</t>
  </si>
  <si>
    <t>September 20, 2025</t>
  </si>
  <si>
    <t>20/12/2025</t>
  </si>
  <si>
    <t>18.11.2024</t>
  </si>
  <si>
    <t>01/22/2025</t>
  </si>
  <si>
    <t>15/08/2025</t>
  </si>
  <si>
    <t>January 31, 2025</t>
  </si>
  <si>
    <t>2025/06/15</t>
  </si>
  <si>
    <t>2025/01/08</t>
  </si>
  <si>
    <t>2026/01/02</t>
  </si>
  <si>
    <t>04.09.2025</t>
  </si>
  <si>
    <t>27/10/2025</t>
  </si>
  <si>
    <t>13.12.2025</t>
  </si>
  <si>
    <t>30.05.2026</t>
  </si>
  <si>
    <t>May 24, 2025</t>
  </si>
  <si>
    <t>28.04.2025</t>
  </si>
  <si>
    <t>2025/07/11</t>
  </si>
  <si>
    <t>2026/02/21</t>
  </si>
  <si>
    <t>13/06/2025</t>
  </si>
  <si>
    <t>20.03.2025</t>
  </si>
  <si>
    <t>06/05/2025</t>
  </si>
  <si>
    <t>January 26, 2026</t>
  </si>
  <si>
    <t>12/02/2024</t>
  </si>
  <si>
    <t>18/10/2025</t>
  </si>
  <si>
    <t>26.12.2025</t>
  </si>
  <si>
    <t>06/24/2025</t>
  </si>
  <si>
    <t>05/08/2025</t>
  </si>
  <si>
    <t>25/04/2025</t>
  </si>
  <si>
    <t>February 08, 2025</t>
  </si>
  <si>
    <t>2025/04/29</t>
  </si>
  <si>
    <t>2026/02/05</t>
  </si>
  <si>
    <t>01/26/2026</t>
  </si>
  <si>
    <t>2026/03/26</t>
  </si>
  <si>
    <t>2026/01/03</t>
  </si>
  <si>
    <t>02/16/2025</t>
  </si>
  <si>
    <t>21/12/2024</t>
  </si>
  <si>
    <t>09/03/2025</t>
  </si>
  <si>
    <t>03.02.2025</t>
  </si>
  <si>
    <t>01/10/2026</t>
  </si>
  <si>
    <t>2025/10/12</t>
  </si>
  <si>
    <t>February 23, 2026</t>
  </si>
  <si>
    <t>08/05/2025</t>
  </si>
  <si>
    <t>2025/05/18</t>
  </si>
  <si>
    <t>August 06, 2025</t>
  </si>
  <si>
    <t>October 02, 2025</t>
  </si>
  <si>
    <t>04/10/2025</t>
  </si>
  <si>
    <t>2026/02/08</t>
  </si>
  <si>
    <t>February 14, 2026</t>
  </si>
  <si>
    <t>November 14, 2025</t>
  </si>
  <si>
    <t>15.01.2026</t>
  </si>
  <si>
    <t>02/27/2025</t>
  </si>
  <si>
    <t>December 30, 2025</t>
  </si>
  <si>
    <t>June 13, 2025</t>
  </si>
  <si>
    <t>04/08/2025</t>
  </si>
  <si>
    <t>December 19, 2024</t>
  </si>
  <si>
    <t>2025/06/09</t>
  </si>
  <si>
    <t>2025/01/19</t>
  </si>
  <si>
    <t>16.05.2025</t>
  </si>
  <si>
    <t>01.07.2025</t>
  </si>
  <si>
    <t>17/05/2025</t>
  </si>
  <si>
    <t>10/04/2025</t>
  </si>
  <si>
    <t>11/13/2025</t>
  </si>
  <si>
    <t>November 17, 2025</t>
  </si>
  <si>
    <t>20.02.2026</t>
  </si>
  <si>
    <t>2026/04/19</t>
  </si>
  <si>
    <t>December 05, 2024</t>
  </si>
  <si>
    <t>03.06.2025</t>
  </si>
  <si>
    <t>2025/08/15</t>
  </si>
  <si>
    <t>10/19/2025</t>
  </si>
  <si>
    <t>08/22/2025</t>
  </si>
  <si>
    <t>2025/07/19</t>
  </si>
  <si>
    <t>November 02, 2025</t>
  </si>
  <si>
    <t>2025/03/11</t>
  </si>
  <si>
    <t>03/18/2025</t>
  </si>
  <si>
    <t>September 10, 2025</t>
  </si>
  <si>
    <t>02/26/2025</t>
  </si>
  <si>
    <t>2024/11/21</t>
  </si>
  <si>
    <t>23/05/2025</t>
  </si>
  <si>
    <t>August 30, 2025</t>
  </si>
  <si>
    <t>2026/01/13</t>
  </si>
  <si>
    <t>04/11/2025</t>
  </si>
  <si>
    <t>19/04/2025</t>
  </si>
  <si>
    <t>December 25, 2024</t>
  </si>
  <si>
    <t>04.12.2025</t>
  </si>
  <si>
    <t>02/05/2026</t>
  </si>
  <si>
    <t>01/29/2025</t>
  </si>
  <si>
    <t>November 15, 2024</t>
  </si>
  <si>
    <t>2025/04/17</t>
  </si>
  <si>
    <t>June 26, 2025</t>
  </si>
  <si>
    <t>November 22, 2025</t>
  </si>
  <si>
    <t>2025/09/13</t>
  </si>
  <si>
    <t>June 19, 2025</t>
  </si>
  <si>
    <t>07/22/2025</t>
  </si>
  <si>
    <t>19/01/2025</t>
  </si>
  <si>
    <t>2025/06/03</t>
  </si>
  <si>
    <t>03.01.2025</t>
  </si>
  <si>
    <t>2024/11/29</t>
  </si>
  <si>
    <t>2026/03/01</t>
  </si>
  <si>
    <t>09/12/2025</t>
  </si>
  <si>
    <t>10/24/2025</t>
  </si>
  <si>
    <t>2025/02/14</t>
  </si>
  <si>
    <t>05/22/2025</t>
  </si>
  <si>
    <t>2025/08/07</t>
  </si>
  <si>
    <t>05/17/2025</t>
  </si>
  <si>
    <t>2024/12/29</t>
  </si>
  <si>
    <t>24/01/2025</t>
  </si>
  <si>
    <t>March 21, 2025</t>
  </si>
  <si>
    <t>01/03/2026</t>
  </si>
  <si>
    <t>2025/10/18</t>
  </si>
  <si>
    <t>24/10/2025</t>
  </si>
  <si>
    <t>2025/04/04</t>
  </si>
  <si>
    <t>02/13/2025</t>
  </si>
  <si>
    <t>2025/10/29</t>
  </si>
  <si>
    <t>11/11/2025</t>
  </si>
  <si>
    <t>2026/02/03</t>
  </si>
  <si>
    <t>02/24/2025</t>
  </si>
  <si>
    <t>2025/06/13</t>
  </si>
  <si>
    <t>March 04, 2026</t>
  </si>
  <si>
    <t>07/16/2025</t>
  </si>
  <si>
    <t>2025/10/11</t>
  </si>
  <si>
    <t>18.02.2025</t>
  </si>
  <si>
    <t>August 08, 2025</t>
  </si>
  <si>
    <t>22.09.2025</t>
  </si>
  <si>
    <t>18/05/2025</t>
  </si>
  <si>
    <t>31/10/2025</t>
  </si>
  <si>
    <t>05/10/2025</t>
  </si>
  <si>
    <t>2025/03/10</t>
  </si>
  <si>
    <t>23/02/2025</t>
  </si>
  <si>
    <t>04/30/2025</t>
  </si>
  <si>
    <t>02/22/2026</t>
  </si>
  <si>
    <t>20/08/2025</t>
  </si>
  <si>
    <t>29.10.2025</t>
  </si>
  <si>
    <t>2025/07/31</t>
  </si>
  <si>
    <t>2025/10/21</t>
  </si>
  <si>
    <t>January 15, 2025</t>
  </si>
  <si>
    <t>22/11/2024</t>
  </si>
  <si>
    <t>01/09/2025</t>
  </si>
  <si>
    <t>July 01, 2025</t>
  </si>
  <si>
    <t>2025/12/01</t>
  </si>
  <si>
    <t>2026/02/28</t>
  </si>
  <si>
    <t>2025/10/14</t>
  </si>
  <si>
    <t>2025/09/01</t>
  </si>
  <si>
    <t>31.01.2025</t>
  </si>
  <si>
    <t>05/20/2025</t>
  </si>
  <si>
    <t>July 20, 2025</t>
  </si>
  <si>
    <t>2025/01/09</t>
  </si>
  <si>
    <t>01/28/2026</t>
  </si>
  <si>
    <t>12/30/2025</t>
  </si>
  <si>
    <t>March 03, 2026</t>
  </si>
  <si>
    <t>2026/04/12</t>
  </si>
  <si>
    <t>28/10/2025</t>
  </si>
  <si>
    <t>04/23/2025</t>
  </si>
  <si>
    <t>2025/07/13</t>
  </si>
  <si>
    <t>13/05/2025</t>
  </si>
  <si>
    <t>February 21, 2025</t>
  </si>
  <si>
    <t>27/12/2024</t>
  </si>
  <si>
    <t>03/02/2025</t>
  </si>
  <si>
    <t>2026/05/07</t>
  </si>
  <si>
    <t>2025/03/06</t>
  </si>
  <si>
    <t>04.07.2025</t>
  </si>
  <si>
    <t>11/05/2025</t>
  </si>
  <si>
    <t>17/01/2026</t>
  </si>
  <si>
    <t>31/08/2025</t>
  </si>
  <si>
    <t>April 02, 2026</t>
  </si>
  <si>
    <t>08/29/2025</t>
  </si>
  <si>
    <t>01.02.2026</t>
  </si>
  <si>
    <t>December 30, 2024</t>
  </si>
  <si>
    <t>12/15/2025</t>
  </si>
  <si>
    <t>01/08/2026</t>
  </si>
  <si>
    <t>2025/05/04</t>
  </si>
  <si>
    <t>2025/07/23</t>
  </si>
  <si>
    <t>August 09, 2025</t>
  </si>
  <si>
    <t>November 04, 2025</t>
  </si>
  <si>
    <t>2025/11/15</t>
  </si>
  <si>
    <t>September 04, 2025</t>
  </si>
  <si>
    <t>14.06.2025</t>
  </si>
  <si>
    <t>June 28, 2025</t>
  </si>
  <si>
    <t>2025/11/10</t>
  </si>
  <si>
    <t>16/09/2025</t>
  </si>
  <si>
    <t>2025/10/10</t>
  </si>
  <si>
    <t>November 11, 2025</t>
  </si>
  <si>
    <t>21/01/2026</t>
  </si>
  <si>
    <t>10/30/2025</t>
  </si>
  <si>
    <t>11.10.2025</t>
  </si>
  <si>
    <t>2026/01/22</t>
  </si>
  <si>
    <t>11.01.2026</t>
  </si>
  <si>
    <t>03/05/2026</t>
  </si>
  <si>
    <t>June 05, 2026</t>
  </si>
  <si>
    <t>02.09.2025</t>
  </si>
  <si>
    <t>2026/01/30</t>
  </si>
  <si>
    <t>2025/01/13</t>
  </si>
  <si>
    <t>2025/04/07</t>
  </si>
  <si>
    <t>31/12/2025</t>
  </si>
  <si>
    <t>14/03/2025</t>
  </si>
  <si>
    <t>March 20, 2025</t>
  </si>
  <si>
    <t>07.06.2025</t>
  </si>
  <si>
    <t>15.12.2025</t>
  </si>
  <si>
    <t>08.11.2025</t>
  </si>
  <si>
    <t>February 09, 2026</t>
  </si>
  <si>
    <t>February 01, 2026</t>
  </si>
  <si>
    <t>02/17/2026</t>
  </si>
  <si>
    <t>2025/07/16</t>
  </si>
  <si>
    <t>2025/06/23</t>
  </si>
  <si>
    <t>2025/11/01</t>
  </si>
  <si>
    <t>22/10/2025</t>
  </si>
  <si>
    <t>01/24/2025</t>
  </si>
  <si>
    <t>27/04/2025</t>
  </si>
  <si>
    <t>2025/08/30</t>
  </si>
  <si>
    <t>August 19, 2025</t>
  </si>
  <si>
    <t>04.11.2025</t>
  </si>
  <si>
    <t>July 27, 2025</t>
  </si>
  <si>
    <t>06/23/2025</t>
  </si>
  <si>
    <t>09/22/2025</t>
  </si>
  <si>
    <t>October 23, 2025</t>
  </si>
  <si>
    <t>November 25, 2025</t>
  </si>
  <si>
    <t>31.07.2025</t>
  </si>
  <si>
    <t>17.12.2024</t>
  </si>
  <si>
    <t>12/29/2025</t>
  </si>
  <si>
    <t>October 21, 2025</t>
  </si>
  <si>
    <t>26/12/2025</t>
  </si>
  <si>
    <t>2025/09/03</t>
  </si>
  <si>
    <t>2025/04/12</t>
  </si>
  <si>
    <t>February 26, 2025</t>
  </si>
  <si>
    <t>04.08.2025</t>
  </si>
  <si>
    <t>July 15, 2025</t>
  </si>
  <si>
    <t>05/03/2026</t>
  </si>
  <si>
    <t>2025/02/28</t>
  </si>
  <si>
    <t>2025/11/13</t>
  </si>
  <si>
    <t>16/02/2026</t>
  </si>
  <si>
    <t>09/04/2025</t>
  </si>
  <si>
    <t>09/02/2025</t>
  </si>
  <si>
    <t>July 23, 2025</t>
  </si>
  <si>
    <t>August 12, 2025</t>
  </si>
  <si>
    <t>02.02.2026</t>
  </si>
  <si>
    <t>04/02/2026</t>
  </si>
  <si>
    <t>September 01, 2025</t>
  </si>
  <si>
    <t>2025/04/02</t>
  </si>
  <si>
    <t>13.12.2024</t>
  </si>
  <si>
    <t>2025/02/22</t>
  </si>
  <si>
    <t>2025/04/21</t>
  </si>
  <si>
    <t>03/08/2025</t>
  </si>
  <si>
    <t>February 06, 2025</t>
  </si>
  <si>
    <t>2025/07/25</t>
  </si>
  <si>
    <t>February 20, 2026</t>
  </si>
  <si>
    <t>14.06.2026</t>
  </si>
  <si>
    <t>2025/04/28</t>
  </si>
  <si>
    <t>2025/07/21</t>
  </si>
  <si>
    <t>February 05, 2026</t>
  </si>
  <si>
    <t>20/04/2025</t>
  </si>
  <si>
    <t>April 28, 2025</t>
  </si>
  <si>
    <t>18.07.2025</t>
  </si>
  <si>
    <t>29/03/2025</t>
  </si>
  <si>
    <t>2025/02/27</t>
  </si>
  <si>
    <t>April 15, 2025</t>
  </si>
  <si>
    <t>06/27/2025</t>
  </si>
  <si>
    <t>06.05.2025</t>
  </si>
  <si>
    <t>09/10/2025</t>
  </si>
  <si>
    <t>2025/08/10</t>
  </si>
  <si>
    <t>01/25/2026</t>
  </si>
  <si>
    <t>12/20/2025</t>
  </si>
  <si>
    <t>October 27, 2025</t>
  </si>
  <si>
    <t>June 20, 2025</t>
  </si>
  <si>
    <t>09.09.2025</t>
  </si>
  <si>
    <t>2026/01/16</t>
  </si>
  <si>
    <t>2026/02/01</t>
  </si>
  <si>
    <t>December 01, 2024</t>
  </si>
  <si>
    <t>2025/12/02</t>
  </si>
  <si>
    <t>30.11.2025</t>
  </si>
  <si>
    <t>January 04, 2025</t>
  </si>
  <si>
    <t>19/05/2025</t>
  </si>
  <si>
    <t>August 15, 2025</t>
  </si>
  <si>
    <t>September 23, 2025</t>
  </si>
  <si>
    <t>October 06, 2025</t>
  </si>
  <si>
    <t>02/18/2025</t>
  </si>
  <si>
    <t>2025/01/01</t>
  </si>
  <si>
    <t>04/04/2025</t>
  </si>
  <si>
    <t>2026/01/08</t>
  </si>
  <si>
    <t>11.05.2026</t>
  </si>
  <si>
    <t>February 12, 2025</t>
  </si>
  <si>
    <t>18.06.2025</t>
  </si>
  <si>
    <t>03/15/2025</t>
  </si>
  <si>
    <t>21.06.2025</t>
  </si>
  <si>
    <t>04/28/2025</t>
  </si>
  <si>
    <t>02.10.2025</t>
  </si>
  <si>
    <t>03.05.2025</t>
  </si>
  <si>
    <t>12/08/2024</t>
  </si>
  <si>
    <t>06/10/2025</t>
  </si>
  <si>
    <t>2025/04/23</t>
  </si>
  <si>
    <t>01/27/2026</t>
  </si>
  <si>
    <t>October 17, 2025</t>
  </si>
  <si>
    <t>2025/12/10</t>
  </si>
  <si>
    <t>21/02/2026</t>
  </si>
  <si>
    <t>2026/05/23</t>
  </si>
  <si>
    <t>10.03.2025</t>
  </si>
  <si>
    <t>2025/12/23</t>
  </si>
  <si>
    <t>2026/05/02</t>
  </si>
  <si>
    <t>27/09/2025</t>
  </si>
  <si>
    <t>14/12/2025</t>
  </si>
  <si>
    <t>01/10/2025</t>
  </si>
  <si>
    <t>July 03, 2025</t>
  </si>
  <si>
    <t>January 02, 2026</t>
  </si>
  <si>
    <t>02/18/2026</t>
  </si>
  <si>
    <t>2026/03/06</t>
  </si>
  <si>
    <t>05/05/2026</t>
  </si>
  <si>
    <t>January 25, 2025</t>
  </si>
  <si>
    <t>19/03/2026</t>
  </si>
  <si>
    <t>2025/04/10</t>
  </si>
  <si>
    <t>06/02/2025</t>
  </si>
  <si>
    <t>10/04/2026</t>
  </si>
  <si>
    <t>2025/09/22</t>
  </si>
  <si>
    <t>2025/01/03</t>
  </si>
  <si>
    <t>12/15/2024</t>
  </si>
  <si>
    <t>January 28, 2025</t>
  </si>
  <si>
    <t>14/04/2026</t>
  </si>
  <si>
    <t>08/01/2025</t>
  </si>
  <si>
    <t>08/11/2024</t>
  </si>
  <si>
    <t>15.07.2025</t>
  </si>
  <si>
    <t>13.06.2025</t>
  </si>
  <si>
    <t>07/04/2025</t>
  </si>
  <si>
    <t>08/16/2025</t>
  </si>
  <si>
    <t>07/25/2025</t>
  </si>
  <si>
    <t>2025/11/26</t>
  </si>
  <si>
    <t>18.08.2025</t>
  </si>
  <si>
    <t>15/06/2025</t>
  </si>
  <si>
    <t>13.10.2025</t>
  </si>
  <si>
    <t>2025/11/25</t>
  </si>
  <si>
    <t>23/01/2026</t>
  </si>
  <si>
    <t>2025/09/23</t>
  </si>
  <si>
    <t>06/09/2025</t>
  </si>
  <si>
    <t>22.07.2025</t>
  </si>
  <si>
    <t>11.02.2025</t>
  </si>
  <si>
    <t>2025/04/20</t>
  </si>
  <si>
    <t>July 04, 2025</t>
  </si>
  <si>
    <t>02.12.2024</t>
  </si>
  <si>
    <t>December 07, 2025</t>
  </si>
  <si>
    <t>2026/02/14</t>
  </si>
  <si>
    <t>06/07/2025</t>
  </si>
  <si>
    <t>21/03/2025</t>
  </si>
  <si>
    <t>April 25, 2025</t>
  </si>
  <si>
    <t>06.03.2025</t>
  </si>
  <si>
    <t>05/25/2025</t>
  </si>
  <si>
    <t>08/26/2025</t>
  </si>
  <si>
    <t>February 11, 2026</t>
  </si>
  <si>
    <t>04/03/2026</t>
  </si>
  <si>
    <t>December 13, 2024</t>
  </si>
  <si>
    <t>April 04, 2025</t>
  </si>
  <si>
    <t>18.10.2025</t>
  </si>
  <si>
    <t>June 30, 2025</t>
  </si>
  <si>
    <t>2025/07/18</t>
  </si>
  <si>
    <t>09.12.2024</t>
  </si>
  <si>
    <t>2026/03/18</t>
  </si>
  <si>
    <t>2026/05/21</t>
  </si>
  <si>
    <t>27.02.2026</t>
  </si>
  <si>
    <t>04/09/2026</t>
  </si>
  <si>
    <t>22.02.2026</t>
  </si>
  <si>
    <t>10/22/2025</t>
  </si>
  <si>
    <t>04/21/2026</t>
  </si>
  <si>
    <t>August 05, 2025</t>
  </si>
  <si>
    <t>2025/07/30</t>
  </si>
  <si>
    <t>11/21/2025</t>
  </si>
  <si>
    <t>2026/01/19</t>
  </si>
  <si>
    <t>20.01.2026</t>
  </si>
  <si>
    <t>2025/10/25</t>
  </si>
  <si>
    <t>March 13, 2026</t>
  </si>
  <si>
    <t>2026/01/29</t>
  </si>
  <si>
    <t>20/07/2025</t>
  </si>
  <si>
    <t>April 16, 2026</t>
  </si>
  <si>
    <t>2025/10/15</t>
  </si>
  <si>
    <t>2025/11/16</t>
  </si>
  <si>
    <t>April 24, 2025</t>
  </si>
  <si>
    <t>July 09, 2025</t>
  </si>
  <si>
    <t>2025/09/07</t>
  </si>
  <si>
    <t>08/12/2025</t>
  </si>
  <si>
    <t>November 16, 2025</t>
  </si>
  <si>
    <t>06/26/2025</t>
  </si>
  <si>
    <t>January 12, 2026</t>
  </si>
  <si>
    <t>01/15/2025</t>
  </si>
  <si>
    <t>December 22, 2025</t>
  </si>
  <si>
    <t>March 25, 2026</t>
  </si>
  <si>
    <t>December 11, 2025</t>
  </si>
  <si>
    <t>2025/05/27</t>
  </si>
  <si>
    <t>05/31/2025</t>
  </si>
  <si>
    <t>January 08, 2025</t>
  </si>
  <si>
    <t>April 19, 2025</t>
  </si>
  <si>
    <t>13/04/2025</t>
  </si>
  <si>
    <t>11/03/2024</t>
  </si>
  <si>
    <t>February 13, 2026</t>
  </si>
  <si>
    <t>July 11, 2025</t>
  </si>
  <si>
    <t>2025/06/25</t>
  </si>
  <si>
    <t>August 10, 2025</t>
  </si>
  <si>
    <t>19/07/2025</t>
  </si>
  <si>
    <t>09.05.2025</t>
  </si>
  <si>
    <t>May 09, 2025</t>
  </si>
  <si>
    <t>June 25, 2025</t>
  </si>
  <si>
    <t>September 11, 2025</t>
  </si>
  <si>
    <t>2025/04/03</t>
  </si>
  <si>
    <t>07.02.2026</t>
  </si>
  <si>
    <t>December 04, 2025</t>
  </si>
  <si>
    <t>12/07/2025</t>
  </si>
  <si>
    <t>18.09.2025</t>
  </si>
  <si>
    <t>2025/06/26</t>
  </si>
  <si>
    <t>26.07.2025</t>
  </si>
  <si>
    <t>24.02.2025</t>
  </si>
  <si>
    <t>2026/02/27</t>
  </si>
  <si>
    <t>05/19/2026</t>
  </si>
  <si>
    <t>10/16/2025</t>
  </si>
  <si>
    <t>2024/10/28</t>
  </si>
  <si>
    <t>05/01/2025</t>
  </si>
  <si>
    <t>2025/03/05</t>
  </si>
  <si>
    <t>July 18, 2025</t>
  </si>
  <si>
    <t>24/09/2025</t>
  </si>
  <si>
    <t>October 05, 2025</t>
  </si>
  <si>
    <t>07/03/2026</t>
  </si>
  <si>
    <t>01/23/2026</t>
  </si>
  <si>
    <t>10.05.2026</t>
  </si>
  <si>
    <t>April 27, 2025</t>
  </si>
  <si>
    <t>March 22, 2025</t>
  </si>
  <si>
    <t>2025/06/07</t>
  </si>
  <si>
    <t>29.08.2025</t>
  </si>
  <si>
    <t>06.01.2026</t>
  </si>
  <si>
    <t>02/26/2026</t>
  </si>
  <si>
    <t>2025/04/08</t>
  </si>
  <si>
    <t>November 16, 2024</t>
  </si>
  <si>
    <t>04/03/2025</t>
  </si>
  <si>
    <t>12.05.2025</t>
  </si>
  <si>
    <t>23.03.2025</t>
  </si>
  <si>
    <t>November 01, 2025</t>
  </si>
  <si>
    <t>29/09/2025</t>
  </si>
  <si>
    <t>28/07/2025</t>
  </si>
  <si>
    <t>November 03, 2025</t>
  </si>
  <si>
    <t>30/10/2025</t>
  </si>
  <si>
    <t>October 15, 2025</t>
  </si>
  <si>
    <t>19.12.2025</t>
  </si>
  <si>
    <t>2024/12/01</t>
  </si>
  <si>
    <t>11/29/2024</t>
  </si>
  <si>
    <t>2025/02/18</t>
  </si>
  <si>
    <t>30/05/2025</t>
  </si>
  <si>
    <t>14.02.2026</t>
  </si>
  <si>
    <t>05/23/2025</t>
  </si>
  <si>
    <t>05/13/2025</t>
  </si>
  <si>
    <t>20.09.2025</t>
  </si>
  <si>
    <t>26/11/2025</t>
  </si>
  <si>
    <t>12.02.2026</t>
  </si>
  <si>
    <t>November 15, 2025</t>
  </si>
  <si>
    <t>2026/05/22</t>
  </si>
  <si>
    <t>11/18/2025</t>
  </si>
  <si>
    <t>04/15/2025</t>
  </si>
  <si>
    <t>08/08/2025</t>
  </si>
  <si>
    <t>10/17/2025</t>
  </si>
  <si>
    <t>2025/05/13</t>
  </si>
  <si>
    <t>2025/08/02</t>
  </si>
  <si>
    <t>September 30, 2025</t>
  </si>
  <si>
    <t>01.10.2025</t>
  </si>
  <si>
    <t>09/05/2025</t>
  </si>
  <si>
    <t>2025/12/31</t>
  </si>
  <si>
    <t>2025/11/06</t>
  </si>
  <si>
    <t>18.01.2026</t>
  </si>
  <si>
    <t>2025/01/12</t>
  </si>
  <si>
    <t>October 29, 2024</t>
  </si>
  <si>
    <t>March 09, 2025</t>
  </si>
  <si>
    <t>27.11.2024</t>
  </si>
  <si>
    <t>04/16/2025</t>
  </si>
  <si>
    <t>17/09/2025</t>
  </si>
  <si>
    <t>2025/10/16</t>
  </si>
  <si>
    <t>February 03, 2025</t>
  </si>
  <si>
    <t>2025/06/18</t>
  </si>
  <si>
    <t>2025/08/13</t>
  </si>
  <si>
    <t>May 16, 2025</t>
  </si>
  <si>
    <t>July 05, 2025</t>
  </si>
  <si>
    <t>12/24/2025</t>
  </si>
  <si>
    <t>03/10/2026</t>
  </si>
  <si>
    <t>02/08/2025</t>
  </si>
  <si>
    <t>November 28, 2024</t>
  </si>
  <si>
    <t>July 16, 2025</t>
  </si>
  <si>
    <t>26/02/2026</t>
  </si>
  <si>
    <t>2025/11/02</t>
  </si>
  <si>
    <t>February 07, 2026</t>
  </si>
  <si>
    <t>02.04.2026</t>
  </si>
  <si>
    <t>16.01.2026</t>
  </si>
  <si>
    <t>April 20, 2025</t>
  </si>
  <si>
    <t>25/01/2025</t>
  </si>
  <si>
    <t>08/18/2025</t>
  </si>
  <si>
    <t>2025/05/17</t>
  </si>
  <si>
    <t>April 06, 2025</t>
  </si>
  <si>
    <t>05.02.2025</t>
  </si>
  <si>
    <t>05/16/2025</t>
  </si>
  <si>
    <t>10.02.2026</t>
  </si>
  <si>
    <t>12/11/2024</t>
  </si>
  <si>
    <t>08.07.2025</t>
  </si>
  <si>
    <t>05/21/2025</t>
  </si>
  <si>
    <t>02.06.2025</t>
  </si>
  <si>
    <t>04/07/2025</t>
  </si>
  <si>
    <t>08/15/2025</t>
  </si>
  <si>
    <t>21.08.2025</t>
  </si>
  <si>
    <t>20/09/2025</t>
  </si>
  <si>
    <t>June 08, 2025</t>
  </si>
  <si>
    <t>26/08/2025</t>
  </si>
  <si>
    <t>September 05, 2025</t>
  </si>
  <si>
    <t>03/13/2025</t>
  </si>
  <si>
    <t>15.03.2025</t>
  </si>
  <si>
    <t>25/07/2025</t>
  </si>
  <si>
    <t>2025/05/09</t>
  </si>
  <si>
    <t>29/10/2025</t>
  </si>
  <si>
    <t>2025/06/17</t>
  </si>
  <si>
    <t>2025/06/28</t>
  </si>
  <si>
    <t>12.04.2026</t>
  </si>
  <si>
    <t>01/20/2026</t>
  </si>
  <si>
    <t>24/02/2026</t>
  </si>
  <si>
    <t>23/04/2026</t>
  </si>
  <si>
    <t>December 03, 2025</t>
  </si>
  <si>
    <t>August 24, 2025</t>
  </si>
  <si>
    <t>09/26/2025</t>
  </si>
  <si>
    <t>March 10, 2025</t>
  </si>
  <si>
    <t>03/28/2025</t>
  </si>
  <si>
    <t>02/01/2026</t>
  </si>
  <si>
    <t>20/03/2025</t>
  </si>
  <si>
    <t>September 08, 2025</t>
  </si>
  <si>
    <t>14.12.2025</t>
  </si>
  <si>
    <t>11/14/2025</t>
  </si>
  <si>
    <t>15/11/2025</t>
  </si>
  <si>
    <t>February 13, 2025</t>
  </si>
  <si>
    <t>01/11/2026</t>
  </si>
  <si>
    <t>2025/10/02</t>
  </si>
  <si>
    <t>10/23/2025</t>
  </si>
  <si>
    <t>March 01, 2025</t>
  </si>
  <si>
    <t>2025/04/25</t>
  </si>
  <si>
    <t>06/08/2025</t>
  </si>
  <si>
    <t>November 26, 2025</t>
  </si>
  <si>
    <t>21/02/2025</t>
  </si>
  <si>
    <t>01/01/2026</t>
  </si>
  <si>
    <t>September 27, 2025</t>
  </si>
  <si>
    <t>March 02, 2025</t>
  </si>
  <si>
    <t>2025/11/20</t>
  </si>
  <si>
    <t>22.01.2025</t>
  </si>
  <si>
    <t>02.11.2025</t>
  </si>
  <si>
    <t>June 12, 2025</t>
  </si>
  <si>
    <t>26.03.2025</t>
  </si>
  <si>
    <t>06/29/2025</t>
  </si>
  <si>
    <t>21/08/2025</t>
  </si>
  <si>
    <t>June 29, 2025</t>
  </si>
  <si>
    <t>2025/08/09</t>
  </si>
  <si>
    <t>2025/04/05</t>
  </si>
  <si>
    <t>16/12/2024</t>
  </si>
  <si>
    <t>23.06.2025</t>
  </si>
  <si>
    <t>August 25, 2025</t>
  </si>
  <si>
    <t>17.05.2025</t>
  </si>
  <si>
    <t>March 26, 2025</t>
  </si>
  <si>
    <t>11/10/2025</t>
  </si>
  <si>
    <t>December 31, 2025</t>
  </si>
  <si>
    <t>25/11/2024</t>
  </si>
  <si>
    <t>15/02/2025</t>
  </si>
  <si>
    <t>04/29/2026</t>
  </si>
  <si>
    <t>February 11, 2025</t>
  </si>
  <si>
    <t>04.01.2026</t>
  </si>
  <si>
    <t>28/12/2025</t>
  </si>
  <si>
    <t>07.02.2025</t>
  </si>
  <si>
    <t>10/01/2026</t>
  </si>
  <si>
    <t>04/29/2025</t>
  </si>
  <si>
    <t>2025/03/17</t>
  </si>
  <si>
    <t>08/09/2025</t>
  </si>
  <si>
    <t>17.06.2025</t>
  </si>
  <si>
    <t>08/31/2025</t>
  </si>
  <si>
    <t>03/11/2025</t>
  </si>
  <si>
    <t>2025/02/24</t>
  </si>
  <si>
    <t>14.10.2024</t>
  </si>
  <si>
    <t>April 05, 2025</t>
  </si>
  <si>
    <t>August 11, 2025</t>
  </si>
  <si>
    <t>2026/03/19</t>
  </si>
  <si>
    <t>2025/05/29</t>
  </si>
  <si>
    <t>January 29, 2026</t>
  </si>
  <si>
    <t>09/21/2025</t>
  </si>
  <si>
    <t>26/09/2025</t>
  </si>
  <si>
    <t>03/01/2026</t>
  </si>
  <si>
    <t>30.05.2025</t>
  </si>
  <si>
    <t>29/01/2025</t>
  </si>
  <si>
    <t>2025/06/21</t>
  </si>
  <si>
    <t>June 03, 2026</t>
  </si>
  <si>
    <t>20/01/2026</t>
  </si>
  <si>
    <t>March 08, 2026</t>
  </si>
  <si>
    <t>August 26, 2025</t>
  </si>
  <si>
    <t>2025/02/03</t>
  </si>
  <si>
    <t>July 10, 2025</t>
  </si>
  <si>
    <t>02/06/2026</t>
  </si>
  <si>
    <t>2024/12/22</t>
  </si>
  <si>
    <t>28/03/2025</t>
  </si>
  <si>
    <t>03/10/2025</t>
  </si>
  <si>
    <t>27/12/2025</t>
  </si>
  <si>
    <t>13.11.2025</t>
  </si>
  <si>
    <t>2026/01/05</t>
  </si>
  <si>
    <t>December 29, 2025</t>
  </si>
  <si>
    <t>2025/07/22</t>
  </si>
  <si>
    <t>October 12, 2025</t>
  </si>
  <si>
    <t>07/31/2025</t>
  </si>
  <si>
    <t>November 20, 2025</t>
  </si>
  <si>
    <t>19/10/2025</t>
  </si>
  <si>
    <t>November 09, 2025</t>
  </si>
  <si>
    <t>October 20, 2025</t>
  </si>
  <si>
    <t>03/26/2026</t>
  </si>
  <si>
    <t>June 04, 2025</t>
  </si>
  <si>
    <t>28/08/2025</t>
  </si>
  <si>
    <t>2024/12/20</t>
  </si>
  <si>
    <t>2025/08/06</t>
  </si>
  <si>
    <t>2025/03/03</t>
  </si>
  <si>
    <t>23.08.2025</t>
  </si>
  <si>
    <t>01/04/2025</t>
  </si>
  <si>
    <t>29.03.2025</t>
  </si>
  <si>
    <t>04.02.2025</t>
  </si>
  <si>
    <t>February 17, 2025</t>
  </si>
  <si>
    <t>December 28, 2024</t>
  </si>
  <si>
    <t>09.11.2025</t>
  </si>
  <si>
    <t>31/01/2026</t>
  </si>
  <si>
    <t>March 22, 2026</t>
  </si>
  <si>
    <t>February 24, 2026</t>
  </si>
  <si>
    <t>08/01/2026</t>
  </si>
  <si>
    <t>07/23/2025</t>
  </si>
  <si>
    <t>February 05, 2025</t>
  </si>
  <si>
    <t>February 15, 2025</t>
  </si>
  <si>
    <t>October 25, 2025</t>
  </si>
  <si>
    <t>27/08/2025</t>
  </si>
  <si>
    <t>2025/12/13</t>
  </si>
  <si>
    <t>10.01.2026</t>
  </si>
  <si>
    <t>25/09/2025</t>
  </si>
  <si>
    <t>01/01/2025</t>
  </si>
  <si>
    <t>30/11/2024</t>
  </si>
  <si>
    <t>05/14/2025</t>
  </si>
  <si>
    <t>2025/02/16</t>
  </si>
  <si>
    <t>18.04.2025</t>
  </si>
  <si>
    <t>2025/10/17</t>
  </si>
  <si>
    <t>19.09.2025</t>
  </si>
  <si>
    <t>2025/11/22</t>
  </si>
  <si>
    <t>December 28, 2025</t>
  </si>
  <si>
    <t>2025/05/06</t>
  </si>
  <si>
    <t>2025/12/19</t>
  </si>
  <si>
    <t>2025/08/22</t>
  </si>
  <si>
    <t>November 05, 2025</t>
  </si>
  <si>
    <t>01/15/2026</t>
  </si>
  <si>
    <t>2025/06/11</t>
  </si>
  <si>
    <t>12/01/2026</t>
  </si>
  <si>
    <t>04/22/2025</t>
  </si>
  <si>
    <t>2025/08/28</t>
  </si>
  <si>
    <t>20.12.2025</t>
  </si>
  <si>
    <t>03/23/2026</t>
  </si>
  <si>
    <t>01/25/2025</t>
  </si>
  <si>
    <t>10/18/2025</t>
  </si>
  <si>
    <t>August 02, 2025</t>
  </si>
  <si>
    <t>09/29/2025</t>
  </si>
  <si>
    <t>2025/03/31</t>
  </si>
  <si>
    <t>14/03/2026</t>
  </si>
  <si>
    <t>02/14/2025</t>
  </si>
  <si>
    <t>04.06.2025</t>
  </si>
  <si>
    <t>March 08, 2025</t>
  </si>
  <si>
    <t>December 08, 2025</t>
  </si>
  <si>
    <t>2025/01/25</t>
  </si>
  <si>
    <t>26.12.2024</t>
  </si>
  <si>
    <t>October 10, 2025</t>
  </si>
  <si>
    <t>27.01.2026</t>
  </si>
  <si>
    <t>2025/01/14</t>
  </si>
  <si>
    <t>2025/04/14</t>
  </si>
  <si>
    <t>2025/06/08</t>
  </si>
  <si>
    <t>2025/05/26</t>
  </si>
  <si>
    <t>13/08/2025</t>
  </si>
  <si>
    <t>18/06/2025</t>
  </si>
  <si>
    <t>01/08/2025</t>
  </si>
  <si>
    <t>April 18, 2025</t>
  </si>
  <si>
    <t>27/05/2025</t>
  </si>
  <si>
    <t>02/13/2026</t>
  </si>
  <si>
    <t>29.03.2026</t>
  </si>
  <si>
    <t>10/27/2025</t>
  </si>
  <si>
    <t>2025/02/21</t>
  </si>
  <si>
    <t>11.11.2025</t>
  </si>
  <si>
    <t>2026/02/06</t>
  </si>
  <si>
    <t>07.03.2026</t>
  </si>
  <si>
    <t>09/09/2025</t>
  </si>
  <si>
    <t>18/08/2025</t>
  </si>
  <si>
    <t>July 14, 2025</t>
  </si>
  <si>
    <t>2025/11/09</t>
  </si>
  <si>
    <t>December 24, 2024</t>
  </si>
  <si>
    <t>2025/07/17</t>
  </si>
  <si>
    <t>27/11/2025</t>
  </si>
  <si>
    <t>17.10.2025</t>
  </si>
  <si>
    <t>October 28, 2025</t>
  </si>
  <si>
    <t>05/30/2025</t>
  </si>
  <si>
    <t>April 29, 2026</t>
  </si>
  <si>
    <t>16/06/2025</t>
  </si>
  <si>
    <t>23.02.2025</t>
  </si>
  <si>
    <t>January 05, 2025</t>
  </si>
  <si>
    <t>May 23, 2025</t>
  </si>
  <si>
    <t>January 25, 2026</t>
  </si>
  <si>
    <t>March 27, 2026</t>
  </si>
  <si>
    <t>16/01/2026</t>
  </si>
  <si>
    <t>June 14, 2025</t>
  </si>
  <si>
    <t>06/18/2025</t>
  </si>
  <si>
    <t>December 18, 2024</t>
  </si>
  <si>
    <t>06.02.2026</t>
  </si>
  <si>
    <t>27.09.2025</t>
  </si>
  <si>
    <t>20/11/2025</t>
  </si>
  <si>
    <t>January 24, 2026</t>
  </si>
  <si>
    <t>May 08, 2025</t>
  </si>
  <si>
    <t>01/17/2026</t>
  </si>
  <si>
    <t>11/26/2025</t>
  </si>
  <si>
    <t>04/26/2026</t>
  </si>
  <si>
    <t>2025/10/24</t>
  </si>
  <si>
    <t>03/14/2025</t>
  </si>
  <si>
    <t>May 27, 2025</t>
  </si>
  <si>
    <t>2025/09/21</t>
  </si>
  <si>
    <t>2027/08/19</t>
  </si>
  <si>
    <t>14/02/2026</t>
  </si>
  <si>
    <t>23-11-2026</t>
  </si>
  <si>
    <t>18/05/2026</t>
  </si>
  <si>
    <t>CRITICAL</t>
  </si>
  <si>
    <t>03/26/2025</t>
  </si>
  <si>
    <t>06/09/2027</t>
  </si>
  <si>
    <t>active</t>
  </si>
  <si>
    <t>09/29/2026</t>
  </si>
  <si>
    <t>COMPLETED</t>
  </si>
  <si>
    <t>2026/03/31</t>
  </si>
  <si>
    <t>March 28, 2025</t>
  </si>
  <si>
    <t>April 26, 2026</t>
  </si>
  <si>
    <t>10/26/2025</t>
  </si>
  <si>
    <t>12.06.2025</t>
  </si>
  <si>
    <t>March 09, 2026</t>
  </si>
  <si>
    <t>05/28/2025</t>
  </si>
  <si>
    <t>06/18/2026</t>
  </si>
  <si>
    <t xml:space="preserve">Highway </t>
  </si>
  <si>
    <t>20250517</t>
  </si>
  <si>
    <t>14.03.2026</t>
  </si>
  <si>
    <t>high</t>
  </si>
  <si>
    <t>14-10-2027</t>
  </si>
  <si>
    <t>20270619</t>
  </si>
  <si>
    <t>20250126</t>
  </si>
  <si>
    <t>2026-09-11</t>
  </si>
  <si>
    <t>20270325</t>
  </si>
  <si>
    <t>09.09.2027</t>
  </si>
  <si>
    <t>2025/05/14</t>
  </si>
  <si>
    <t>2027-11-26</t>
  </si>
  <si>
    <t>August 31, 2025</t>
  </si>
  <si>
    <t>20261228</t>
  </si>
  <si>
    <t>05/06/2027</t>
  </si>
  <si>
    <t>04.01.2027</t>
  </si>
  <si>
    <t>15.06.2026</t>
  </si>
  <si>
    <t>24/11/2026</t>
  </si>
  <si>
    <t>20-10-2026</t>
  </si>
  <si>
    <t>24.10.2025</t>
  </si>
  <si>
    <t>09/01/2026</t>
  </si>
  <si>
    <t>02.12.2025</t>
  </si>
  <si>
    <t>20251116</t>
  </si>
  <si>
    <t xml:space="preserve">HQ Tower </t>
  </si>
  <si>
    <t>20260609</t>
  </si>
  <si>
    <t>12.07.2026</t>
  </si>
  <si>
    <t>05/24/2025</t>
  </si>
  <si>
    <t>January 21, 2025</t>
  </si>
  <si>
    <t>20271219</t>
  </si>
  <si>
    <t>06/29/2026</t>
  </si>
  <si>
    <t>04/25/2025</t>
  </si>
  <si>
    <t>17.11.2027</t>
  </si>
  <si>
    <t>08/23/2025</t>
  </si>
  <si>
    <t>31/07/2027</t>
  </si>
  <si>
    <t>2027/12/13</t>
  </si>
  <si>
    <t>20250129</t>
  </si>
  <si>
    <t>February 11, 2027</t>
  </si>
  <si>
    <t>19.02.2027</t>
  </si>
  <si>
    <t>03/04/2025</t>
  </si>
  <si>
    <t>20260905</t>
  </si>
  <si>
    <t>2016/06/08</t>
  </si>
  <si>
    <t>06/06/2025</t>
  </si>
  <si>
    <t>20110822</t>
  </si>
  <si>
    <t>08/05/2015</t>
  </si>
  <si>
    <t>July 14, 2011</t>
  </si>
  <si>
    <t>29/06/2018</t>
  </si>
  <si>
    <t>17/01/2013</t>
  </si>
  <si>
    <t>November 28, 2025</t>
  </si>
  <si>
    <t>07.10.2012</t>
  </si>
  <si>
    <t>06.09.2025</t>
  </si>
  <si>
    <t>2011/12/06</t>
  </si>
  <si>
    <t>03/06/2017</t>
  </si>
  <si>
    <t>02/12/2025</t>
  </si>
  <si>
    <t>20141116</t>
  </si>
  <si>
    <t>06-05-2018</t>
  </si>
  <si>
    <t>July 28, 2025</t>
  </si>
  <si>
    <t>12.10.2015</t>
  </si>
  <si>
    <t>October 08, 2011</t>
  </si>
  <si>
    <t>2026/01/31</t>
  </si>
  <si>
    <t>13.07.2017</t>
  </si>
  <si>
    <t>21/07/2011</t>
  </si>
  <si>
    <t>20250103</t>
  </si>
  <si>
    <t>09.05.2013</t>
  </si>
  <si>
    <t>20170306</t>
  </si>
  <si>
    <t>2015/07/11</t>
  </si>
  <si>
    <t>05.08.2020</t>
  </si>
  <si>
    <t>30.01.2023</t>
  </si>
  <si>
    <t>20101029</t>
  </si>
  <si>
    <t>2011-07-24</t>
  </si>
  <si>
    <t>2018-07-13</t>
  </si>
  <si>
    <t>20180123</t>
  </si>
  <si>
    <t>2017-01-30</t>
  </si>
  <si>
    <t>2025-01</t>
  </si>
  <si>
    <t>2025-02</t>
  </si>
  <si>
    <t>africa</t>
  </si>
  <si>
    <t>2025-03</t>
  </si>
  <si>
    <t>2025-04</t>
  </si>
  <si>
    <t>2025-05</t>
  </si>
  <si>
    <t>2025-06</t>
  </si>
  <si>
    <t>2025-07</t>
  </si>
  <si>
    <t>2025-08</t>
  </si>
  <si>
    <t>2025-09</t>
  </si>
  <si>
    <t>asia</t>
  </si>
  <si>
    <t>Sep-2025</t>
  </si>
  <si>
    <t>2025-10</t>
  </si>
  <si>
    <t>2025-11</t>
  </si>
  <si>
    <t>2025-12</t>
  </si>
  <si>
    <t>2026-01</t>
  </si>
  <si>
    <t>2026-02</t>
  </si>
  <si>
    <t>Column</t>
  </si>
  <si>
    <t>Rows</t>
  </si>
  <si>
    <t>Null Count</t>
  </si>
  <si>
    <t>Null %</t>
  </si>
  <si>
    <t>Unique Values</t>
  </si>
  <si>
    <t>Duplicate Value Count</t>
  </si>
  <si>
    <t>Sheet</t>
  </si>
  <si>
    <t>Sales_Transactions</t>
  </si>
  <si>
    <t>Project_Master</t>
  </si>
  <si>
    <t>Client_Master</t>
  </si>
  <si>
    <t>Estimator_Team</t>
  </si>
  <si>
    <t>Monthly_Costs</t>
  </si>
  <si>
    <t>Outstanding Amount</t>
  </si>
  <si>
    <t>Gross Profit</t>
  </si>
  <si>
    <t>Estimated Profit</t>
  </si>
  <si>
    <t>Row Labels</t>
  </si>
  <si>
    <t>Grand Total</t>
  </si>
  <si>
    <t>Jan</t>
  </si>
  <si>
    <t>Feb</t>
  </si>
  <si>
    <t>Mar</t>
  </si>
  <si>
    <t>Apr</t>
  </si>
  <si>
    <t>May</t>
  </si>
  <si>
    <t>Jun</t>
  </si>
  <si>
    <t>Jul</t>
  </si>
  <si>
    <t>Aug</t>
  </si>
  <si>
    <t>Sep</t>
  </si>
  <si>
    <t>Oct</t>
  </si>
  <si>
    <t>Nov</t>
  </si>
  <si>
    <t>Dec</t>
  </si>
  <si>
    <t>Count of ProjectID</t>
  </si>
  <si>
    <t>Sum of ActualCost</t>
  </si>
  <si>
    <t>Sum of TotalContractValue</t>
  </si>
  <si>
    <t>Sum of OutstandingBalance</t>
  </si>
  <si>
    <t>Count of ClientID</t>
  </si>
  <si>
    <t>outstanding</t>
  </si>
  <si>
    <t>clients</t>
  </si>
  <si>
    <t>active clients</t>
  </si>
  <si>
    <t>contract value</t>
  </si>
  <si>
    <t>Qtr1</t>
  </si>
  <si>
    <t>Qtr2</t>
  </si>
  <si>
    <t>Qtr3</t>
  </si>
  <si>
    <t>Qtr4</t>
  </si>
  <si>
    <t>Collection Rate</t>
  </si>
  <si>
    <t>Win Flag</t>
  </si>
  <si>
    <t>Budget_Varience</t>
  </si>
  <si>
    <t>Cost_Utilization</t>
  </si>
  <si>
    <t>Over_Budget_Flag</t>
  </si>
  <si>
    <t>Calculated Win Rate</t>
  </si>
  <si>
    <t>Total Transactions</t>
  </si>
  <si>
    <t>Total Invoice Value</t>
  </si>
  <si>
    <t>Total Collected</t>
  </si>
  <si>
    <t>Avg Contract Value</t>
  </si>
  <si>
    <t>Gross Margin</t>
  </si>
  <si>
    <t>Win Rate</t>
  </si>
  <si>
    <t>SALES</t>
  </si>
  <si>
    <t>FINANCE</t>
  </si>
  <si>
    <t>total gross profit</t>
  </si>
  <si>
    <t>Win/Loss</t>
  </si>
  <si>
    <t>Total Invoice</t>
  </si>
  <si>
    <t>Total Outstanding</t>
  </si>
  <si>
    <t>Total Tender</t>
  </si>
  <si>
    <t>Total Contract</t>
  </si>
  <si>
    <t>Total Projects</t>
  </si>
  <si>
    <t>Active Project</t>
  </si>
  <si>
    <t>Actual Cost</t>
  </si>
  <si>
    <t>Highrisk Project</t>
  </si>
  <si>
    <t>Completed Projects</t>
  </si>
  <si>
    <t>Total Contract Value</t>
  </si>
  <si>
    <t>Average Project Value</t>
  </si>
  <si>
    <t>Average Project Duration</t>
  </si>
  <si>
    <t>Tender Value USD</t>
  </si>
  <si>
    <t>Contract Value USD</t>
  </si>
  <si>
    <t>Cost Estimate USD</t>
  </si>
  <si>
    <t>Invoice Value USD</t>
  </si>
  <si>
    <t>Collected Amount USD</t>
  </si>
  <si>
    <t>Equipment Cost USD</t>
  </si>
  <si>
    <t>Material Cost USD</t>
  </si>
  <si>
    <t>Sum of Contract Value USD</t>
  </si>
  <si>
    <t>Sum of Invoice Value USD</t>
  </si>
  <si>
    <t>Sum of Collected Amount USD</t>
  </si>
  <si>
    <t xml:space="preserve">Stage </t>
  </si>
  <si>
    <t>Amount</t>
  </si>
  <si>
    <t>Total Tender Amount</t>
  </si>
  <si>
    <t>Total Collected Amount</t>
  </si>
  <si>
    <t>Conversion Rate</t>
  </si>
  <si>
    <t>Planned Budget</t>
  </si>
  <si>
    <t>Actual Spend</t>
  </si>
  <si>
    <t>Cost Varience</t>
  </si>
  <si>
    <t>Cost Utilization %</t>
  </si>
  <si>
    <t>OverHeadCost USD</t>
  </si>
  <si>
    <t>LaborCost USD</t>
  </si>
  <si>
    <t>MaterialCost USD</t>
  </si>
  <si>
    <t>EquipmentCost USD</t>
  </si>
  <si>
    <t>SubcontractorCost USD</t>
  </si>
  <si>
    <t>TravelCost USD</t>
  </si>
  <si>
    <t>MiscCost USD</t>
  </si>
  <si>
    <t>PlannedBudget USD</t>
  </si>
  <si>
    <t>ActualSpend USD</t>
  </si>
  <si>
    <t>Budget Varience</t>
  </si>
  <si>
    <t>Cost Utilization</t>
  </si>
  <si>
    <t>Sum of Tender Value USD</t>
  </si>
  <si>
    <t>T100005</t>
  </si>
  <si>
    <t>T100009</t>
  </si>
  <si>
    <t>T100038</t>
  </si>
  <si>
    <t>T100118</t>
  </si>
  <si>
    <t>T100192</t>
  </si>
  <si>
    <t>T100196</t>
  </si>
  <si>
    <t>T100214</t>
  </si>
  <si>
    <t>T100232</t>
  </si>
  <si>
    <t>T100305</t>
  </si>
  <si>
    <t>T100332</t>
  </si>
  <si>
    <t>T100349</t>
  </si>
  <si>
    <t>T100350</t>
  </si>
  <si>
    <t>T100446</t>
  </si>
  <si>
    <t>T100498</t>
  </si>
  <si>
    <t>T100511</t>
  </si>
  <si>
    <t>T100512</t>
  </si>
  <si>
    <t>T100531</t>
  </si>
  <si>
    <t>T100587</t>
  </si>
  <si>
    <t>T100771</t>
  </si>
  <si>
    <t>T100819</t>
  </si>
  <si>
    <t>T100836</t>
  </si>
  <si>
    <t>T100837</t>
  </si>
  <si>
    <t>T100855</t>
  </si>
  <si>
    <t>T100899</t>
  </si>
  <si>
    <t>T100934</t>
  </si>
  <si>
    <t>Sum of Budget</t>
  </si>
  <si>
    <t>over budget</t>
  </si>
  <si>
    <t>Profit</t>
  </si>
  <si>
    <t>Sum of Profit</t>
  </si>
  <si>
    <t>Sum of PlannedBudget USD</t>
  </si>
  <si>
    <t>Sum of ActualSpend USD</t>
  </si>
  <si>
    <t>Sum of CostVariance</t>
  </si>
  <si>
    <t>misc Cost</t>
  </si>
  <si>
    <t>Travel Cost</t>
  </si>
  <si>
    <t>Overhead Cost</t>
  </si>
  <si>
    <t>SubContractor Cost</t>
  </si>
  <si>
    <t>Total estimator</t>
  </si>
  <si>
    <t>Total Bids</t>
  </si>
  <si>
    <t>bids won</t>
  </si>
  <si>
    <t>total target</t>
  </si>
  <si>
    <t>overall win rate</t>
  </si>
  <si>
    <t>Overall Target Achievement</t>
  </si>
  <si>
    <t>Sum of WinRate</t>
  </si>
  <si>
    <t>Sum of BidsWon</t>
  </si>
  <si>
    <t>Q1 2025</t>
  </si>
  <si>
    <t>Q2 2025</t>
  </si>
  <si>
    <t>Q3 2025</t>
  </si>
  <si>
    <t>Q4 2025</t>
  </si>
  <si>
    <t>Q1 2026</t>
  </si>
  <si>
    <t>Sum of TotalBids</t>
  </si>
  <si>
    <t>Sum of AnnualTarget</t>
  </si>
  <si>
    <t>Total Achievements</t>
  </si>
  <si>
    <t>Sum of Total Achievements</t>
  </si>
  <si>
    <t>avg contract</t>
  </si>
  <si>
    <t>Target  Achievement %</t>
  </si>
  <si>
    <t>total achievements</t>
  </si>
  <si>
    <t>Bids Won</t>
  </si>
  <si>
    <t>Annual Target</t>
  </si>
  <si>
    <t>Sum of Q1_2025_Achieved</t>
  </si>
  <si>
    <t>Sum of Q2_2025_Achieved</t>
  </si>
  <si>
    <t>Sum of Q3_2025_Achieved</t>
  </si>
  <si>
    <t>Sum of Q4_2025_Achieved</t>
  </si>
  <si>
    <t>Sum of Q1_2026_Achieved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</si>
</sst>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409]#,##0.00"/>
    <numFmt numFmtId="165" formatCode="\$0.00,,,&quot;B&quot;"/>
    <numFmt numFmtId="166" formatCode="\$0.00,,&quot;M&quot;"/>
    <numFmt numFmtId="167" formatCode="0.00,,&quot;M&quot;"/>
    <numFmt numFmtId="168" formatCode="0.00,,,&quot;M&quot;"/>
    <numFmt numFmtId="169" formatCode="#,##0.0,,&quot;M&quot;"/>
    <numFmt numFmtId="170" formatCode="#,##0.00,,&quot;M&quot;"/>
    <numFmt numFmtId="171" formatCode="#,##\30.0,,&quot;M&quot;"/>
    <numFmt numFmtId="172" formatCode="\$#,##0.0,,&quot;M&quot;"/>
  </numFmts>
  <fonts count="11" x14ac:knownFonts="1">
    <font>
      <sz val="11"/>
      <color theme="1"/>
      <name val="Calibri"/>
      <family val="2"/>
      <scheme val="minor"/>
    </font>
    <font>
      <sz val="8"/>
      <name val="Calibri"/>
      <family val="2"/>
      <scheme val="minor"/>
    </font>
    <font>
      <b/>
      <sz val="10"/>
      <color rgb="FFFFFFFF"/>
      <name val="Arial"/>
    </font>
    <font>
      <sz val="9"/>
      <name val="Arial"/>
    </font>
    <font>
      <sz val="11"/>
      <color theme="1"/>
      <name val="Calibri"/>
      <family val="2"/>
      <scheme val="minor"/>
    </font>
    <font>
      <b/>
      <sz val="10"/>
      <color rgb="FFFFFFFF"/>
      <name val="Arial"/>
      <family val="2"/>
    </font>
    <font>
      <b/>
      <sz val="11"/>
      <color rgb="FFFFFFFF"/>
      <name val="Calibri"/>
      <family val="2"/>
    </font>
    <font>
      <b/>
      <sz val="16"/>
      <color theme="8" tint="-0.249977111117893"/>
      <name val="Times New Roman"/>
      <family val="1"/>
    </font>
    <font>
      <b/>
      <sz val="14"/>
      <color theme="8" tint="-0.249977111117893"/>
      <name val="Times New Roman"/>
      <family val="1"/>
    </font>
    <font>
      <b/>
      <sz val="11"/>
      <color theme="1"/>
      <name val="Calibri"/>
      <family val="2"/>
      <scheme val="minor"/>
    </font>
    <font>
      <sz val="9"/>
      <color theme="1"/>
      <name val="Calibri"/>
      <family val="2"/>
      <scheme val="minor"/>
    </font>
  </fonts>
  <fills count="12">
    <fill>
      <patternFill patternType="none"/>
    </fill>
    <fill>
      <patternFill patternType="gray125"/>
    </fill>
    <fill>
      <patternFill patternType="solid">
        <fgColor rgb="FF1F3864"/>
      </patternFill>
    </fill>
    <fill>
      <patternFill patternType="solid">
        <fgColor rgb="FFDCE6F1"/>
      </patternFill>
    </fill>
    <fill>
      <patternFill patternType="solid">
        <fgColor rgb="FF1F4E78"/>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rgb="FF9DC3E6"/>
        <bgColor indexed="64"/>
      </patternFill>
    </fill>
    <fill>
      <patternFill patternType="solid">
        <fgColor rgb="FF001B50"/>
        <bgColor indexed="64"/>
      </patternFill>
    </fill>
    <fill>
      <patternFill patternType="solid">
        <fgColor theme="0"/>
        <bgColor indexed="64"/>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2">
    <xf numFmtId="0" fontId="0" fillId="0" borderId="0"/>
    <xf numFmtId="9" fontId="4" fillId="0" borderId="0" applyFont="0" applyFill="0" applyBorder="0" applyAlignment="0" applyProtection="0"/>
  </cellStyleXfs>
  <cellXfs count="61">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0" fontId="2" fillId="2" borderId="0" xfId="0" applyFont="1" applyFill="1" applyAlignment="1">
      <alignment horizontal="center" vertical="center" wrapText="1"/>
    </xf>
    <xf numFmtId="0" fontId="3" fillId="3" borderId="0" xfId="0" applyFont="1" applyFill="1"/>
    <xf numFmtId="0" fontId="3" fillId="0" borderId="0" xfId="0" applyFont="1"/>
    <xf numFmtId="0" fontId="0" fillId="0" borderId="0" xfId="0" applyAlignment="1">
      <alignment horizontal="left" vertical="top"/>
    </xf>
    <xf numFmtId="14" fontId="0" fillId="0" borderId="0" xfId="0" applyNumberFormat="1"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xf>
    <xf numFmtId="2" fontId="0" fillId="0" borderId="0" xfId="0" applyNumberFormat="1" applyAlignment="1">
      <alignment horizontal="left" vertical="top"/>
    </xf>
    <xf numFmtId="0" fontId="5" fillId="2" borderId="0" xfId="0" applyFont="1" applyFill="1" applyAlignment="1">
      <alignment horizontal="center" vertical="center" wrapText="1"/>
    </xf>
    <xf numFmtId="0" fontId="0" fillId="0" borderId="1" xfId="0" applyBorder="1" applyAlignment="1">
      <alignment vertical="top" wrapText="1"/>
    </xf>
    <xf numFmtId="9" fontId="0" fillId="0" borderId="0" xfId="1" applyFont="1"/>
    <xf numFmtId="0" fontId="0" fillId="0" borderId="0" xfId="0" pivotButton="1"/>
    <xf numFmtId="0" fontId="0" fillId="0" borderId="0" xfId="0" applyAlignment="1">
      <alignment horizontal="left"/>
    </xf>
    <xf numFmtId="0" fontId="0" fillId="5" borderId="0" xfId="0" applyFill="1" applyAlignment="1">
      <alignment vertical="center"/>
    </xf>
    <xf numFmtId="0" fontId="0" fillId="5" borderId="0" xfId="0" applyFill="1"/>
    <xf numFmtId="0" fontId="6" fillId="4" borderId="1" xfId="0" applyFont="1" applyFill="1" applyBorder="1" applyAlignment="1">
      <alignment vertical="top" wrapText="1"/>
    </xf>
    <xf numFmtId="164" fontId="0" fillId="0" borderId="0" xfId="0" applyNumberFormat="1" applyAlignment="1">
      <alignment horizontal="left" vertical="top"/>
    </xf>
    <xf numFmtId="9" fontId="0" fillId="0" borderId="0" xfId="0" applyNumberFormat="1" applyAlignment="1">
      <alignment horizontal="left" vertical="top"/>
    </xf>
    <xf numFmtId="10" fontId="0" fillId="0" borderId="0" xfId="0" applyNumberFormat="1" applyAlignment="1">
      <alignment horizontal="left" vertical="top"/>
    </xf>
    <xf numFmtId="164" fontId="0" fillId="0" borderId="0" xfId="0" applyNumberFormat="1"/>
    <xf numFmtId="0" fontId="7" fillId="0" borderId="0" xfId="0" applyFont="1"/>
    <xf numFmtId="10" fontId="0" fillId="0" borderId="0" xfId="0" applyNumberFormat="1"/>
    <xf numFmtId="0" fontId="8" fillId="0" borderId="0" xfId="0" applyFont="1"/>
    <xf numFmtId="165" fontId="0" fillId="0" borderId="0" xfId="0" applyNumberFormat="1"/>
    <xf numFmtId="166" fontId="0" fillId="0" borderId="0" xfId="0" applyNumberFormat="1"/>
    <xf numFmtId="0" fontId="0" fillId="6" borderId="0" xfId="0" applyFill="1"/>
    <xf numFmtId="2" fontId="0" fillId="6" borderId="0" xfId="0" applyNumberFormat="1" applyFill="1"/>
    <xf numFmtId="165" fontId="0" fillId="6" borderId="0" xfId="0" applyNumberFormat="1" applyFill="1"/>
    <xf numFmtId="10" fontId="0" fillId="6" borderId="0" xfId="0" applyNumberFormat="1" applyFill="1"/>
    <xf numFmtId="167" fontId="0" fillId="0" borderId="0" xfId="0" applyNumberFormat="1"/>
    <xf numFmtId="168" fontId="0" fillId="0" borderId="0" xfId="0" applyNumberFormat="1"/>
    <xf numFmtId="0" fontId="0" fillId="0" borderId="0" xfId="0" applyAlignment="1">
      <alignment vertical="top"/>
    </xf>
    <xf numFmtId="164" fontId="0" fillId="0" borderId="0" xfId="0" applyNumberFormat="1" applyAlignment="1">
      <alignment vertical="top"/>
    </xf>
    <xf numFmtId="0" fontId="0" fillId="7" borderId="0" xfId="0" applyFill="1"/>
    <xf numFmtId="10" fontId="0" fillId="7" borderId="0" xfId="0" applyNumberFormat="1" applyFill="1"/>
    <xf numFmtId="167" fontId="0" fillId="6" borderId="0" xfId="0" applyNumberFormat="1" applyFill="1"/>
    <xf numFmtId="9" fontId="0" fillId="6" borderId="0" xfId="1" applyFont="1" applyFill="1"/>
    <xf numFmtId="169" fontId="0" fillId="0" borderId="0" xfId="0" applyNumberFormat="1"/>
    <xf numFmtId="170" fontId="0" fillId="0" borderId="0" xfId="0" applyNumberFormat="1"/>
    <xf numFmtId="0" fontId="9" fillId="8" borderId="0" xfId="0" applyFont="1" applyFill="1" applyAlignment="1">
      <alignment horizontal="left"/>
    </xf>
    <xf numFmtId="169" fontId="9" fillId="8" borderId="0" xfId="0" applyNumberFormat="1" applyFont="1" applyFill="1"/>
    <xf numFmtId="0" fontId="0" fillId="9" borderId="0" xfId="0" applyFill="1"/>
    <xf numFmtId="169" fontId="0" fillId="9" borderId="0" xfId="0" applyNumberFormat="1" applyFill="1"/>
    <xf numFmtId="9" fontId="0" fillId="9" borderId="0" xfId="1" applyFont="1" applyFill="1"/>
    <xf numFmtId="171" fontId="0" fillId="9" borderId="0" xfId="0" applyNumberFormat="1" applyFill="1"/>
    <xf numFmtId="170" fontId="0" fillId="9" borderId="0" xfId="0" applyNumberFormat="1" applyFill="1"/>
    <xf numFmtId="0" fontId="10" fillId="0" borderId="0" xfId="0" applyFont="1"/>
    <xf numFmtId="0" fontId="10" fillId="0" borderId="0" xfId="0" pivotButton="1" applyFont="1"/>
    <xf numFmtId="0" fontId="10" fillId="0" borderId="0" xfId="0" applyFont="1" applyAlignment="1">
      <alignment horizontal="left"/>
    </xf>
    <xf numFmtId="169" fontId="10" fillId="0" borderId="0" xfId="0" applyNumberFormat="1" applyFont="1"/>
    <xf numFmtId="0" fontId="0" fillId="10" borderId="0" xfId="0" applyFill="1"/>
    <xf numFmtId="0" fontId="0" fillId="10" borderId="0" xfId="0" applyFill="1" applyAlignment="1">
      <alignment horizontal="left"/>
    </xf>
    <xf numFmtId="170" fontId="0" fillId="10" borderId="0" xfId="0" applyNumberFormat="1" applyFill="1"/>
    <xf numFmtId="169" fontId="0" fillId="10" borderId="0" xfId="0" applyNumberFormat="1" applyFill="1"/>
    <xf numFmtId="0" fontId="0" fillId="11" borderId="0" xfId="0" applyFill="1"/>
    <xf numFmtId="172" fontId="0" fillId="0" borderId="0" xfId="0" applyNumberFormat="1"/>
  </cellXfs>
  <cellStyles count="2">
    <cellStyle name="Normal" xfId="0" builtinId="0"/>
    <cellStyle name="Percent" xfId="1" builtinId="5"/>
  </cellStyles>
  <dxfs count="281">
    <dxf>
      <fill>
        <patternFill patternType="solid">
          <fgColor rgb="FFFFC7CE"/>
        </patternFill>
      </fill>
    </dxf>
    <dxf>
      <numFmt numFmtId="170" formatCode="#,##0.00,,&quot;M&quot;"/>
    </dxf>
    <dxf>
      <numFmt numFmtId="169" formatCode="#,##0.0,,&quot;M&quot;"/>
    </dxf>
    <dxf>
      <alignment horizontal="center"/>
    </dxf>
    <dxf>
      <alignment vertical="center"/>
    </dxf>
    <dxf>
      <font>
        <sz val="9"/>
      </font>
    </dxf>
    <dxf>
      <font>
        <sz val="9"/>
      </font>
    </dxf>
    <dxf>
      <font>
        <sz val="9"/>
      </font>
    </dxf>
    <dxf>
      <font>
        <sz val="9"/>
      </font>
    </dxf>
    <dxf>
      <font>
        <sz val="9"/>
      </font>
    </dxf>
    <dxf>
      <font>
        <sz val="9"/>
      </font>
    </dxf>
    <dxf>
      <numFmt numFmtId="169" formatCode="#,##0.0,,&quot;M&quot;"/>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fill>
        <patternFill patternType="solid">
          <bgColor rgb="FF001B50"/>
        </patternFill>
      </fill>
    </dxf>
    <dxf>
      <numFmt numFmtId="169" formatCode="#,##0.0,,&quot;M&quot;"/>
    </dxf>
    <dxf>
      <numFmt numFmtId="170" formatCode="#,##0.00,,&quot;M&quot;"/>
    </dxf>
    <dxf>
      <numFmt numFmtId="169" formatCode="#,##0.0,,&quot;M&quot;"/>
    </dxf>
    <dxf>
      <numFmt numFmtId="170" formatCode="#,##0.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70" formatCode="#,##0.00,,&quot;M&quot;"/>
    </dxf>
    <dxf>
      <numFmt numFmtId="165"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70"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4" formatCode="[$$-409]#,##0.00"/>
      <alignment horizontal="left" vertical="top" textRotation="0" wrapText="0" indent="0" justifyLastLine="0" shrinkToFit="0" readingOrder="0"/>
    </dxf>
    <dxf>
      <numFmt numFmtId="1" formatCode="0"/>
      <alignment horizontal="left" vertical="top" textRotation="0" wrapText="0" indent="0" justifyLastLine="0" shrinkToFit="0" readingOrder="0"/>
    </dxf>
    <dxf>
      <numFmt numFmtId="14" formatCode="0.00%"/>
      <alignment horizontal="left" vertical="top" textRotation="0" wrapText="0" indent="0" justifyLastLine="0" shrinkToFit="0" readingOrder="0"/>
    </dxf>
    <dxf>
      <numFmt numFmtId="164" formatCode="[$$-409]#,##0.00"/>
      <alignment horizontal="left" vertical="top" textRotation="0" wrapText="0" indent="0" justifyLastLine="0" shrinkToFit="0" readingOrder="0"/>
    </dxf>
    <dxf>
      <numFmt numFmtId="164" formatCode="[$$-409]#,##0.00"/>
      <alignment horizontal="left" vertical="top" textRotation="0" wrapText="0" indent="0" justifyLastLine="0" shrinkToFit="0" readingOrder="0"/>
    </dxf>
    <dxf>
      <numFmt numFmtId="164" formatCode="[$$-409]#,##0.00"/>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64" formatCode="[$$-409]#,##0.00"/>
      <alignment horizontal="general" vertical="top" textRotation="0" wrapText="0" indent="0" justifyLastLine="0" shrinkToFit="0" readingOrder="0"/>
    </dxf>
    <dxf>
      <alignment horizontal="left" vertical="top" textRotation="0" wrapText="0" indent="0" justifyLastLine="0" shrinkToFit="0" readingOrder="0"/>
    </dxf>
    <dxf>
      <numFmt numFmtId="164" formatCode="[$$-409]#,##0.0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4" formatCode="[$$-409]#,##0.00"/>
      <alignment horizontal="left" vertical="top" textRotation="0" wrapText="0" indent="0" justifyLastLine="0" shrinkToFit="0" readingOrder="0"/>
    </dxf>
    <dxf>
      <alignment horizontal="left" vertical="top" textRotation="0" wrapText="0" indent="0" justifyLastLine="0" shrinkToFit="0" readingOrder="0"/>
    </dxf>
    <dxf>
      <numFmt numFmtId="164" formatCode="[$$-409]#,##0.00"/>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164" formatCode="[$$-409]#,##0.00"/>
      <alignment horizontal="left" vertical="top" textRotation="0" wrapText="0" indent="0" justifyLastLine="0" shrinkToFit="0" readingOrder="0"/>
    </dxf>
    <dxf>
      <alignment horizontal="left" vertical="top" textRotation="0" wrapText="0" indent="0" justifyLastLine="0" shrinkToFit="0" readingOrder="0"/>
    </dxf>
    <dxf>
      <numFmt numFmtId="164" formatCode="[$$-409]#,##0.00"/>
      <alignment horizontal="left" vertical="top" textRotation="0" wrapText="0" indent="0" justifyLastLine="0" shrinkToFit="0" readingOrder="0"/>
    </dxf>
    <dxf>
      <numFmt numFmtId="2" formatCode="0.00"/>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2" formatCode="0.00"/>
      <alignment horizontal="left" vertical="top" textRotation="0" wrapText="0" indent="0" justifyLastLine="0" shrinkToFit="0" readingOrder="0"/>
    </dxf>
    <dxf>
      <numFmt numFmtId="2" formatCode="0.00"/>
      <alignment horizontal="left" vertical="top" textRotation="0" wrapText="0" indent="0" justifyLastLine="0" shrinkToFit="0" readingOrder="0"/>
    </dxf>
    <dxf>
      <numFmt numFmtId="1" formatCode="0"/>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30" formatCode="@"/>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val="0"/>
        <i val="0"/>
        <strike val="0"/>
        <condense val="0"/>
        <extend val="0"/>
        <outline val="0"/>
        <shadow val="0"/>
        <u val="none"/>
        <vertAlign val="baseline"/>
        <sz val="9"/>
        <color auto="1"/>
        <name val="Arial"/>
        <scheme val="none"/>
      </font>
      <fill>
        <patternFill patternType="solid">
          <fgColor indexed="64"/>
          <bgColor rgb="FFDCE6F1"/>
        </patternFill>
      </fill>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i val="0"/>
        <sz val="12"/>
        <color rgb="FF002060"/>
        <name val="Times New Roman"/>
        <family val="1"/>
        <scheme val="none"/>
      </font>
    </dxf>
    <dxf>
      <fill>
        <patternFill>
          <bgColor theme="0" tint="-4.9989318521683403E-2"/>
        </patternFill>
      </fill>
    </dxf>
    <dxf>
      <font>
        <name val="Times New Roman"/>
        <family val="1"/>
        <scheme val="none"/>
      </font>
    </dxf>
  </dxfs>
  <tableStyles count="2" defaultTableStyle="TableStyleMedium2" defaultPivotStyle="PivotStyleLight16">
    <tableStyle name="Slicer Style 1" pivot="0" table="0" count="2" xr9:uid="{A7D919CC-32A4-4AA3-ADC4-9A2ED51B46F9}">
      <tableStyleElement type="wholeTable" dxfId="280"/>
    </tableStyle>
    <tableStyle name="Slicer Style 2" pivot="0" table="0" count="10" xr9:uid="{137AFAC6-8349-4C99-B684-0945DA498E58}">
      <tableStyleElement type="wholeTable" dxfId="279"/>
      <tableStyleElement type="headerRow" dxfId="278"/>
    </tableStyle>
  </tableStyles>
  <colors>
    <mruColors>
      <color rgb="FF001B50"/>
      <color rgb="FF163A5F"/>
      <color rgb="FF112E4B"/>
      <color rgb="FF112365"/>
      <color rgb="FF087E76"/>
      <color rgb="FF3104C2"/>
      <color rgb="FF9DC3E6"/>
      <color rgb="FFAEC7E6"/>
      <color rgb="FF430AFA"/>
      <color rgb="FF6A8ED0"/>
    </mruColors>
  </colors>
  <extLst>
    <ext xmlns:x14="http://schemas.microsoft.com/office/spreadsheetml/2009/9/main" uri="{46F421CA-312F-682f-3DD2-61675219B42D}">
      <x14:dxfs count="9">
        <dxf>
          <font>
            <b/>
            <i val="0"/>
            <color theme="0"/>
            <name val="Times New Roman"/>
            <family val="1"/>
            <scheme val="none"/>
          </font>
          <fill>
            <patternFill>
              <bgColor theme="8" tint="-0.24994659260841701"/>
            </patternFill>
          </fill>
        </dxf>
        <dxf>
          <font>
            <b/>
            <i val="0"/>
            <color theme="0"/>
            <name val="Times New Roman"/>
            <family val="1"/>
            <scheme val="none"/>
          </font>
          <fill>
            <patternFill>
              <bgColor theme="8" tint="-0.24994659260841701"/>
            </patternFill>
          </fill>
        </dxf>
        <dxf>
          <font>
            <b val="0"/>
            <i val="0"/>
            <color theme="0"/>
            <name val="Times New Roman"/>
            <family val="1"/>
            <scheme val="none"/>
          </font>
          <fill>
            <patternFill>
              <bgColor theme="8" tint="-0.24994659260841701"/>
            </patternFill>
          </fill>
        </dxf>
        <dxf>
          <font>
            <b/>
            <i val="0"/>
            <color theme="0"/>
            <name val="Times New Roman"/>
            <family val="1"/>
            <scheme val="none"/>
          </font>
          <fill>
            <patternFill>
              <bgColor theme="8" tint="-0.24994659260841701"/>
            </patternFill>
          </fill>
        </dxf>
        <dxf>
          <font>
            <b/>
            <i val="0"/>
            <color theme="0"/>
            <name val="Times New Roman"/>
            <family val="1"/>
            <scheme val="none"/>
          </font>
          <fill>
            <patternFill>
              <bgColor theme="8" tint="-0.24994659260841701"/>
            </patternFill>
          </fill>
        </dxf>
        <dxf>
          <font>
            <b/>
            <i val="0"/>
            <sz val="8"/>
            <color theme="0"/>
            <name val="Times New Roman"/>
            <family val="1"/>
            <scheme val="none"/>
          </font>
          <fill>
            <patternFill>
              <bgColor rgb="FF002060"/>
            </patternFill>
          </fill>
        </dxf>
        <dxf>
          <font>
            <b/>
            <i val="0"/>
            <color theme="0"/>
            <name val="Times New Roman"/>
            <family val="1"/>
            <scheme val="none"/>
          </font>
          <fill>
            <patternFill>
              <bgColor theme="8" tint="-0.24994659260841701"/>
            </patternFill>
          </fill>
        </dxf>
        <dxf>
          <font>
            <b val="0"/>
            <i val="0"/>
            <color theme="0"/>
            <name val="Times New Roman"/>
            <family val="1"/>
            <scheme val="none"/>
          </font>
          <fill>
            <patternFill>
              <bgColor theme="8" tint="-0.24994659260841701"/>
            </patternFill>
          </fill>
        </dxf>
        <dxf>
          <font>
            <color rgb="FF00206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42" Type="http://schemas.openxmlformats.org/officeDocument/2006/relationships/pivotCacheDefinition" Target="pivotCache/pivotCacheDefinition20.xml"/><Relationship Id="rId47" Type="http://schemas.openxmlformats.org/officeDocument/2006/relationships/pivotCacheDefinition" Target="pivotCache/pivotCacheDefinition25.xml"/><Relationship Id="rId63" Type="http://schemas.microsoft.com/office/2007/relationships/slicerCache" Target="slicerCaches/slicerCache5.xml"/><Relationship Id="rId68" Type="http://schemas.microsoft.com/office/2007/relationships/slicerCache" Target="slicerCaches/slicerCache10.xml"/><Relationship Id="rId84" Type="http://schemas.openxmlformats.org/officeDocument/2006/relationships/customXml" Target="../customXml/item5.xml"/><Relationship Id="rId89" Type="http://schemas.openxmlformats.org/officeDocument/2006/relationships/customXml" Target="../customXml/item1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0.xml"/><Relationship Id="rId37" Type="http://schemas.openxmlformats.org/officeDocument/2006/relationships/pivotCacheDefinition" Target="pivotCache/pivotCacheDefinition15.xml"/><Relationship Id="rId53" Type="http://schemas.openxmlformats.org/officeDocument/2006/relationships/pivotCacheDefinition" Target="pivotCache/pivotCacheDefinition31.xml"/><Relationship Id="rId58" Type="http://schemas.openxmlformats.org/officeDocument/2006/relationships/pivotCacheDefinition" Target="pivotCache/pivotCacheDefinition36.xml"/><Relationship Id="rId74" Type="http://schemas.openxmlformats.org/officeDocument/2006/relationships/connections" Target="connections.xml"/><Relationship Id="rId79"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customXml" Target="../customXml/item11.xml"/><Relationship Id="rId95" Type="http://schemas.openxmlformats.org/officeDocument/2006/relationships/customXml" Target="../customXml/item16.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43" Type="http://schemas.openxmlformats.org/officeDocument/2006/relationships/pivotCacheDefinition" Target="pivotCache/pivotCacheDefinition21.xml"/><Relationship Id="rId48" Type="http://schemas.openxmlformats.org/officeDocument/2006/relationships/pivotCacheDefinition" Target="pivotCache/pivotCacheDefinition26.xml"/><Relationship Id="rId64" Type="http://schemas.microsoft.com/office/2007/relationships/slicerCache" Target="slicerCaches/slicerCache6.xml"/><Relationship Id="rId69" Type="http://schemas.microsoft.com/office/2007/relationships/slicerCache" Target="slicerCaches/slicerCache11.xml"/><Relationship Id="rId80" Type="http://schemas.openxmlformats.org/officeDocument/2006/relationships/customXml" Target="../customXml/item1.xml"/><Relationship Id="rId85"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pivotCacheDefinition" Target="pivotCache/pivotCacheDefinition16.xml"/><Relationship Id="rId46" Type="http://schemas.openxmlformats.org/officeDocument/2006/relationships/pivotCacheDefinition" Target="pivotCache/pivotCacheDefinition24.xml"/><Relationship Id="rId59" Type="http://schemas.microsoft.com/office/2007/relationships/slicerCache" Target="slicerCaches/slicerCache1.xml"/><Relationship Id="rId67" Type="http://schemas.microsoft.com/office/2007/relationships/slicerCache" Target="slicerCaches/slicerCache9.xml"/><Relationship Id="rId20" Type="http://schemas.openxmlformats.org/officeDocument/2006/relationships/worksheet" Target="worksheets/sheet20.xml"/><Relationship Id="rId41" Type="http://schemas.openxmlformats.org/officeDocument/2006/relationships/pivotCacheDefinition" Target="pivotCache/pivotCacheDefinition19.xml"/><Relationship Id="rId54" Type="http://schemas.openxmlformats.org/officeDocument/2006/relationships/pivotCacheDefinition" Target="pivotCache/pivotCacheDefinition32.xml"/><Relationship Id="rId62" Type="http://schemas.microsoft.com/office/2007/relationships/slicerCache" Target="slicerCaches/slicerCache4.xml"/><Relationship Id="rId70" Type="http://schemas.microsoft.com/office/2007/relationships/slicerCache" Target="slicerCaches/slicerCache12.xml"/><Relationship Id="rId75" Type="http://schemas.openxmlformats.org/officeDocument/2006/relationships/styles" Target="styles.xml"/><Relationship Id="rId83" Type="http://schemas.openxmlformats.org/officeDocument/2006/relationships/customXml" Target="../customXml/item4.xml"/><Relationship Id="rId88" Type="http://schemas.openxmlformats.org/officeDocument/2006/relationships/customXml" Target="../customXml/item9.xml"/><Relationship Id="rId91" Type="http://schemas.openxmlformats.org/officeDocument/2006/relationships/customXml" Target="../customXml/item12.xml"/><Relationship Id="rId96"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pivotCacheDefinition" Target="pivotCache/pivotCacheDefinition14.xml"/><Relationship Id="rId49" Type="http://schemas.openxmlformats.org/officeDocument/2006/relationships/pivotCacheDefinition" Target="pivotCache/pivotCacheDefinition27.xml"/><Relationship Id="rId57" Type="http://schemas.openxmlformats.org/officeDocument/2006/relationships/pivotCacheDefinition" Target="pivotCache/pivotCacheDefinition35.xml"/><Relationship Id="rId10" Type="http://schemas.openxmlformats.org/officeDocument/2006/relationships/worksheet" Target="worksheets/sheet10.xml"/><Relationship Id="rId31" Type="http://schemas.openxmlformats.org/officeDocument/2006/relationships/pivotCacheDefinition" Target="pivotCache/pivotCacheDefinition9.xml"/><Relationship Id="rId44" Type="http://schemas.openxmlformats.org/officeDocument/2006/relationships/pivotCacheDefinition" Target="pivotCache/pivotCacheDefinition22.xml"/><Relationship Id="rId52" Type="http://schemas.openxmlformats.org/officeDocument/2006/relationships/pivotCacheDefinition" Target="pivotCache/pivotCacheDefinition30.xml"/><Relationship Id="rId60" Type="http://schemas.microsoft.com/office/2007/relationships/slicerCache" Target="slicerCaches/slicerCache2.xml"/><Relationship Id="rId65" Type="http://schemas.microsoft.com/office/2007/relationships/slicerCache" Target="slicerCaches/slicerCache7.xml"/><Relationship Id="rId73" Type="http://schemas.openxmlformats.org/officeDocument/2006/relationships/theme" Target="theme/theme1.xml"/><Relationship Id="rId78" Type="http://schemas.openxmlformats.org/officeDocument/2006/relationships/powerPivotData" Target="model/item.data"/><Relationship Id="rId81" Type="http://schemas.openxmlformats.org/officeDocument/2006/relationships/customXml" Target="../customXml/item2.xml"/><Relationship Id="rId86" Type="http://schemas.openxmlformats.org/officeDocument/2006/relationships/customXml" Target="../customXml/item7.xml"/><Relationship Id="rId94" Type="http://schemas.openxmlformats.org/officeDocument/2006/relationships/customXml" Target="../customXml/item15.xml"/><Relationship Id="rId99"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7.xml"/><Relationship Id="rId34" Type="http://schemas.openxmlformats.org/officeDocument/2006/relationships/pivotCacheDefinition" Target="pivotCache/pivotCacheDefinition12.xml"/><Relationship Id="rId50" Type="http://schemas.openxmlformats.org/officeDocument/2006/relationships/pivotCacheDefinition" Target="pivotCache/pivotCacheDefinition28.xml"/><Relationship Id="rId55" Type="http://schemas.openxmlformats.org/officeDocument/2006/relationships/pivotCacheDefinition" Target="pivotCache/pivotCacheDefinition33.xml"/><Relationship Id="rId76" Type="http://schemas.openxmlformats.org/officeDocument/2006/relationships/sharedStrings" Target="sharedStrings.xml"/><Relationship Id="rId97" Type="http://schemas.openxmlformats.org/officeDocument/2006/relationships/customXml" Target="../customXml/item18.xml"/><Relationship Id="rId7" Type="http://schemas.openxmlformats.org/officeDocument/2006/relationships/worksheet" Target="worksheets/sheet7.xml"/><Relationship Id="rId71" Type="http://schemas.microsoft.com/office/2007/relationships/slicerCache" Target="slicerCaches/slicerCache13.xml"/><Relationship Id="rId92" Type="http://schemas.openxmlformats.org/officeDocument/2006/relationships/customXml" Target="../customXml/item13.xml"/><Relationship Id="rId2" Type="http://schemas.openxmlformats.org/officeDocument/2006/relationships/worksheet" Target="worksheets/sheet2.xml"/><Relationship Id="rId29" Type="http://schemas.openxmlformats.org/officeDocument/2006/relationships/pivotCacheDefinition" Target="pivotCache/pivotCacheDefinition7.xml"/><Relationship Id="rId24" Type="http://schemas.openxmlformats.org/officeDocument/2006/relationships/pivotCacheDefinition" Target="pivotCache/pivotCacheDefinition2.xml"/><Relationship Id="rId40" Type="http://schemas.openxmlformats.org/officeDocument/2006/relationships/pivotCacheDefinition" Target="pivotCache/pivotCacheDefinition18.xml"/><Relationship Id="rId45" Type="http://schemas.openxmlformats.org/officeDocument/2006/relationships/pivotCacheDefinition" Target="pivotCache/pivotCacheDefinition23.xml"/><Relationship Id="rId66" Type="http://schemas.microsoft.com/office/2007/relationships/slicerCache" Target="slicerCaches/slicerCache8.xml"/><Relationship Id="rId87" Type="http://schemas.openxmlformats.org/officeDocument/2006/relationships/customXml" Target="../customXml/item8.xml"/><Relationship Id="rId61" Type="http://schemas.microsoft.com/office/2007/relationships/slicerCache" Target="slicerCaches/slicerCache3.xml"/><Relationship Id="rId8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56" Type="http://schemas.openxmlformats.org/officeDocument/2006/relationships/pivotCacheDefinition" Target="pivotCache/pivotCacheDefinition34.xml"/><Relationship Id="rId77" Type="http://schemas.openxmlformats.org/officeDocument/2006/relationships/sheetMetadata" Target="metadata.xml"/><Relationship Id="rId100"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pivotCacheDefinition" Target="pivotCache/pivotCacheDefinition29.xml"/><Relationship Id="rId72" Type="http://schemas.microsoft.com/office/2007/relationships/slicerCache" Target="slicerCaches/slicerCache14.xml"/><Relationship Id="rId93" Type="http://schemas.openxmlformats.org/officeDocument/2006/relationships/customXml" Target="../customXml/item14.xml"/><Relationship Id="rId9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[Shifana_Project_DataGUC.xlsx]Sales_Analysis!Sales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002060"/>
                </a:solidFill>
                <a:latin typeface="Times New Roman" panose="02020603050405020304" pitchFamily="18" charset="0"/>
                <a:cs typeface="Times New Roman" panose="02020603050405020304" pitchFamily="18" charset="0"/>
              </a:rPr>
              <a:t>Sales Trend</a:t>
            </a:r>
          </a:p>
        </c:rich>
      </c:tx>
      <c:layout>
        <c:manualLayout>
          <c:xMode val="edge"/>
          <c:yMode val="edge"/>
          <c:x val="0.36732633420822397"/>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7.7150762219931751E-2"/>
              <c:y val="4.87585088427239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4.9423024708119432E-3"/>
              <c:y val="-6.1406559195873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3.4528011584758801E-3"/>
              <c:y val="-2.34274737739801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8.0212903186917178E-2"/>
              <c:y val="4.45213945911067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6.9679138260486925E-2"/>
              <c:y val="5.72327373459583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7.6396506471173867E-2"/>
              <c:y val="-4.97155915447478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9.6443117024165078E-3"/>
              <c:y val="6.05019995528950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5.8031722327812577E-2"/>
              <c:y val="-8.67114599634036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6.8261607385283835E-2"/>
              <c:y val="-6.04233421926360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2.0675400488732013E-2"/>
              <c:y val="-6.5680965746789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5.5158159109421692E-2"/>
              <c:y val="6.05019995528950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6919222509775"/>
          <c:y val="0.14010282776349617"/>
          <c:w val="0.82349815538791904"/>
          <c:h val="0.76644535756937837"/>
        </c:manualLayout>
      </c:layout>
      <c:lineChart>
        <c:grouping val="standard"/>
        <c:varyColors val="0"/>
        <c:ser>
          <c:idx val="0"/>
          <c:order val="0"/>
          <c:tx>
            <c:strRef>
              <c:f>Sales_Analysis!$I$3</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1"/>
                </a:solidFill>
              </a:ln>
              <a:effectLst/>
            </c:spPr>
          </c:marker>
          <c:dPt>
            <c:idx val="0"/>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A-6641-43FD-986F-36614833AFCA}"/>
              </c:ext>
            </c:extLst>
          </c:dPt>
          <c:dPt>
            <c:idx val="1"/>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2-5143-4A7B-90AD-E270D0DCE8C8}"/>
              </c:ext>
            </c:extLst>
          </c:dPt>
          <c:dPt>
            <c:idx val="2"/>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3-5143-4A7B-90AD-E270D0DCE8C8}"/>
              </c:ext>
            </c:extLst>
          </c:dPt>
          <c:dPt>
            <c:idx val="3"/>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5-5143-4A7B-90AD-E270D0DCE8C8}"/>
              </c:ext>
            </c:extLst>
          </c:dPt>
          <c:dPt>
            <c:idx val="4"/>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9-6641-43FD-986F-36614833AFCA}"/>
              </c:ext>
            </c:extLst>
          </c:dPt>
          <c:dPt>
            <c:idx val="5"/>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4-5143-4A7B-90AD-E270D0DCE8C8}"/>
              </c:ext>
            </c:extLst>
          </c:dPt>
          <c:dPt>
            <c:idx val="6"/>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8-6641-43FD-986F-36614833AFCA}"/>
              </c:ext>
            </c:extLst>
          </c:dPt>
          <c:dPt>
            <c:idx val="7"/>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7-6641-43FD-986F-36614833AFCA}"/>
              </c:ext>
            </c:extLst>
          </c:dPt>
          <c:dPt>
            <c:idx val="8"/>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0-5143-4A7B-90AD-E270D0DCE8C8}"/>
              </c:ext>
            </c:extLst>
          </c:dPt>
          <c:dPt>
            <c:idx val="10"/>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1-5143-4A7B-90AD-E270D0DCE8C8}"/>
              </c:ext>
            </c:extLst>
          </c:dPt>
          <c:dPt>
            <c:idx val="11"/>
            <c:marker>
              <c:symbol val="circle"/>
              <c:size val="5"/>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6-6641-43FD-986F-36614833AFCA}"/>
              </c:ext>
            </c:extLst>
          </c:dPt>
          <c:dLbls>
            <c:dLbl>
              <c:idx val="0"/>
              <c:layout>
                <c:manualLayout>
                  <c:x val="-5.5158159109421692E-2"/>
                  <c:y val="6.05019995528950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41-43FD-986F-36614833AFCA}"/>
                </c:ext>
              </c:extLst>
            </c:dLbl>
            <c:dLbl>
              <c:idx val="1"/>
              <c:layout>
                <c:manualLayout>
                  <c:x val="3.4528011584758801E-3"/>
                  <c:y val="-2.34274737739801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43-4A7B-90AD-E270D0DCE8C8}"/>
                </c:ext>
              </c:extLst>
            </c:dLbl>
            <c:dLbl>
              <c:idx val="2"/>
              <c:layout>
                <c:manualLayout>
                  <c:x val="-8.0212903186917178E-2"/>
                  <c:y val="4.4521394591106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43-4A7B-90AD-E270D0DCE8C8}"/>
                </c:ext>
              </c:extLst>
            </c:dLbl>
            <c:dLbl>
              <c:idx val="3"/>
              <c:layout>
                <c:manualLayout>
                  <c:x val="-7.6396506471173867E-2"/>
                  <c:y val="-4.9715591544747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43-4A7B-90AD-E270D0DCE8C8}"/>
                </c:ext>
              </c:extLst>
            </c:dLbl>
            <c:dLbl>
              <c:idx val="4"/>
              <c:layout>
                <c:manualLayout>
                  <c:x val="-2.0675400488732013E-2"/>
                  <c:y val="-6.56809657467895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41-43FD-986F-36614833AFCA}"/>
                </c:ext>
              </c:extLst>
            </c:dLbl>
            <c:dLbl>
              <c:idx val="5"/>
              <c:layout>
                <c:manualLayout>
                  <c:x val="-6.9679138260486925E-2"/>
                  <c:y val="5.72327373459583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43-4A7B-90AD-E270D0DCE8C8}"/>
                </c:ext>
              </c:extLst>
            </c:dLbl>
            <c:dLbl>
              <c:idx val="6"/>
              <c:layout>
                <c:manualLayout>
                  <c:x val="-6.8261607385283835E-2"/>
                  <c:y val="-6.04233421926360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41-43FD-986F-36614833AFCA}"/>
                </c:ext>
              </c:extLst>
            </c:dLbl>
            <c:dLbl>
              <c:idx val="7"/>
              <c:layout>
                <c:manualLayout>
                  <c:x val="-5.8031722327812577E-2"/>
                  <c:y val="-8.6711459963403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41-43FD-986F-36614833AFCA}"/>
                </c:ext>
              </c:extLst>
            </c:dLbl>
            <c:dLbl>
              <c:idx val="8"/>
              <c:layout>
                <c:manualLayout>
                  <c:x val="-7.7150762219931751E-2"/>
                  <c:y val="4.8758508842723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43-4A7B-90AD-E270D0DCE8C8}"/>
                </c:ext>
              </c:extLst>
            </c:dLbl>
            <c:dLbl>
              <c:idx val="10"/>
              <c:layout>
                <c:manualLayout>
                  <c:x val="-4.9423024708119432E-3"/>
                  <c:y val="-6.14065591958733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43-4A7B-90AD-E270D0DCE8C8}"/>
                </c:ext>
              </c:extLst>
            </c:dLbl>
            <c:dLbl>
              <c:idx val="11"/>
              <c:layout>
                <c:manualLayout>
                  <c:x val="-9.6443117024165078E-3"/>
                  <c:y val="6.05019995528950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41-43FD-986F-36614833AF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Sales_Analysis!$I$4:$I$16</c:f>
              <c:numCache>
                <c:formatCode>#,##0.0,,"M"</c:formatCode>
                <c:ptCount val="12"/>
                <c:pt idx="0">
                  <c:v>1849801361.6817997</c:v>
                </c:pt>
                <c:pt idx="1">
                  <c:v>2099169088.7881148</c:v>
                </c:pt>
                <c:pt idx="2">
                  <c:v>1011750532.8369052</c:v>
                </c:pt>
                <c:pt idx="3">
                  <c:v>1372220243.0399828</c:v>
                </c:pt>
                <c:pt idx="4">
                  <c:v>1280819493.0247164</c:v>
                </c:pt>
                <c:pt idx="5">
                  <c:v>1014304556.799384</c:v>
                </c:pt>
                <c:pt idx="6">
                  <c:v>999364827.29480588</c:v>
                </c:pt>
                <c:pt idx="7">
                  <c:v>1096257272.89324</c:v>
                </c:pt>
                <c:pt idx="8">
                  <c:v>1013005825.9202739</c:v>
                </c:pt>
                <c:pt idx="9">
                  <c:v>1107272997.1571059</c:v>
                </c:pt>
                <c:pt idx="10">
                  <c:v>995182783.94408798</c:v>
                </c:pt>
                <c:pt idx="11">
                  <c:v>810416636.50902319</c:v>
                </c:pt>
              </c:numCache>
            </c:numRef>
          </c:val>
          <c:smooth val="0"/>
          <c:extLst>
            <c:ext xmlns:c16="http://schemas.microsoft.com/office/drawing/2014/chart" uri="{C3380CC4-5D6E-409C-BE32-E72D297353CC}">
              <c16:uniqueId val="{00000000-F94B-40C9-B004-00C44B32B763}"/>
            </c:ext>
          </c:extLst>
        </c:ser>
        <c:dLbls>
          <c:dLblPos val="t"/>
          <c:showLegendKey val="0"/>
          <c:showVal val="1"/>
          <c:showCatName val="0"/>
          <c:showSerName val="0"/>
          <c:showPercent val="0"/>
          <c:showBubbleSize val="0"/>
        </c:dLbls>
        <c:marker val="1"/>
        <c:smooth val="0"/>
        <c:axId val="1964617919"/>
        <c:axId val="1445924175"/>
      </c:lineChart>
      <c:catAx>
        <c:axId val="19646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445924175"/>
        <c:crosses val="autoZero"/>
        <c:auto val="1"/>
        <c:lblAlgn val="ctr"/>
        <c:lblOffset val="100"/>
        <c:noMultiLvlLbl val="0"/>
      </c:catAx>
      <c:valAx>
        <c:axId val="1445924175"/>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96461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[Shifana_Project_DataGUC.xlsx]Sales_Analysis!Invoice Vs Collected</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baseline="0">
                <a:solidFill>
                  <a:srgbClr val="002060"/>
                </a:solidFill>
                <a:latin typeface="Times New Roman" panose="02020603050405020304" pitchFamily="18" charset="0"/>
                <a:cs typeface="Times New Roman" panose="02020603050405020304" pitchFamily="18" charset="0"/>
              </a:rPr>
              <a:t>Invoice Vs Collected</a:t>
            </a:r>
            <a:endParaRPr lang="en-IN" sz="1600" b="1"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8713959366190339"/>
          <c:y val="5.1726373186402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6907261592302"/>
          <c:y val="0.19795523440925816"/>
          <c:w val="0.81027291727422968"/>
          <c:h val="0.50065683583445197"/>
        </c:manualLayout>
      </c:layout>
      <c:barChart>
        <c:barDir val="col"/>
        <c:grouping val="clustered"/>
        <c:varyColors val="0"/>
        <c:ser>
          <c:idx val="0"/>
          <c:order val="0"/>
          <c:tx>
            <c:strRef>
              <c:f>Sales_Analysis!$L$3</c:f>
              <c:strCache>
                <c:ptCount val="1"/>
                <c:pt idx="0">
                  <c:v>Sum of Invoice Value USD</c:v>
                </c:pt>
              </c:strCache>
            </c:strRef>
          </c:tx>
          <c:spPr>
            <a:solidFill>
              <a:srgbClr val="002060"/>
            </a:solidFill>
            <a:ln>
              <a:noFill/>
            </a:ln>
            <a:effectLst/>
          </c:spPr>
          <c:invertIfNegative val="0"/>
          <c:cat>
            <c:strRef>
              <c:f>Sales_Analysis!$K$4:$K$25</c:f>
              <c:strCache>
                <c:ptCount val="21"/>
                <c:pt idx="0">
                  <c:v>Marina Development</c:v>
                </c:pt>
                <c:pt idx="1">
                  <c:v>Tunnel Project</c:v>
                </c:pt>
                <c:pt idx="2">
                  <c:v>Data Center Build</c:v>
                </c:pt>
                <c:pt idx="3">
                  <c:v>Airport Terminal 3</c:v>
                </c:pt>
                <c:pt idx="4">
                  <c:v>Desalination Plant</c:v>
                </c:pt>
                <c:pt idx="5">
                  <c:v>Solar Farm Phase 2</c:v>
                </c:pt>
                <c:pt idx="6">
                  <c:v>Bridge Overhaul</c:v>
                </c:pt>
                <c:pt idx="7">
                  <c:v>Stadium Renovation</c:v>
                </c:pt>
                <c:pt idx="8">
                  <c:v>Hospital Complex</c:v>
                </c:pt>
                <c:pt idx="9">
                  <c:v>HQ Tower</c:v>
                </c:pt>
                <c:pt idx="10">
                  <c:v>Industrial Park</c:v>
                </c:pt>
                <c:pt idx="11">
                  <c:v>Offshore Platform</c:v>
                </c:pt>
                <c:pt idx="12">
                  <c:v>Plant Upgrade</c:v>
                </c:pt>
                <c:pt idx="13">
                  <c:v>Rail Network Upgrade</c:v>
                </c:pt>
                <c:pt idx="14">
                  <c:v>Unknown</c:v>
                </c:pt>
                <c:pt idx="15">
                  <c:v>Smart City Hub</c:v>
                </c:pt>
                <c:pt idx="16">
                  <c:v>Oil Refinery Unit</c:v>
                </c:pt>
                <c:pt idx="17">
                  <c:v>Water Treatment Plant</c:v>
                </c:pt>
                <c:pt idx="18">
                  <c:v>Residential Complex</c:v>
                </c:pt>
                <c:pt idx="19">
                  <c:v>Highway</c:v>
                </c:pt>
                <c:pt idx="20">
                  <c:v>Metro Line Extension</c:v>
                </c:pt>
              </c:strCache>
            </c:strRef>
          </c:cat>
          <c:val>
            <c:numRef>
              <c:f>Sales_Analysis!$L$4:$L$25</c:f>
              <c:numCache>
                <c:formatCode>#,##0.0,,"M"</c:formatCode>
                <c:ptCount val="21"/>
                <c:pt idx="0">
                  <c:v>395287294.05400789</c:v>
                </c:pt>
                <c:pt idx="1">
                  <c:v>383441284.65328902</c:v>
                </c:pt>
                <c:pt idx="2">
                  <c:v>377920314.22974896</c:v>
                </c:pt>
                <c:pt idx="3">
                  <c:v>377513862.74001396</c:v>
                </c:pt>
                <c:pt idx="4">
                  <c:v>371091555.39510798</c:v>
                </c:pt>
                <c:pt idx="5">
                  <c:v>364944829.9301911</c:v>
                </c:pt>
                <c:pt idx="6">
                  <c:v>358824747.84836996</c:v>
                </c:pt>
                <c:pt idx="7">
                  <c:v>354989861.44563699</c:v>
                </c:pt>
                <c:pt idx="8">
                  <c:v>353094577.003874</c:v>
                </c:pt>
                <c:pt idx="9">
                  <c:v>352808432.25024593</c:v>
                </c:pt>
                <c:pt idx="10">
                  <c:v>341025785.22109801</c:v>
                </c:pt>
                <c:pt idx="11">
                  <c:v>339314035.27905291</c:v>
                </c:pt>
                <c:pt idx="12">
                  <c:v>315802219.25011504</c:v>
                </c:pt>
                <c:pt idx="13">
                  <c:v>311771966.44656706</c:v>
                </c:pt>
                <c:pt idx="14">
                  <c:v>311575009.58753008</c:v>
                </c:pt>
                <c:pt idx="15">
                  <c:v>303044407.50530905</c:v>
                </c:pt>
                <c:pt idx="16">
                  <c:v>291401865.82575202</c:v>
                </c:pt>
                <c:pt idx="17">
                  <c:v>280743722.87639296</c:v>
                </c:pt>
                <c:pt idx="18">
                  <c:v>279739881.09280801</c:v>
                </c:pt>
                <c:pt idx="19">
                  <c:v>268893700.14209396</c:v>
                </c:pt>
                <c:pt idx="20">
                  <c:v>252946656.17223006</c:v>
                </c:pt>
              </c:numCache>
            </c:numRef>
          </c:val>
          <c:extLst>
            <c:ext xmlns:c16="http://schemas.microsoft.com/office/drawing/2014/chart" uri="{C3380CC4-5D6E-409C-BE32-E72D297353CC}">
              <c16:uniqueId val="{00000000-B4E1-4AB6-94AA-17B8F72F4295}"/>
            </c:ext>
          </c:extLst>
        </c:ser>
        <c:ser>
          <c:idx val="1"/>
          <c:order val="1"/>
          <c:tx>
            <c:strRef>
              <c:f>Sales_Analysis!$M$3</c:f>
              <c:strCache>
                <c:ptCount val="1"/>
                <c:pt idx="0">
                  <c:v>Sum of Collected Amount USD</c:v>
                </c:pt>
              </c:strCache>
            </c:strRef>
          </c:tx>
          <c:spPr>
            <a:solidFill>
              <a:srgbClr val="00B0F0"/>
            </a:solidFill>
            <a:ln>
              <a:noFill/>
            </a:ln>
            <a:effectLst/>
          </c:spPr>
          <c:invertIfNegative val="0"/>
          <c:cat>
            <c:strRef>
              <c:f>Sales_Analysis!$K$4:$K$25</c:f>
              <c:strCache>
                <c:ptCount val="21"/>
                <c:pt idx="0">
                  <c:v>Marina Development</c:v>
                </c:pt>
                <c:pt idx="1">
                  <c:v>Tunnel Project</c:v>
                </c:pt>
                <c:pt idx="2">
                  <c:v>Data Center Build</c:v>
                </c:pt>
                <c:pt idx="3">
                  <c:v>Airport Terminal 3</c:v>
                </c:pt>
                <c:pt idx="4">
                  <c:v>Desalination Plant</c:v>
                </c:pt>
                <c:pt idx="5">
                  <c:v>Solar Farm Phase 2</c:v>
                </c:pt>
                <c:pt idx="6">
                  <c:v>Bridge Overhaul</c:v>
                </c:pt>
                <c:pt idx="7">
                  <c:v>Stadium Renovation</c:v>
                </c:pt>
                <c:pt idx="8">
                  <c:v>Hospital Complex</c:v>
                </c:pt>
                <c:pt idx="9">
                  <c:v>HQ Tower</c:v>
                </c:pt>
                <c:pt idx="10">
                  <c:v>Industrial Park</c:v>
                </c:pt>
                <c:pt idx="11">
                  <c:v>Offshore Platform</c:v>
                </c:pt>
                <c:pt idx="12">
                  <c:v>Plant Upgrade</c:v>
                </c:pt>
                <c:pt idx="13">
                  <c:v>Rail Network Upgrade</c:v>
                </c:pt>
                <c:pt idx="14">
                  <c:v>Unknown</c:v>
                </c:pt>
                <c:pt idx="15">
                  <c:v>Smart City Hub</c:v>
                </c:pt>
                <c:pt idx="16">
                  <c:v>Oil Refinery Unit</c:v>
                </c:pt>
                <c:pt idx="17">
                  <c:v>Water Treatment Plant</c:v>
                </c:pt>
                <c:pt idx="18">
                  <c:v>Residential Complex</c:v>
                </c:pt>
                <c:pt idx="19">
                  <c:v>Highway</c:v>
                </c:pt>
                <c:pt idx="20">
                  <c:v>Metro Line Extension</c:v>
                </c:pt>
              </c:strCache>
            </c:strRef>
          </c:cat>
          <c:val>
            <c:numRef>
              <c:f>Sales_Analysis!$M$4:$M$25</c:f>
              <c:numCache>
                <c:formatCode>#,##0.0,,"M"</c:formatCode>
                <c:ptCount val="21"/>
                <c:pt idx="0">
                  <c:v>248890008.25728503</c:v>
                </c:pt>
                <c:pt idx="1">
                  <c:v>302282357.49044001</c:v>
                </c:pt>
                <c:pt idx="2">
                  <c:v>268952025.30733502</c:v>
                </c:pt>
                <c:pt idx="3">
                  <c:v>263971567.98483801</c:v>
                </c:pt>
                <c:pt idx="4">
                  <c:v>247810353.445714</c:v>
                </c:pt>
                <c:pt idx="5">
                  <c:v>300521877.48193997</c:v>
                </c:pt>
                <c:pt idx="6">
                  <c:v>244843158.21167099</c:v>
                </c:pt>
                <c:pt idx="7">
                  <c:v>262257900.72612792</c:v>
                </c:pt>
                <c:pt idx="8">
                  <c:v>238447950.39536497</c:v>
                </c:pt>
                <c:pt idx="9">
                  <c:v>241625138.15856695</c:v>
                </c:pt>
                <c:pt idx="10">
                  <c:v>236131180.75668201</c:v>
                </c:pt>
                <c:pt idx="11">
                  <c:v>236481676.62504598</c:v>
                </c:pt>
                <c:pt idx="12">
                  <c:v>223878419.96578297</c:v>
                </c:pt>
                <c:pt idx="13">
                  <c:v>223247654.81233498</c:v>
                </c:pt>
                <c:pt idx="14">
                  <c:v>202647508.35975704</c:v>
                </c:pt>
                <c:pt idx="15">
                  <c:v>197244066.01227796</c:v>
                </c:pt>
                <c:pt idx="16">
                  <c:v>188140654.47578895</c:v>
                </c:pt>
                <c:pt idx="17">
                  <c:v>192792654.15587205</c:v>
                </c:pt>
                <c:pt idx="18">
                  <c:v>196072926.45732701</c:v>
                </c:pt>
                <c:pt idx="19">
                  <c:v>194673548.52668098</c:v>
                </c:pt>
                <c:pt idx="20">
                  <c:v>209528954.01851803</c:v>
                </c:pt>
              </c:numCache>
            </c:numRef>
          </c:val>
          <c:extLst>
            <c:ext xmlns:c16="http://schemas.microsoft.com/office/drawing/2014/chart" uri="{C3380CC4-5D6E-409C-BE32-E72D297353CC}">
              <c16:uniqueId val="{00000001-B4E1-4AB6-94AA-17B8F72F4295}"/>
            </c:ext>
          </c:extLst>
        </c:ser>
        <c:dLbls>
          <c:showLegendKey val="0"/>
          <c:showVal val="0"/>
          <c:showCatName val="0"/>
          <c:showSerName val="0"/>
          <c:showPercent val="0"/>
          <c:showBubbleSize val="0"/>
        </c:dLbls>
        <c:gapWidth val="162"/>
        <c:overlap val="-27"/>
        <c:axId val="1847858384"/>
        <c:axId val="1817348752"/>
      </c:barChart>
      <c:catAx>
        <c:axId val="18478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817348752"/>
        <c:crosses val="autoZero"/>
        <c:auto val="1"/>
        <c:lblAlgn val="ctr"/>
        <c:lblOffset val="100"/>
        <c:noMultiLvlLbl val="0"/>
      </c:catAx>
      <c:valAx>
        <c:axId val="1817348752"/>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847858384"/>
        <c:crosses val="autoZero"/>
        <c:crossBetween val="between"/>
      </c:valAx>
      <c:spPr>
        <a:noFill/>
        <a:ln>
          <a:noFill/>
        </a:ln>
        <a:effectLst/>
      </c:spPr>
    </c:plotArea>
    <c:legend>
      <c:legendPos val="r"/>
      <c:layout>
        <c:manualLayout>
          <c:xMode val="edge"/>
          <c:yMode val="edge"/>
          <c:x val="0.80326540064844831"/>
          <c:y val="4.4725945516352443E-2"/>
          <c:w val="0.1894426946631671"/>
          <c:h val="0.22664242351385466"/>
        </c:manualLayout>
      </c:layout>
      <c:overlay val="0"/>
      <c:spPr>
        <a:solidFill>
          <a:schemeClr val="bg1"/>
        </a:solid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[Shifana_Project_DataGUC.xlsx]Sales_Analysis!Sales by Region</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002060"/>
                </a:solidFill>
                <a:latin typeface="Times New Roman" panose="02020603050405020304" pitchFamily="18" charset="0"/>
                <a:cs typeface="Times New Roman" panose="02020603050405020304" pitchFamily="18" charset="0"/>
              </a:rPr>
              <a:t>Sales</a:t>
            </a:r>
            <a:r>
              <a:rPr lang="en-US" sz="1800" b="1" u="sng" baseline="0">
                <a:solidFill>
                  <a:srgbClr val="002060"/>
                </a:solidFill>
                <a:latin typeface="Times New Roman" panose="02020603050405020304" pitchFamily="18" charset="0"/>
                <a:cs typeface="Times New Roman" panose="02020603050405020304" pitchFamily="18" charset="0"/>
              </a:rPr>
              <a:t> By Region</a:t>
            </a:r>
            <a:endParaRPr lang="en-US" sz="1800" b="1"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6306315304667255"/>
          <c:y val="8.66341175438176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00,,,&quot;B&quot;"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3.2514945397964946E-3"/>
              <c:y val="7.91480012366871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1.291974739080253E-16"/>
              <c:y val="1.5334682463401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3.5236081747709656E-3"/>
              <c:y val="1.5334682463402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1.8978757539946548E-2"/>
              <c:y val="8.35421888053463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9908722636965"/>
          <c:y val="0.18886229646826064"/>
          <c:w val="0.81831172145998354"/>
          <c:h val="0.70417468649752113"/>
        </c:manualLayout>
      </c:layout>
      <c:barChart>
        <c:barDir val="col"/>
        <c:grouping val="clustered"/>
        <c:varyColors val="0"/>
        <c:ser>
          <c:idx val="0"/>
          <c:order val="0"/>
          <c:tx>
            <c:strRef>
              <c:f>Sales_Analysis!$C$3</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3-82F9-452A-A42F-56355B689224}"/>
              </c:ext>
            </c:extLst>
          </c:dPt>
          <c:dPt>
            <c:idx val="1"/>
            <c:invertIfNegative val="0"/>
            <c:bubble3D val="0"/>
            <c:extLst>
              <c:ext xmlns:c16="http://schemas.microsoft.com/office/drawing/2014/chart" uri="{C3380CC4-5D6E-409C-BE32-E72D297353CC}">
                <c16:uniqueId val="{00000000-249D-40A4-A625-B3446D835DB8}"/>
              </c:ext>
            </c:extLst>
          </c:dPt>
          <c:dPt>
            <c:idx val="4"/>
            <c:invertIfNegative val="0"/>
            <c:bubble3D val="0"/>
            <c:extLst>
              <c:ext xmlns:c16="http://schemas.microsoft.com/office/drawing/2014/chart" uri="{C3380CC4-5D6E-409C-BE32-E72D297353CC}">
                <c16:uniqueId val="{00000002-249D-40A4-A625-B3446D835DB8}"/>
              </c:ext>
            </c:extLst>
          </c:dPt>
          <c:dPt>
            <c:idx val="5"/>
            <c:invertIfNegative val="0"/>
            <c:bubble3D val="0"/>
            <c:extLst>
              <c:ext xmlns:c16="http://schemas.microsoft.com/office/drawing/2014/chart" uri="{C3380CC4-5D6E-409C-BE32-E72D297353CC}">
                <c16:uniqueId val="{00000001-249D-40A4-A625-B3446D835DB8}"/>
              </c:ext>
            </c:extLst>
          </c:dPt>
          <c:dLbls>
            <c:dLbl>
              <c:idx val="0"/>
              <c:layout>
                <c:manualLayout>
                  <c:x val="3.2514945397964946E-3"/>
                  <c:y val="7.9148001236687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F9-452A-A42F-56355B689224}"/>
                </c:ext>
              </c:extLst>
            </c:dLbl>
            <c:dLbl>
              <c:idx val="1"/>
              <c:layout>
                <c:manualLayout>
                  <c:x val="1.8978757539946548E-2"/>
                  <c:y val="8.35421888053463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9D-40A4-A625-B3446D835DB8}"/>
                </c:ext>
              </c:extLst>
            </c:dLbl>
            <c:dLbl>
              <c:idx val="4"/>
              <c:layout>
                <c:manualLayout>
                  <c:x val="3.5236081747709656E-3"/>
                  <c:y val="1.53346824634020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9D-40A4-A625-B3446D835DB8}"/>
                </c:ext>
              </c:extLst>
            </c:dLbl>
            <c:dLbl>
              <c:idx val="5"/>
              <c:layout>
                <c:manualLayout>
                  <c:x val="-1.291974739080253E-16"/>
                  <c:y val="1.53346824634019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9D-40A4-A625-B3446D835D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Sales_Analysis!$B$4:$B$10</c:f>
              <c:strCache>
                <c:ptCount val="6"/>
                <c:pt idx="0">
                  <c:v>GCC</c:v>
                </c:pt>
                <c:pt idx="1">
                  <c:v>Africa</c:v>
                </c:pt>
                <c:pt idx="2">
                  <c:v>Europe</c:v>
                </c:pt>
                <c:pt idx="3">
                  <c:v>Asia</c:v>
                </c:pt>
                <c:pt idx="4">
                  <c:v>Unknown</c:v>
                </c:pt>
                <c:pt idx="5">
                  <c:v>Americas</c:v>
                </c:pt>
              </c:strCache>
            </c:strRef>
          </c:cat>
          <c:val>
            <c:numRef>
              <c:f>Sales_Analysis!$C$4:$C$10</c:f>
              <c:numCache>
                <c:formatCode>#,##0.0,,"M"</c:formatCode>
                <c:ptCount val="6"/>
                <c:pt idx="0">
                  <c:v>3374645576.6176357</c:v>
                </c:pt>
                <c:pt idx="1">
                  <c:v>3234712460.4731493</c:v>
                </c:pt>
                <c:pt idx="2">
                  <c:v>2530492004.6063156</c:v>
                </c:pt>
                <c:pt idx="3">
                  <c:v>2265515980.9667225</c:v>
                </c:pt>
                <c:pt idx="4">
                  <c:v>1916288365.7054496</c:v>
                </c:pt>
                <c:pt idx="5">
                  <c:v>1327911231.5201671</c:v>
                </c:pt>
              </c:numCache>
            </c:numRef>
          </c:val>
          <c:extLst>
            <c:ext xmlns:c16="http://schemas.microsoft.com/office/drawing/2014/chart" uri="{C3380CC4-5D6E-409C-BE32-E72D297353CC}">
              <c16:uniqueId val="{00000000-5A0C-405A-B520-F7050CC26A25}"/>
            </c:ext>
          </c:extLst>
        </c:ser>
        <c:dLbls>
          <c:dLblPos val="outEnd"/>
          <c:showLegendKey val="0"/>
          <c:showVal val="1"/>
          <c:showCatName val="0"/>
          <c:showSerName val="0"/>
          <c:showPercent val="0"/>
          <c:showBubbleSize val="0"/>
        </c:dLbls>
        <c:gapWidth val="73"/>
        <c:axId val="1956816528"/>
        <c:axId val="1559794448"/>
      </c:barChart>
      <c:catAx>
        <c:axId val="19568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rgbClr val="002060"/>
                </a:solidFill>
                <a:latin typeface="Times New Roman" panose="02020603050405020304" pitchFamily="18" charset="0"/>
                <a:ea typeface="+mn-ea"/>
                <a:cs typeface="+mn-cs"/>
              </a:defRPr>
            </a:pPr>
            <a:endParaRPr lang="en-US"/>
          </a:p>
        </c:txPr>
        <c:crossAx val="1559794448"/>
        <c:crossesAt val="0"/>
        <c:auto val="1"/>
        <c:lblAlgn val="ctr"/>
        <c:lblOffset val="100"/>
        <c:noMultiLvlLbl val="0"/>
      </c:catAx>
      <c:valAx>
        <c:axId val="1559794448"/>
        <c:scaling>
          <c:orientation val="minMax"/>
        </c:scaling>
        <c:delete val="0"/>
        <c:axPos val="l"/>
        <c:numFmt formatCode="\$0.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568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[Shifana_Project_DataGUC.xlsx]Sales_Analysis!PivotTable2</c:name>
    <c:fmtId val="6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u="sng">
                <a:solidFill>
                  <a:srgbClr val="002060"/>
                </a:solidFill>
                <a:latin typeface="Times New Roman" panose="02020603050405020304" pitchFamily="18" charset="0"/>
                <a:cs typeface="Times New Roman" panose="02020603050405020304" pitchFamily="18" charset="0"/>
              </a:rPr>
              <a:t>Won Vs Lost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rgbClr val="002060"/>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rgbClr val="001B5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Sales_Analysis!$F$22</c:f>
              <c:strCache>
                <c:ptCount val="1"/>
                <c:pt idx="0">
                  <c:v>Total</c:v>
                </c:pt>
              </c:strCache>
            </c:strRef>
          </c:tx>
          <c:spPr>
            <a:solidFill>
              <a:srgbClr val="002060"/>
            </a:solidFill>
          </c:spPr>
          <c:dPt>
            <c:idx val="0"/>
            <c:bubble3D val="0"/>
            <c:spPr>
              <a:solidFill>
                <a:srgbClr val="00B0F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DDB-4279-8C66-23F311C6C52F}"/>
              </c:ext>
            </c:extLst>
          </c:dPt>
          <c:dPt>
            <c:idx val="1"/>
            <c:bubble3D val="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DDB-4279-8C66-23F311C6C52F}"/>
              </c:ext>
            </c:extLst>
          </c:dPt>
          <c:dPt>
            <c:idx val="2"/>
            <c:bubble3D val="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C58-47C1-AD6C-3137AC700097}"/>
              </c:ext>
            </c:extLst>
          </c:dPt>
          <c:dPt>
            <c:idx val="3"/>
            <c:bubble3D val="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C58-47C1-AD6C-3137AC700097}"/>
              </c:ext>
            </c:extLst>
          </c:dPt>
          <c:dPt>
            <c:idx val="4"/>
            <c:bubble3D val="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C58-47C1-AD6C-3137AC700097}"/>
              </c:ext>
            </c:extLst>
          </c:dPt>
          <c:dPt>
            <c:idx val="5"/>
            <c:bubble3D val="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C58-47C1-AD6C-3137AC700097}"/>
              </c:ext>
            </c:extLst>
          </c:dPt>
          <c:dPt>
            <c:idx val="6"/>
            <c:bubble3D val="0"/>
            <c:spPr>
              <a:solidFill>
                <a:srgbClr val="001B5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AC58-47C1-AD6C-3137AC7000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Sales_Analysis!$E$23:$E$30</c:f>
              <c:strCache>
                <c:ptCount val="7"/>
                <c:pt idx="0">
                  <c:v>Lost</c:v>
                </c:pt>
                <c:pt idx="1">
                  <c:v>Negotiation</c:v>
                </c:pt>
                <c:pt idx="2">
                  <c:v>On Hold</c:v>
                </c:pt>
                <c:pt idx="3">
                  <c:v>Proposal</c:v>
                </c:pt>
                <c:pt idx="4">
                  <c:v>Prospecting</c:v>
                </c:pt>
                <c:pt idx="5">
                  <c:v>Qualification</c:v>
                </c:pt>
                <c:pt idx="6">
                  <c:v>Won</c:v>
                </c:pt>
              </c:strCache>
            </c:strRef>
          </c:cat>
          <c:val>
            <c:numRef>
              <c:f>Sales_Analysis!$F$23:$F$30</c:f>
              <c:numCache>
                <c:formatCode>General</c:formatCode>
                <c:ptCount val="7"/>
                <c:pt idx="0">
                  <c:v>135</c:v>
                </c:pt>
                <c:pt idx="1">
                  <c:v>145</c:v>
                </c:pt>
                <c:pt idx="2">
                  <c:v>146</c:v>
                </c:pt>
                <c:pt idx="3">
                  <c:v>149</c:v>
                </c:pt>
                <c:pt idx="4">
                  <c:v>130</c:v>
                </c:pt>
                <c:pt idx="5">
                  <c:v>140</c:v>
                </c:pt>
                <c:pt idx="6">
                  <c:v>155</c:v>
                </c:pt>
              </c:numCache>
            </c:numRef>
          </c:val>
          <c:extLst>
            <c:ext xmlns:c16="http://schemas.microsoft.com/office/drawing/2014/chart" uri="{C3380CC4-5D6E-409C-BE32-E72D297353CC}">
              <c16:uniqueId val="{00000004-9DDB-4279-8C66-23F311C6C52F}"/>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[Shifana_Project_DataGUC.xlsx]Sales_Analysis!PivotTable4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rgbClr val="002060"/>
                </a:solidFill>
                <a:latin typeface="Times New Roman" panose="02020603050405020304" pitchFamily="18" charset="0"/>
                <a:cs typeface="Times New Roman" panose="02020603050405020304" pitchFamily="18" charset="0"/>
              </a:rPr>
              <a:t>Tender</a:t>
            </a:r>
            <a:r>
              <a:rPr lang="en-IN" sz="1600" b="1" u="sng" baseline="0">
                <a:solidFill>
                  <a:srgbClr val="002060"/>
                </a:solidFill>
                <a:latin typeface="Times New Roman" panose="02020603050405020304" pitchFamily="18" charset="0"/>
                <a:cs typeface="Times New Roman" panose="02020603050405020304" pitchFamily="18" charset="0"/>
              </a:rPr>
              <a:t> Vs Contract</a:t>
            </a:r>
            <a:endParaRPr lang="en-IN"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14249781277340332"/>
          <c:w val="0.66901027996500451"/>
          <c:h val="0.6147867454068241"/>
        </c:manualLayout>
      </c:layout>
      <c:barChart>
        <c:barDir val="col"/>
        <c:grouping val="clustered"/>
        <c:varyColors val="0"/>
        <c:ser>
          <c:idx val="0"/>
          <c:order val="0"/>
          <c:tx>
            <c:strRef>
              <c:f>Sales_Analysis!$S$3</c:f>
              <c:strCache>
                <c:ptCount val="1"/>
                <c:pt idx="0">
                  <c:v>Sum of Tender Value USD</c:v>
                </c:pt>
              </c:strCache>
            </c:strRef>
          </c:tx>
          <c:spPr>
            <a:solidFill>
              <a:srgbClr val="002060"/>
            </a:solidFill>
            <a:ln>
              <a:noFill/>
            </a:ln>
            <a:effectLst/>
          </c:spPr>
          <c:invertIfNegative val="0"/>
          <c:cat>
            <c:strRef>
              <c:f>Sales_Analysis!$R$4:$R$19</c:f>
              <c:strCache>
                <c:ptCount val="15"/>
                <c:pt idx="0">
                  <c:v>Larsen</c:v>
                </c:pt>
                <c:pt idx="1">
                  <c:v>ABB Group</c:v>
                </c:pt>
                <c:pt idx="2">
                  <c:v>NEOM</c:v>
                </c:pt>
                <c:pt idx="3">
                  <c:v>Bechtel</c:v>
                </c:pt>
                <c:pt idx="4">
                  <c:v>Siemens</c:v>
                </c:pt>
                <c:pt idx="5">
                  <c:v>China State</c:v>
                </c:pt>
                <c:pt idx="6">
                  <c:v>ADNOC</c:v>
                </c:pt>
                <c:pt idx="7">
                  <c:v>Fluor</c:v>
                </c:pt>
                <c:pt idx="8">
                  <c:v>QatarEnergy</c:v>
                </c:pt>
                <c:pt idx="9">
                  <c:v>Samsung C&amp;T</c:v>
                </c:pt>
                <c:pt idx="10">
                  <c:v>Aramco</c:v>
                </c:pt>
                <c:pt idx="11">
                  <c:v>GE Infrastructure</c:v>
                </c:pt>
                <c:pt idx="12">
                  <c:v>Unknown</c:v>
                </c:pt>
                <c:pt idx="13">
                  <c:v>ClientX</c:v>
                </c:pt>
                <c:pt idx="14">
                  <c:v>Vinci Construction</c:v>
                </c:pt>
              </c:strCache>
            </c:strRef>
          </c:cat>
          <c:val>
            <c:numRef>
              <c:f>Sales_Analysis!$S$4:$S$19</c:f>
              <c:numCache>
                <c:formatCode>#,##0.0,,"M"</c:formatCode>
                <c:ptCount val="15"/>
                <c:pt idx="0">
                  <c:v>2081828851.5795007</c:v>
                </c:pt>
                <c:pt idx="1">
                  <c:v>1341797266.5100002</c:v>
                </c:pt>
                <c:pt idx="2">
                  <c:v>1300009924.3756003</c:v>
                </c:pt>
                <c:pt idx="3">
                  <c:v>1276600401.5500998</c:v>
                </c:pt>
                <c:pt idx="4">
                  <c:v>1236092002.6775999</c:v>
                </c:pt>
                <c:pt idx="5">
                  <c:v>1227677105.4954002</c:v>
                </c:pt>
                <c:pt idx="6">
                  <c:v>1206730503.8227997</c:v>
                </c:pt>
                <c:pt idx="7">
                  <c:v>1046036404.5325999</c:v>
                </c:pt>
                <c:pt idx="8">
                  <c:v>967301914.94199991</c:v>
                </c:pt>
                <c:pt idx="9">
                  <c:v>954225094.81109965</c:v>
                </c:pt>
                <c:pt idx="10">
                  <c:v>867641228.67120004</c:v>
                </c:pt>
                <c:pt idx="11">
                  <c:v>857055621.18200016</c:v>
                </c:pt>
                <c:pt idx="12">
                  <c:v>735686543.01829994</c:v>
                </c:pt>
                <c:pt idx="13">
                  <c:v>726645768.12160003</c:v>
                </c:pt>
                <c:pt idx="14">
                  <c:v>588136043.67490005</c:v>
                </c:pt>
              </c:numCache>
            </c:numRef>
          </c:val>
          <c:extLst>
            <c:ext xmlns:c16="http://schemas.microsoft.com/office/drawing/2014/chart" uri="{C3380CC4-5D6E-409C-BE32-E72D297353CC}">
              <c16:uniqueId val="{00000000-04B4-4B5E-A00F-62B45B3C7E42}"/>
            </c:ext>
          </c:extLst>
        </c:ser>
        <c:ser>
          <c:idx val="1"/>
          <c:order val="1"/>
          <c:tx>
            <c:strRef>
              <c:f>Sales_Analysis!$T$3</c:f>
              <c:strCache>
                <c:ptCount val="1"/>
                <c:pt idx="0">
                  <c:v>Sum of Contract Value USD</c:v>
                </c:pt>
              </c:strCache>
            </c:strRef>
          </c:tx>
          <c:spPr>
            <a:solidFill>
              <a:srgbClr val="00B0F0"/>
            </a:solidFill>
            <a:ln>
              <a:noFill/>
            </a:ln>
            <a:effectLst/>
          </c:spPr>
          <c:invertIfNegative val="0"/>
          <c:cat>
            <c:strRef>
              <c:f>Sales_Analysis!$R$4:$R$19</c:f>
              <c:strCache>
                <c:ptCount val="15"/>
                <c:pt idx="0">
                  <c:v>Larsen</c:v>
                </c:pt>
                <c:pt idx="1">
                  <c:v>ABB Group</c:v>
                </c:pt>
                <c:pt idx="2">
                  <c:v>NEOM</c:v>
                </c:pt>
                <c:pt idx="3">
                  <c:v>Bechtel</c:v>
                </c:pt>
                <c:pt idx="4">
                  <c:v>Siemens</c:v>
                </c:pt>
                <c:pt idx="5">
                  <c:v>China State</c:v>
                </c:pt>
                <c:pt idx="6">
                  <c:v>ADNOC</c:v>
                </c:pt>
                <c:pt idx="7">
                  <c:v>Fluor</c:v>
                </c:pt>
                <c:pt idx="8">
                  <c:v>QatarEnergy</c:v>
                </c:pt>
                <c:pt idx="9">
                  <c:v>Samsung C&amp;T</c:v>
                </c:pt>
                <c:pt idx="10">
                  <c:v>Aramco</c:v>
                </c:pt>
                <c:pt idx="11">
                  <c:v>GE Infrastructure</c:v>
                </c:pt>
                <c:pt idx="12">
                  <c:v>Unknown</c:v>
                </c:pt>
                <c:pt idx="13">
                  <c:v>ClientX</c:v>
                </c:pt>
                <c:pt idx="14">
                  <c:v>Vinci Construction</c:v>
                </c:pt>
              </c:strCache>
            </c:strRef>
          </c:cat>
          <c:val>
            <c:numRef>
              <c:f>Sales_Analysis!$T$4:$T$19</c:f>
              <c:numCache>
                <c:formatCode>#,##0.0,,"M"</c:formatCode>
                <c:ptCount val="15"/>
                <c:pt idx="0">
                  <c:v>1820665747.548681</c:v>
                </c:pt>
                <c:pt idx="1">
                  <c:v>1213786629.017694</c:v>
                </c:pt>
                <c:pt idx="2">
                  <c:v>1145634671.0933199</c:v>
                </c:pt>
                <c:pt idx="3">
                  <c:v>1126262621.7675123</c:v>
                </c:pt>
                <c:pt idx="4">
                  <c:v>1079693103.8837731</c:v>
                </c:pt>
                <c:pt idx="5">
                  <c:v>1068486792.7752461</c:v>
                </c:pt>
                <c:pt idx="6">
                  <c:v>1048102488.1034056</c:v>
                </c:pt>
                <c:pt idx="7">
                  <c:v>955076628.40472305</c:v>
                </c:pt>
                <c:pt idx="8">
                  <c:v>874746808.73766613</c:v>
                </c:pt>
                <c:pt idx="9">
                  <c:v>844453154.26286483</c:v>
                </c:pt>
                <c:pt idx="10">
                  <c:v>795158470.00694871</c:v>
                </c:pt>
                <c:pt idx="11">
                  <c:v>782701594.15442896</c:v>
                </c:pt>
                <c:pt idx="12">
                  <c:v>694472148.30897331</c:v>
                </c:pt>
                <c:pt idx="13">
                  <c:v>637426490.62860596</c:v>
                </c:pt>
                <c:pt idx="14">
                  <c:v>562898271.19559598</c:v>
                </c:pt>
              </c:numCache>
            </c:numRef>
          </c:val>
          <c:extLst>
            <c:ext xmlns:c16="http://schemas.microsoft.com/office/drawing/2014/chart" uri="{C3380CC4-5D6E-409C-BE32-E72D297353CC}">
              <c16:uniqueId val="{00000001-04B4-4B5E-A00F-62B45B3C7E42}"/>
            </c:ext>
          </c:extLst>
        </c:ser>
        <c:dLbls>
          <c:showLegendKey val="0"/>
          <c:showVal val="0"/>
          <c:showCatName val="0"/>
          <c:showSerName val="0"/>
          <c:showPercent val="0"/>
          <c:showBubbleSize val="0"/>
        </c:dLbls>
        <c:gapWidth val="219"/>
        <c:overlap val="-27"/>
        <c:axId val="1023534704"/>
        <c:axId val="384355664"/>
      </c:barChart>
      <c:catAx>
        <c:axId val="102353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384355664"/>
        <c:crosses val="autoZero"/>
        <c:auto val="1"/>
        <c:lblAlgn val="ctr"/>
        <c:lblOffset val="100"/>
        <c:noMultiLvlLbl val="0"/>
      </c:catAx>
      <c:valAx>
        <c:axId val="384355664"/>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23534704"/>
        <c:crosses val="autoZero"/>
        <c:crossBetween val="between"/>
      </c:valAx>
      <c:spPr>
        <a:noFill/>
        <a:ln>
          <a:noFill/>
        </a:ln>
        <a:effectLst/>
      </c:spPr>
    </c:plotArea>
    <c:legend>
      <c:legendPos val="r"/>
      <c:layout>
        <c:manualLayout>
          <c:xMode val="edge"/>
          <c:yMode val="edge"/>
          <c:x val="0.82425787401574802"/>
          <c:y val="0.28247521143190435"/>
          <c:w val="0.15907545931758529"/>
          <c:h val="0.40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[Shifana_Project_DataGUC.xlsx]Sales_Analysis!PivotTable3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u="sng">
                <a:solidFill>
                  <a:srgbClr val="002060"/>
                </a:solidFill>
                <a:latin typeface="Times New Roman" panose="02020603050405020304" pitchFamily="18" charset="0"/>
                <a:cs typeface="Times New Roman" panose="02020603050405020304" pitchFamily="18" charset="0"/>
              </a:rPr>
              <a:t>Top</a:t>
            </a:r>
            <a:r>
              <a:rPr lang="en-US" sz="1500" b="1" u="sng" baseline="0">
                <a:solidFill>
                  <a:srgbClr val="002060"/>
                </a:solidFill>
                <a:latin typeface="Times New Roman" panose="02020603050405020304" pitchFamily="18" charset="0"/>
                <a:cs typeface="Times New Roman" panose="02020603050405020304" pitchFamily="18" charset="0"/>
              </a:rPr>
              <a:t> 10 Client By Revenue</a:t>
            </a:r>
            <a:endParaRPr lang="en-US" sz="15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3503937007874"/>
          <c:y val="0.14928258967629046"/>
          <c:w val="0.73474693788276457"/>
          <c:h val="0.74973753280839894"/>
        </c:manualLayout>
      </c:layout>
      <c:barChart>
        <c:barDir val="bar"/>
        <c:grouping val="clustered"/>
        <c:varyColors val="0"/>
        <c:ser>
          <c:idx val="0"/>
          <c:order val="0"/>
          <c:tx>
            <c:strRef>
              <c:f>Sales_Analysis!$L$32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Sales_Analysis!$K$33:$K$43</c:f>
              <c:strCache>
                <c:ptCount val="10"/>
                <c:pt idx="0">
                  <c:v>Larsen</c:v>
                </c:pt>
                <c:pt idx="1">
                  <c:v>ABB Group</c:v>
                </c:pt>
                <c:pt idx="2">
                  <c:v>NEOM</c:v>
                </c:pt>
                <c:pt idx="3">
                  <c:v>Bechtel</c:v>
                </c:pt>
                <c:pt idx="4">
                  <c:v>China State</c:v>
                </c:pt>
                <c:pt idx="5">
                  <c:v>Fluor</c:v>
                </c:pt>
                <c:pt idx="6">
                  <c:v>Siemens</c:v>
                </c:pt>
                <c:pt idx="7">
                  <c:v>ADNOC</c:v>
                </c:pt>
                <c:pt idx="8">
                  <c:v>Aramco</c:v>
                </c:pt>
                <c:pt idx="9">
                  <c:v>GE Infrastructure</c:v>
                </c:pt>
              </c:strCache>
            </c:strRef>
          </c:cat>
          <c:val>
            <c:numRef>
              <c:f>Sales_Analysis!$L$33:$L$43</c:f>
              <c:numCache>
                <c:formatCode>#,##0.0,,"M"</c:formatCode>
                <c:ptCount val="10"/>
                <c:pt idx="0">
                  <c:v>882068326.11441422</c:v>
                </c:pt>
                <c:pt idx="1">
                  <c:v>576056779.41002488</c:v>
                </c:pt>
                <c:pt idx="2">
                  <c:v>554161416.36974573</c:v>
                </c:pt>
                <c:pt idx="3">
                  <c:v>528191755.16094202</c:v>
                </c:pt>
                <c:pt idx="4">
                  <c:v>523875694.41492796</c:v>
                </c:pt>
                <c:pt idx="5">
                  <c:v>485610077.54624814</c:v>
                </c:pt>
                <c:pt idx="6">
                  <c:v>479170124.11036301</c:v>
                </c:pt>
                <c:pt idx="7">
                  <c:v>450363629.51908505</c:v>
                </c:pt>
                <c:pt idx="8">
                  <c:v>433418269.7567749</c:v>
                </c:pt>
                <c:pt idx="9">
                  <c:v>412216332.77983302</c:v>
                </c:pt>
              </c:numCache>
            </c:numRef>
          </c:val>
          <c:extLst>
            <c:ext xmlns:c16="http://schemas.microsoft.com/office/drawing/2014/chart" uri="{C3380CC4-5D6E-409C-BE32-E72D297353CC}">
              <c16:uniqueId val="{00000000-7282-49C2-8E9B-3C020CB3CDD5}"/>
            </c:ext>
          </c:extLst>
        </c:ser>
        <c:dLbls>
          <c:dLblPos val="outEnd"/>
          <c:showLegendKey val="0"/>
          <c:showVal val="1"/>
          <c:showCatName val="0"/>
          <c:showSerName val="0"/>
          <c:showPercent val="0"/>
          <c:showBubbleSize val="0"/>
        </c:dLbls>
        <c:gapWidth val="149"/>
        <c:axId val="271659872"/>
        <c:axId val="209536112"/>
      </c:barChart>
      <c:catAx>
        <c:axId val="27165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09536112"/>
        <c:crosses val="autoZero"/>
        <c:auto val="1"/>
        <c:lblAlgn val="ctr"/>
        <c:lblOffset val="100"/>
        <c:noMultiLvlLbl val="0"/>
      </c:catAx>
      <c:valAx>
        <c:axId val="209536112"/>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7165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[Shifana_Project_DataGUC.xlsx]project_Analysis!Project Status Distribution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sng" strike="noStrike" baseline="0">
                <a:solidFill>
                  <a:srgbClr val="002060"/>
                </a:solidFill>
                <a:latin typeface="Times New Roman" panose="02020603050405020304" pitchFamily="18" charset="0"/>
                <a:cs typeface="Times New Roman" panose="02020603050405020304" pitchFamily="18" charset="0"/>
              </a:rPr>
              <a:t>Project Status</a:t>
            </a:r>
            <a:endParaRPr lang="en-US" sz="1800" b="1"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9301537307836523"/>
          <c:y val="1.3280056410859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19050">
            <a:solidFill>
              <a:schemeClr val="lt1"/>
            </a:solidFill>
          </a:ln>
          <a:effectLst/>
        </c:spPr>
      </c:pivotFmt>
      <c:pivotFmt>
        <c:idx val="15"/>
        <c:spPr>
          <a:solidFill>
            <a:schemeClr val="accent5">
              <a:lumMod val="20000"/>
              <a:lumOff val="80000"/>
            </a:schemeClr>
          </a:solidFill>
          <a:ln w="19050">
            <a:solidFill>
              <a:schemeClr val="lt1"/>
            </a:solidFill>
          </a:ln>
          <a:effectLst/>
        </c:spPr>
      </c:pivotFmt>
      <c:pivotFmt>
        <c:idx val="16"/>
        <c:spPr>
          <a:solidFill>
            <a:srgbClr val="00B0F0"/>
          </a:solidFill>
          <a:ln w="19050">
            <a:solidFill>
              <a:schemeClr val="lt1"/>
            </a:solidFill>
          </a:ln>
          <a:effectLst/>
        </c:spPr>
      </c:pivotFmt>
      <c:pivotFmt>
        <c:idx val="17"/>
        <c:spPr>
          <a:solidFill>
            <a:srgbClr val="6A8ED0"/>
          </a:solidFill>
          <a:ln w="19050">
            <a:solidFill>
              <a:schemeClr val="lt1"/>
            </a:solidFill>
          </a:ln>
          <a:effectLst/>
        </c:spPr>
      </c:pivotFmt>
      <c:pivotFmt>
        <c:idx val="18"/>
        <c:spPr>
          <a:solidFill>
            <a:srgbClr val="430AFA"/>
          </a:solidFill>
          <a:ln w="19050">
            <a:solidFill>
              <a:schemeClr val="lt1"/>
            </a:solidFill>
          </a:ln>
          <a:effectLst/>
        </c:spPr>
      </c:pivotFmt>
    </c:pivotFmts>
    <c:plotArea>
      <c:layout>
        <c:manualLayout>
          <c:layoutTarget val="inner"/>
          <c:xMode val="edge"/>
          <c:yMode val="edge"/>
          <c:x val="0.13535299612972107"/>
          <c:y val="0.25296315626252769"/>
          <c:w val="0.56797232972997025"/>
          <c:h val="0.67600164892933057"/>
        </c:manualLayout>
      </c:layout>
      <c:pieChart>
        <c:varyColors val="1"/>
        <c:ser>
          <c:idx val="0"/>
          <c:order val="0"/>
          <c:tx>
            <c:strRef>
              <c:f>project_Analysis!$C$3</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0A8A-4090-97F9-4CCEB9E70FED}"/>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0A8A-4090-97F9-4CCEB9E70FED}"/>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0A8A-4090-97F9-4CCEB9E70FED}"/>
              </c:ext>
            </c:extLst>
          </c:dPt>
          <c:dPt>
            <c:idx val="3"/>
            <c:bubble3D val="0"/>
            <c:spPr>
              <a:solidFill>
                <a:srgbClr val="6A8ED0"/>
              </a:solidFill>
              <a:ln w="19050">
                <a:solidFill>
                  <a:schemeClr val="lt1"/>
                </a:solidFill>
              </a:ln>
              <a:effectLst/>
            </c:spPr>
            <c:extLst>
              <c:ext xmlns:c16="http://schemas.microsoft.com/office/drawing/2014/chart" uri="{C3380CC4-5D6E-409C-BE32-E72D297353CC}">
                <c16:uniqueId val="{00000007-0A8A-4090-97F9-4CCEB9E70FED}"/>
              </c:ext>
            </c:extLst>
          </c:dPt>
          <c:dPt>
            <c:idx val="4"/>
            <c:bubble3D val="0"/>
            <c:spPr>
              <a:solidFill>
                <a:srgbClr val="430AFA"/>
              </a:solidFill>
              <a:ln w="19050">
                <a:solidFill>
                  <a:schemeClr val="lt1"/>
                </a:solidFill>
              </a:ln>
              <a:effectLst/>
            </c:spPr>
            <c:extLst>
              <c:ext xmlns:c16="http://schemas.microsoft.com/office/drawing/2014/chart" uri="{C3380CC4-5D6E-409C-BE32-E72D297353CC}">
                <c16:uniqueId val="{00000009-0A8A-4090-97F9-4CCEB9E70FED}"/>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project_Analysis!$B$4:$B$9</c:f>
              <c:strCache>
                <c:ptCount val="5"/>
                <c:pt idx="0">
                  <c:v>Active</c:v>
                </c:pt>
                <c:pt idx="1">
                  <c:v>Completed</c:v>
                </c:pt>
                <c:pt idx="2">
                  <c:v>Cancelled</c:v>
                </c:pt>
                <c:pt idx="3">
                  <c:v>On Hold</c:v>
                </c:pt>
                <c:pt idx="4">
                  <c:v>Unknown</c:v>
                </c:pt>
              </c:strCache>
            </c:strRef>
          </c:cat>
          <c:val>
            <c:numRef>
              <c:f>project_Analysis!$C$4:$C$9</c:f>
              <c:numCache>
                <c:formatCode>General</c:formatCode>
                <c:ptCount val="5"/>
                <c:pt idx="0">
                  <c:v>19</c:v>
                </c:pt>
                <c:pt idx="1">
                  <c:v>18</c:v>
                </c:pt>
                <c:pt idx="2">
                  <c:v>6</c:v>
                </c:pt>
                <c:pt idx="3">
                  <c:v>5</c:v>
                </c:pt>
                <c:pt idx="4">
                  <c:v>3</c:v>
                </c:pt>
              </c:numCache>
            </c:numRef>
          </c:val>
          <c:extLst>
            <c:ext xmlns:c16="http://schemas.microsoft.com/office/drawing/2014/chart" uri="{C3380CC4-5D6E-409C-BE32-E72D297353CC}">
              <c16:uniqueId val="{0000000A-78FF-49D3-9BDE-9F5119CBB9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2967658703679"/>
          <c:y val="0.38591626619738428"/>
          <c:w val="0.20714285714285716"/>
          <c:h val="0.58368345281466683"/>
        </c:manualLayout>
      </c:layout>
      <c:overlay val="0"/>
      <c:spPr>
        <a:solidFill>
          <a:schemeClr val="bg1">
            <a:lumMod val="95000"/>
          </a:schemeClr>
        </a:solid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[Shifana_Project_DataGUC.xlsx]project_Analysis!Project Trend</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u="sng">
                <a:solidFill>
                  <a:srgbClr val="002060"/>
                </a:solidFill>
                <a:latin typeface="Times New Roman" panose="02020603050405020304" pitchFamily="18" charset="0"/>
                <a:cs typeface="Times New Roman" panose="02020603050405020304" pitchFamily="18" charset="0"/>
              </a:rPr>
              <a:t>Project Trend</a:t>
            </a:r>
          </a:p>
        </c:rich>
      </c:tx>
      <c:layout>
        <c:manualLayout>
          <c:xMode val="edge"/>
          <c:yMode val="edge"/>
          <c:x val="0.38250787714781476"/>
          <c:y val="1.322751322751322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002060"/>
            </a:solidFill>
            <a:round/>
          </a:ln>
          <a:effectLst/>
        </c:spPr>
        <c:marker>
          <c:symbol val="circle"/>
          <c:size val="17"/>
          <c:spPr>
            <a:solidFill>
              <a:srgbClr val="00206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project_Analysis!$J$3</c:f>
              <c:strCache>
                <c:ptCount val="1"/>
                <c:pt idx="0">
                  <c:v>Total</c:v>
                </c:pt>
              </c:strCache>
            </c:strRef>
          </c:tx>
          <c:spPr>
            <a:ln w="31750" cap="rnd">
              <a:solidFill>
                <a:srgbClr val="002060"/>
              </a:solidFill>
              <a:round/>
            </a:ln>
            <a:effectLst/>
          </c:spPr>
          <c:marker>
            <c:symbol val="circle"/>
            <c:size val="17"/>
            <c:spPr>
              <a:solidFill>
                <a:srgbClr val="002060"/>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project_Analysis!$I$4:$I$16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project_Analysis!$J$4:$J$16</c:f>
              <c:numCache>
                <c:formatCode>General</c:formatCode>
                <c:ptCount val="12"/>
                <c:pt idx="0">
                  <c:v>5</c:v>
                </c:pt>
                <c:pt idx="1">
                  <c:v>1</c:v>
                </c:pt>
                <c:pt idx="2">
                  <c:v>6</c:v>
                </c:pt>
                <c:pt idx="3">
                  <c:v>7</c:v>
                </c:pt>
                <c:pt idx="4">
                  <c:v>5</c:v>
                </c:pt>
                <c:pt idx="5">
                  <c:v>3</c:v>
                </c:pt>
                <c:pt idx="6">
                  <c:v>5</c:v>
                </c:pt>
                <c:pt idx="7">
                  <c:v>4</c:v>
                </c:pt>
                <c:pt idx="8">
                  <c:v>7</c:v>
                </c:pt>
                <c:pt idx="9">
                  <c:v>1</c:v>
                </c:pt>
                <c:pt idx="10">
                  <c:v>2</c:v>
                </c:pt>
                <c:pt idx="11">
                  <c:v>5</c:v>
                </c:pt>
              </c:numCache>
            </c:numRef>
          </c:val>
          <c:smooth val="0"/>
          <c:extLst>
            <c:ext xmlns:c16="http://schemas.microsoft.com/office/drawing/2014/chart" uri="{C3380CC4-5D6E-409C-BE32-E72D297353CC}">
              <c16:uniqueId val="{00000000-70A6-4B7C-88B4-ECCFDEC7C948}"/>
            </c:ext>
          </c:extLst>
        </c:ser>
        <c:dLbls>
          <c:dLblPos val="ctr"/>
          <c:showLegendKey val="0"/>
          <c:showVal val="1"/>
          <c:showCatName val="0"/>
          <c:showSerName val="0"/>
          <c:showPercent val="0"/>
          <c:showBubbleSize val="0"/>
        </c:dLbls>
        <c:marker val="1"/>
        <c:smooth val="0"/>
        <c:axId val="2136681903"/>
        <c:axId val="709807952"/>
      </c:lineChart>
      <c:catAx>
        <c:axId val="2136681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709807952"/>
        <c:crosses val="autoZero"/>
        <c:auto val="1"/>
        <c:lblAlgn val="ctr"/>
        <c:lblOffset val="100"/>
        <c:noMultiLvlLbl val="0"/>
      </c:catAx>
      <c:valAx>
        <c:axId val="709807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3668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[Shifana_Project_DataGUC.xlsx]project_Analysis!Contract vs actual</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u="sng">
                <a:solidFill>
                  <a:srgbClr val="002060"/>
                </a:solidFill>
                <a:latin typeface="Times New Roman" panose="02020603050405020304" pitchFamily="18" charset="0"/>
                <a:cs typeface="Times New Roman" panose="02020603050405020304" pitchFamily="18" charset="0"/>
              </a:rPr>
              <a:t>Budget</a:t>
            </a:r>
            <a:r>
              <a:rPr lang="en-IN" u="sng" baseline="0">
                <a:solidFill>
                  <a:srgbClr val="002060"/>
                </a:solidFill>
                <a:latin typeface="Times New Roman" panose="02020603050405020304" pitchFamily="18" charset="0"/>
                <a:cs typeface="Times New Roman" panose="02020603050405020304" pitchFamily="18" charset="0"/>
              </a:rPr>
              <a:t> Vs Actual</a:t>
            </a:r>
            <a:endParaRPr lang="en-IN"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30208333333333331"/>
          <c:y val="9.606147934678194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1312759292185"/>
          <c:y val="0.14383655933498227"/>
          <c:w val="0.8210635212937093"/>
          <c:h val="0.44491895285423616"/>
        </c:manualLayout>
      </c:layout>
      <c:barChart>
        <c:barDir val="col"/>
        <c:grouping val="clustered"/>
        <c:varyColors val="0"/>
        <c:ser>
          <c:idx val="0"/>
          <c:order val="0"/>
          <c:tx>
            <c:strRef>
              <c:f>project_Analysis!$F$3</c:f>
              <c:strCache>
                <c:ptCount val="1"/>
                <c:pt idx="0">
                  <c:v>Sum of Budget</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project_Analysis!$E$4:$E$23</c:f>
              <c:strCache>
                <c:ptCount val="19"/>
                <c:pt idx="0">
                  <c:v>Marina Development</c:v>
                </c:pt>
                <c:pt idx="1">
                  <c:v>Industrial Park</c:v>
                </c:pt>
                <c:pt idx="2">
                  <c:v>HQ Tower</c:v>
                </c:pt>
                <c:pt idx="3">
                  <c:v>Offshore Platform</c:v>
                </c:pt>
                <c:pt idx="4">
                  <c:v>Tunnel Project</c:v>
                </c:pt>
                <c:pt idx="5">
                  <c:v>Plant Upgrade</c:v>
                </c:pt>
                <c:pt idx="6">
                  <c:v>Bridge Overhaul</c:v>
                </c:pt>
                <c:pt idx="7">
                  <c:v>Water Treatment Plant</c:v>
                </c:pt>
                <c:pt idx="8">
                  <c:v>Desalination Plant</c:v>
                </c:pt>
                <c:pt idx="9">
                  <c:v>Solar Farm Phase 2</c:v>
                </c:pt>
                <c:pt idx="10">
                  <c:v>Stadium Renovation</c:v>
                </c:pt>
                <c:pt idx="11">
                  <c:v>Smart City Hub</c:v>
                </c:pt>
                <c:pt idx="12">
                  <c:v>Hospital Complex</c:v>
                </c:pt>
                <c:pt idx="13">
                  <c:v>Residential Complex</c:v>
                </c:pt>
                <c:pt idx="14">
                  <c:v>Rail Network Upgrade</c:v>
                </c:pt>
                <c:pt idx="15">
                  <c:v>Oil Refinery Unit</c:v>
                </c:pt>
                <c:pt idx="16">
                  <c:v>Metro Line Extension</c:v>
                </c:pt>
                <c:pt idx="17">
                  <c:v>Airport Terminal 3</c:v>
                </c:pt>
                <c:pt idx="18">
                  <c:v>Highway</c:v>
                </c:pt>
              </c:strCache>
            </c:strRef>
          </c:cat>
          <c:val>
            <c:numRef>
              <c:f>project_Analysis!$F$4:$F$23</c:f>
              <c:numCache>
                <c:formatCode>#,##0.0,,"M"</c:formatCode>
                <c:ptCount val="19"/>
                <c:pt idx="0">
                  <c:v>585380277</c:v>
                </c:pt>
                <c:pt idx="1">
                  <c:v>239347526</c:v>
                </c:pt>
                <c:pt idx="2">
                  <c:v>159334322</c:v>
                </c:pt>
                <c:pt idx="3">
                  <c:v>186007360</c:v>
                </c:pt>
                <c:pt idx="4">
                  <c:v>159970172</c:v>
                </c:pt>
                <c:pt idx="5">
                  <c:v>140414128</c:v>
                </c:pt>
                <c:pt idx="6">
                  <c:v>154718040</c:v>
                </c:pt>
                <c:pt idx="7">
                  <c:v>80038809</c:v>
                </c:pt>
                <c:pt idx="8">
                  <c:v>153361030</c:v>
                </c:pt>
                <c:pt idx="9">
                  <c:v>133742625</c:v>
                </c:pt>
                <c:pt idx="10">
                  <c:v>200034563</c:v>
                </c:pt>
                <c:pt idx="11">
                  <c:v>98322107</c:v>
                </c:pt>
                <c:pt idx="12">
                  <c:v>152593792</c:v>
                </c:pt>
                <c:pt idx="13">
                  <c:v>123418482</c:v>
                </c:pt>
                <c:pt idx="14">
                  <c:v>119778387</c:v>
                </c:pt>
                <c:pt idx="15">
                  <c:v>168871467</c:v>
                </c:pt>
                <c:pt idx="16">
                  <c:v>4597975</c:v>
                </c:pt>
                <c:pt idx="17">
                  <c:v>74624237</c:v>
                </c:pt>
                <c:pt idx="18">
                  <c:v>32675618</c:v>
                </c:pt>
              </c:numCache>
            </c:numRef>
          </c:val>
          <c:extLst>
            <c:ext xmlns:c16="http://schemas.microsoft.com/office/drawing/2014/chart" uri="{C3380CC4-5D6E-409C-BE32-E72D297353CC}">
              <c16:uniqueId val="{00000000-C813-4D35-8585-BFEBEAECBDF5}"/>
            </c:ext>
          </c:extLst>
        </c:ser>
        <c:ser>
          <c:idx val="1"/>
          <c:order val="1"/>
          <c:tx>
            <c:strRef>
              <c:f>project_Analysis!$G$3</c:f>
              <c:strCache>
                <c:ptCount val="1"/>
                <c:pt idx="0">
                  <c:v>Sum of ActualCost</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project_Analysis!$E$4:$E$23</c:f>
              <c:strCache>
                <c:ptCount val="19"/>
                <c:pt idx="0">
                  <c:v>Marina Development</c:v>
                </c:pt>
                <c:pt idx="1">
                  <c:v>Industrial Park</c:v>
                </c:pt>
                <c:pt idx="2">
                  <c:v>HQ Tower</c:v>
                </c:pt>
                <c:pt idx="3">
                  <c:v>Offshore Platform</c:v>
                </c:pt>
                <c:pt idx="4">
                  <c:v>Tunnel Project</c:v>
                </c:pt>
                <c:pt idx="5">
                  <c:v>Plant Upgrade</c:v>
                </c:pt>
                <c:pt idx="6">
                  <c:v>Bridge Overhaul</c:v>
                </c:pt>
                <c:pt idx="7">
                  <c:v>Water Treatment Plant</c:v>
                </c:pt>
                <c:pt idx="8">
                  <c:v>Desalination Plant</c:v>
                </c:pt>
                <c:pt idx="9">
                  <c:v>Solar Farm Phase 2</c:v>
                </c:pt>
                <c:pt idx="10">
                  <c:v>Stadium Renovation</c:v>
                </c:pt>
                <c:pt idx="11">
                  <c:v>Smart City Hub</c:v>
                </c:pt>
                <c:pt idx="12">
                  <c:v>Hospital Complex</c:v>
                </c:pt>
                <c:pt idx="13">
                  <c:v>Residential Complex</c:v>
                </c:pt>
                <c:pt idx="14">
                  <c:v>Rail Network Upgrade</c:v>
                </c:pt>
                <c:pt idx="15">
                  <c:v>Oil Refinery Unit</c:v>
                </c:pt>
                <c:pt idx="16">
                  <c:v>Metro Line Extension</c:v>
                </c:pt>
                <c:pt idx="17">
                  <c:v>Airport Terminal 3</c:v>
                </c:pt>
                <c:pt idx="18">
                  <c:v>Highway</c:v>
                </c:pt>
              </c:strCache>
            </c:strRef>
          </c:cat>
          <c:val>
            <c:numRef>
              <c:f>project_Analysis!$G$4:$G$23</c:f>
              <c:numCache>
                <c:formatCode>#,##0.0,,"M"</c:formatCode>
                <c:ptCount val="19"/>
                <c:pt idx="0">
                  <c:v>463670909</c:v>
                </c:pt>
                <c:pt idx="1">
                  <c:v>242922507</c:v>
                </c:pt>
                <c:pt idx="2">
                  <c:v>238672085</c:v>
                </c:pt>
                <c:pt idx="3">
                  <c:v>190390068</c:v>
                </c:pt>
                <c:pt idx="4">
                  <c:v>179140446</c:v>
                </c:pt>
                <c:pt idx="5">
                  <c:v>157066508</c:v>
                </c:pt>
                <c:pt idx="6">
                  <c:v>147095776</c:v>
                </c:pt>
                <c:pt idx="7">
                  <c:v>140146327</c:v>
                </c:pt>
                <c:pt idx="8">
                  <c:v>105923325</c:v>
                </c:pt>
                <c:pt idx="9">
                  <c:v>105752819</c:v>
                </c:pt>
                <c:pt idx="10">
                  <c:v>95022805</c:v>
                </c:pt>
                <c:pt idx="11">
                  <c:v>82330639</c:v>
                </c:pt>
                <c:pt idx="12">
                  <c:v>67433588</c:v>
                </c:pt>
                <c:pt idx="13">
                  <c:v>65675117</c:v>
                </c:pt>
                <c:pt idx="14">
                  <c:v>61191870</c:v>
                </c:pt>
                <c:pt idx="15">
                  <c:v>49581561</c:v>
                </c:pt>
                <c:pt idx="16">
                  <c:v>43604926</c:v>
                </c:pt>
                <c:pt idx="17">
                  <c:v>17996470</c:v>
                </c:pt>
              </c:numCache>
            </c:numRef>
          </c:val>
          <c:extLst>
            <c:ext xmlns:c16="http://schemas.microsoft.com/office/drawing/2014/chart" uri="{C3380CC4-5D6E-409C-BE32-E72D297353CC}">
              <c16:uniqueId val="{00000001-C813-4D35-8585-BFEBEAECBDF5}"/>
            </c:ext>
          </c:extLst>
        </c:ser>
        <c:dLbls>
          <c:showLegendKey val="0"/>
          <c:showVal val="0"/>
          <c:showCatName val="0"/>
          <c:showSerName val="0"/>
          <c:showPercent val="0"/>
          <c:showBubbleSize val="0"/>
        </c:dLbls>
        <c:gapWidth val="100"/>
        <c:overlap val="-24"/>
        <c:axId val="750169039"/>
        <c:axId val="421157455"/>
      </c:barChart>
      <c:catAx>
        <c:axId val="750169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421157455"/>
        <c:crosses val="autoZero"/>
        <c:auto val="1"/>
        <c:lblAlgn val="ctr"/>
        <c:lblOffset val="100"/>
        <c:noMultiLvlLbl val="0"/>
      </c:catAx>
      <c:valAx>
        <c:axId val="421157455"/>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750169039"/>
        <c:crosses val="autoZero"/>
        <c:crossBetween val="between"/>
      </c:valAx>
      <c:spPr>
        <a:noFill/>
        <a:ln>
          <a:noFill/>
        </a:ln>
        <a:effectLst/>
      </c:spPr>
    </c:plotArea>
    <c:legend>
      <c:legendPos val="r"/>
      <c:layout>
        <c:manualLayout>
          <c:xMode val="edge"/>
          <c:yMode val="edge"/>
          <c:x val="7.8823236813140282E-2"/>
          <c:y val="0.89562352976771276"/>
          <c:w val="0.83473933197866401"/>
          <c:h val="7.6651387596723325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[Shifana_Project_DataGUC.xlsx]project_Analysis!PivotTable2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Profit by Project </a:t>
            </a:r>
            <a:endParaRPr lang="en-US"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8051750380517502E-3"/>
              <c:y val="-4.420866489832047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20700152207001"/>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4261796042617960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40334855403348552"/>
              <c:y val="-4.0524141351787774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56514339817106"/>
          <c:y val="0.14112171654935704"/>
          <c:w val="0.58429421493546174"/>
          <c:h val="0.74721415791195844"/>
        </c:manualLayout>
      </c:layout>
      <c:barChart>
        <c:barDir val="bar"/>
        <c:grouping val="clustered"/>
        <c:varyColors val="0"/>
        <c:ser>
          <c:idx val="0"/>
          <c:order val="0"/>
          <c:tx>
            <c:strRef>
              <c:f>project_Analysis!$C$11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project_Analysis!$B$12:$B$22</c:f>
              <c:strCache>
                <c:ptCount val="10"/>
                <c:pt idx="0">
                  <c:v>Bridge Overhaul</c:v>
                </c:pt>
                <c:pt idx="1">
                  <c:v>Offshore Platform</c:v>
                </c:pt>
                <c:pt idx="2">
                  <c:v>Water Treatment Plant</c:v>
                </c:pt>
                <c:pt idx="3">
                  <c:v>Hospital Complex</c:v>
                </c:pt>
                <c:pt idx="4">
                  <c:v>Metro Line Extension</c:v>
                </c:pt>
                <c:pt idx="5">
                  <c:v>Airport Terminal 3</c:v>
                </c:pt>
                <c:pt idx="6">
                  <c:v>Oil Refinery Unit</c:v>
                </c:pt>
                <c:pt idx="7">
                  <c:v>Rail Network Upgrade</c:v>
                </c:pt>
                <c:pt idx="8">
                  <c:v>Smart City Hub</c:v>
                </c:pt>
                <c:pt idx="9">
                  <c:v>Tunnel Project</c:v>
                </c:pt>
              </c:strCache>
            </c:strRef>
          </c:cat>
          <c:val>
            <c:numRef>
              <c:f>project_Analysis!$C$12:$C$22</c:f>
              <c:numCache>
                <c:formatCode>#,##0.00,,"M"</c:formatCode>
                <c:ptCount val="10"/>
                <c:pt idx="0">
                  <c:v>104429839</c:v>
                </c:pt>
                <c:pt idx="1">
                  <c:v>96281138</c:v>
                </c:pt>
                <c:pt idx="2">
                  <c:v>88005382</c:v>
                </c:pt>
                <c:pt idx="3">
                  <c:v>87657584</c:v>
                </c:pt>
                <c:pt idx="4">
                  <c:v>62761006</c:v>
                </c:pt>
                <c:pt idx="5">
                  <c:v>57898289</c:v>
                </c:pt>
                <c:pt idx="6">
                  <c:v>51450020</c:v>
                </c:pt>
                <c:pt idx="7">
                  <c:v>50504761</c:v>
                </c:pt>
                <c:pt idx="8">
                  <c:v>37296310</c:v>
                </c:pt>
                <c:pt idx="9">
                  <c:v>26653560</c:v>
                </c:pt>
              </c:numCache>
            </c:numRef>
          </c:val>
          <c:extLst>
            <c:ext xmlns:c16="http://schemas.microsoft.com/office/drawing/2014/chart" uri="{C3380CC4-5D6E-409C-BE32-E72D297353CC}">
              <c16:uniqueId val="{00000000-1CAB-410D-A686-F68BE974A84D}"/>
            </c:ext>
          </c:extLst>
        </c:ser>
        <c:dLbls>
          <c:dLblPos val="outEnd"/>
          <c:showLegendKey val="0"/>
          <c:showVal val="1"/>
          <c:showCatName val="0"/>
          <c:showSerName val="0"/>
          <c:showPercent val="0"/>
          <c:showBubbleSize val="0"/>
        </c:dLbls>
        <c:gapWidth val="105"/>
        <c:axId val="1425911952"/>
        <c:axId val="1882611823"/>
      </c:barChart>
      <c:catAx>
        <c:axId val="142591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882611823"/>
        <c:crosses val="autoZero"/>
        <c:auto val="1"/>
        <c:lblAlgn val="ctr"/>
        <c:lblOffset val="100"/>
        <c:noMultiLvlLbl val="0"/>
      </c:catAx>
      <c:valAx>
        <c:axId val="1882611823"/>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42591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Cost Breakdown by Category</a:t>
            </a:r>
            <a:endParaRPr lang="en-IN"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cost_analysis!$F$13:$F$19</c:f>
              <c:strCache>
                <c:ptCount val="7"/>
                <c:pt idx="0">
                  <c:v>MaterialCost</c:v>
                </c:pt>
                <c:pt idx="1">
                  <c:v>SubContractor Cost</c:v>
                </c:pt>
                <c:pt idx="2">
                  <c:v>LaborCost</c:v>
                </c:pt>
                <c:pt idx="3">
                  <c:v>EquipmentCost</c:v>
                </c:pt>
                <c:pt idx="4">
                  <c:v>Overhead Cost</c:v>
                </c:pt>
                <c:pt idx="5">
                  <c:v>Travel Cost</c:v>
                </c:pt>
                <c:pt idx="6">
                  <c:v>misc Cost</c:v>
                </c:pt>
              </c:strCache>
            </c:strRef>
          </c:cat>
          <c:val>
            <c:numRef>
              <c:f>cost_analysis!$G$13:$G$19</c:f>
              <c:numCache>
                <c:formatCode>#,##0.0,,"M"</c:formatCode>
                <c:ptCount val="7"/>
                <c:pt idx="0">
                  <c:v>128250156.32999998</c:v>
                </c:pt>
                <c:pt idx="1">
                  <c:v>108970317</c:v>
                </c:pt>
                <c:pt idx="2">
                  <c:v>50650836.509100005</c:v>
                </c:pt>
                <c:pt idx="3">
                  <c:v>41107281</c:v>
                </c:pt>
                <c:pt idx="4">
                  <c:v>3995331.9255999997</c:v>
                </c:pt>
                <c:pt idx="5">
                  <c:v>3104860.8080999996</c:v>
                </c:pt>
                <c:pt idx="6">
                  <c:v>1273700.6251999999</c:v>
                </c:pt>
              </c:numCache>
            </c:numRef>
          </c:val>
          <c:extLst>
            <c:ext xmlns:c16="http://schemas.microsoft.com/office/drawing/2014/chart" uri="{C3380CC4-5D6E-409C-BE32-E72D297353CC}">
              <c16:uniqueId val="{00000000-016B-4530-A4B2-ABC1BFDF3F76}"/>
            </c:ext>
          </c:extLst>
        </c:ser>
        <c:dLbls>
          <c:dLblPos val="outEnd"/>
          <c:showLegendKey val="0"/>
          <c:showVal val="1"/>
          <c:showCatName val="0"/>
          <c:showSerName val="0"/>
          <c:showPercent val="0"/>
          <c:showBubbleSize val="0"/>
        </c:dLbls>
        <c:gapWidth val="182"/>
        <c:axId val="750239567"/>
        <c:axId val="410429135"/>
      </c:barChart>
      <c:catAx>
        <c:axId val="75023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410429135"/>
        <c:crosses val="autoZero"/>
        <c:auto val="1"/>
        <c:lblAlgn val="ctr"/>
        <c:lblOffset val="100"/>
        <c:noMultiLvlLbl val="0"/>
      </c:catAx>
      <c:valAx>
        <c:axId val="410429135"/>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75023956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[Shifana_Project_DataGUC.xlsx]cost_analysis!planned vs actual</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Planned vs Actual Cost by Month </a:t>
            </a:r>
            <a:endParaRPr lang="en-IN"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18813888888888888"/>
          <c:y val="9.2592592592592587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2825896762904"/>
          <c:y val="0.13425925925925927"/>
          <c:w val="0.86519531933508309"/>
          <c:h val="0.63753098571011957"/>
        </c:manualLayout>
      </c:layout>
      <c:barChart>
        <c:barDir val="col"/>
        <c:grouping val="clustered"/>
        <c:varyColors val="0"/>
        <c:ser>
          <c:idx val="0"/>
          <c:order val="0"/>
          <c:tx>
            <c:strRef>
              <c:f>cost_analysis!$C$4</c:f>
              <c:strCache>
                <c:ptCount val="1"/>
                <c:pt idx="0">
                  <c:v>Sum of PlannedBudget USD</c:v>
                </c:pt>
              </c:strCache>
            </c:strRef>
          </c:tx>
          <c:spPr>
            <a:solidFill>
              <a:srgbClr val="002060"/>
            </a:solidFill>
            <a:ln>
              <a:noFill/>
            </a:ln>
            <a:effectLst/>
          </c:spPr>
          <c:invertIfNegative val="0"/>
          <c:cat>
            <c:strRef>
              <c:f>cost_analysis!$B$5:$B$17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cost_analysis!$C$5:$C$17</c:f>
              <c:numCache>
                <c:formatCode>#,##0.00,,"M"</c:formatCode>
                <c:ptCount val="12"/>
                <c:pt idx="0">
                  <c:v>25517960.087799996</c:v>
                </c:pt>
                <c:pt idx="1">
                  <c:v>35682223.3653</c:v>
                </c:pt>
                <c:pt idx="2">
                  <c:v>16350702.691099998</c:v>
                </c:pt>
                <c:pt idx="3">
                  <c:v>9892490.7367999982</c:v>
                </c:pt>
                <c:pt idx="4">
                  <c:v>14542121.831499999</c:v>
                </c:pt>
                <c:pt idx="5">
                  <c:v>12149022.941400001</c:v>
                </c:pt>
                <c:pt idx="6">
                  <c:v>14772798.8982</c:v>
                </c:pt>
                <c:pt idx="7">
                  <c:v>17566078.710300002</c:v>
                </c:pt>
                <c:pt idx="8">
                  <c:v>30082366.532800004</c:v>
                </c:pt>
                <c:pt idx="9">
                  <c:v>14010668.386299999</c:v>
                </c:pt>
                <c:pt idx="10">
                  <c:v>14754793.806000002</c:v>
                </c:pt>
                <c:pt idx="11">
                  <c:v>8369756.1161999991</c:v>
                </c:pt>
              </c:numCache>
            </c:numRef>
          </c:val>
          <c:extLst>
            <c:ext xmlns:c16="http://schemas.microsoft.com/office/drawing/2014/chart" uri="{C3380CC4-5D6E-409C-BE32-E72D297353CC}">
              <c16:uniqueId val="{00000000-2288-4DCB-AD3D-BB97517BA304}"/>
            </c:ext>
          </c:extLst>
        </c:ser>
        <c:ser>
          <c:idx val="1"/>
          <c:order val="1"/>
          <c:tx>
            <c:strRef>
              <c:f>cost_analysis!$D$4</c:f>
              <c:strCache>
                <c:ptCount val="1"/>
                <c:pt idx="0">
                  <c:v>Sum of ActualSpend USD</c:v>
                </c:pt>
              </c:strCache>
            </c:strRef>
          </c:tx>
          <c:spPr>
            <a:solidFill>
              <a:srgbClr val="00B0F0"/>
            </a:solidFill>
            <a:ln>
              <a:noFill/>
            </a:ln>
            <a:effectLst/>
          </c:spPr>
          <c:invertIfNegative val="0"/>
          <c:cat>
            <c:strRef>
              <c:f>cost_analysis!$B$5:$B$17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cost_analysis!$D$5:$D$17</c:f>
              <c:numCache>
                <c:formatCode>#,##0.00,,"M"</c:formatCode>
                <c:ptCount val="12"/>
                <c:pt idx="0">
                  <c:v>30647914.871100001</c:v>
                </c:pt>
                <c:pt idx="1">
                  <c:v>29780629.092599999</c:v>
                </c:pt>
                <c:pt idx="2">
                  <c:v>20435590.740199998</c:v>
                </c:pt>
                <c:pt idx="3">
                  <c:v>10374582.783200001</c:v>
                </c:pt>
                <c:pt idx="4">
                  <c:v>11355632.790800001</c:v>
                </c:pt>
                <c:pt idx="5">
                  <c:v>28818503.594600003</c:v>
                </c:pt>
                <c:pt idx="6">
                  <c:v>10614935.3155</c:v>
                </c:pt>
                <c:pt idx="7">
                  <c:v>7561669.9914000006</c:v>
                </c:pt>
                <c:pt idx="8">
                  <c:v>27430077.013999999</c:v>
                </c:pt>
                <c:pt idx="9">
                  <c:v>23206548.900800001</c:v>
                </c:pt>
                <c:pt idx="10">
                  <c:v>12158275.374599999</c:v>
                </c:pt>
                <c:pt idx="11">
                  <c:v>20198196.513900001</c:v>
                </c:pt>
              </c:numCache>
            </c:numRef>
          </c:val>
          <c:extLst>
            <c:ext xmlns:c16="http://schemas.microsoft.com/office/drawing/2014/chart" uri="{C3380CC4-5D6E-409C-BE32-E72D297353CC}">
              <c16:uniqueId val="{00000001-4B8D-4559-94A3-B9BE252AEED2}"/>
            </c:ext>
          </c:extLst>
        </c:ser>
        <c:dLbls>
          <c:showLegendKey val="0"/>
          <c:showVal val="0"/>
          <c:showCatName val="0"/>
          <c:showSerName val="0"/>
          <c:showPercent val="0"/>
          <c:showBubbleSize val="0"/>
        </c:dLbls>
        <c:gapWidth val="219"/>
        <c:overlap val="-27"/>
        <c:axId val="744812719"/>
        <c:axId val="410447375"/>
      </c:barChart>
      <c:catAx>
        <c:axId val="744812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410447375"/>
        <c:crosses val="autoZero"/>
        <c:auto val="1"/>
        <c:lblAlgn val="ctr"/>
        <c:lblOffset val="100"/>
        <c:noMultiLvlLbl val="0"/>
      </c:catAx>
      <c:valAx>
        <c:axId val="410447375"/>
        <c:scaling>
          <c:orientation val="minMax"/>
        </c:scaling>
        <c:delete val="0"/>
        <c:axPos val="l"/>
        <c:majorGridlines>
          <c:spPr>
            <a:ln w="9525" cap="flat" cmpd="sng" algn="ctr">
              <a:solidFill>
                <a:schemeClr val="tx2">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744812719"/>
        <c:crosses val="autoZero"/>
        <c:crossBetween val="between"/>
      </c:valAx>
      <c:spPr>
        <a:noFill/>
        <a:ln>
          <a:noFill/>
        </a:ln>
        <a:effectLst/>
      </c:spPr>
    </c:plotArea>
    <c:legend>
      <c:legendPos val="r"/>
      <c:layout>
        <c:manualLayout>
          <c:xMode val="edge"/>
          <c:yMode val="edge"/>
          <c:x val="5.5456911636045492E-2"/>
          <c:y val="0.91319335083114606"/>
          <c:w val="0.94454308836395451"/>
          <c:h val="8.6806649168853889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1B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[Shifana_Project_DataGUC.xlsx]cost_analysis!PivotTable3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b="1" i="0" u="sng" strike="noStrike" baseline="0">
                <a:solidFill>
                  <a:srgbClr val="002060"/>
                </a:solidFill>
                <a:latin typeface="Times New Roman" panose="02020603050405020304" pitchFamily="18" charset="0"/>
                <a:cs typeface="Times New Roman" panose="02020603050405020304" pitchFamily="18" charset="0"/>
              </a:rPr>
              <a:t>Actual Spend by Region</a:t>
            </a:r>
            <a:endParaRPr lang="en-IN" sz="1500"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cost_analysis!$G$4</c:f>
              <c:strCache>
                <c:ptCount val="1"/>
                <c:pt idx="0">
                  <c:v>Total</c:v>
                </c:pt>
              </c:strCache>
            </c:strRef>
          </c:tx>
          <c:spPr>
            <a:solidFill>
              <a:srgbClr val="00206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cost_analysis!$F$5:$F$10</c:f>
              <c:strCache>
                <c:ptCount val="5"/>
                <c:pt idx="0">
                  <c:v>GCC</c:v>
                </c:pt>
                <c:pt idx="1">
                  <c:v>Asia</c:v>
                </c:pt>
                <c:pt idx="2">
                  <c:v>Africa</c:v>
                </c:pt>
                <c:pt idx="3">
                  <c:v>Americas</c:v>
                </c:pt>
                <c:pt idx="4">
                  <c:v>Europe</c:v>
                </c:pt>
              </c:strCache>
            </c:strRef>
          </c:cat>
          <c:val>
            <c:numRef>
              <c:f>cost_analysis!$G$5:$G$10</c:f>
              <c:numCache>
                <c:formatCode>#,##0.0,,"M"</c:formatCode>
                <c:ptCount val="5"/>
                <c:pt idx="0">
                  <c:v>83921215.943499997</c:v>
                </c:pt>
                <c:pt idx="1">
                  <c:v>43558259.391199999</c:v>
                </c:pt>
                <c:pt idx="2">
                  <c:v>40246219.508400001</c:v>
                </c:pt>
                <c:pt idx="3">
                  <c:v>32957280.475299999</c:v>
                </c:pt>
                <c:pt idx="4">
                  <c:v>31899581.664299998</c:v>
                </c:pt>
              </c:numCache>
            </c:numRef>
          </c:val>
          <c:extLst>
            <c:ext xmlns:c16="http://schemas.microsoft.com/office/drawing/2014/chart" uri="{C3380CC4-5D6E-409C-BE32-E72D297353CC}">
              <c16:uniqueId val="{00000000-F30D-4F2A-9191-DBB35EF7D756}"/>
            </c:ext>
          </c:extLst>
        </c:ser>
        <c:dLbls>
          <c:dLblPos val="inEnd"/>
          <c:showLegendKey val="0"/>
          <c:showVal val="1"/>
          <c:showCatName val="0"/>
          <c:showSerName val="0"/>
          <c:showPercent val="0"/>
          <c:showBubbleSize val="0"/>
        </c:dLbls>
        <c:gapWidth val="65"/>
        <c:axId val="1439793759"/>
        <c:axId val="421133455"/>
      </c:barChart>
      <c:catAx>
        <c:axId val="14397937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421133455"/>
        <c:crosses val="autoZero"/>
        <c:auto val="1"/>
        <c:lblAlgn val="ctr"/>
        <c:lblOffset val="100"/>
        <c:noMultiLvlLbl val="0"/>
      </c:catAx>
      <c:valAx>
        <c:axId val="4211334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397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[Shifana_Project_DataGUC.xlsx]client_analysis!Top Clients by Contract Value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Top 10 Clients by Contract Value</a:t>
            </a:r>
            <a:endParaRPr lang="en-IN" sz="1600" b="1"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177006780402449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2769028871391"/>
          <c:y val="0.14074074074074075"/>
          <c:w val="0.73736964129483817"/>
          <c:h val="0.75827938174394871"/>
        </c:manualLayout>
      </c:layout>
      <c:barChart>
        <c:barDir val="bar"/>
        <c:grouping val="clustered"/>
        <c:varyColors val="0"/>
        <c:ser>
          <c:idx val="0"/>
          <c:order val="0"/>
          <c:tx>
            <c:strRef>
              <c:f>client_analysis!$C$3</c:f>
              <c:strCache>
                <c:ptCount val="1"/>
                <c:pt idx="0">
                  <c:v>Total</c:v>
                </c:pt>
              </c:strCache>
            </c:strRef>
          </c:tx>
          <c:spPr>
            <a:solidFill>
              <a:srgbClr val="002060"/>
            </a:solidFill>
            <a:ln>
              <a:noFill/>
            </a:ln>
            <a:effectLst/>
          </c:spPr>
          <c:invertIfNegative val="0"/>
          <c:cat>
            <c:strRef>
              <c:f>client_analysis!$B$4:$B$19</c:f>
              <c:strCache>
                <c:ptCount val="15"/>
                <c:pt idx="0">
                  <c:v>NEOM</c:v>
                </c:pt>
                <c:pt idx="1">
                  <c:v>QatarEnergy</c:v>
                </c:pt>
                <c:pt idx="2">
                  <c:v>Siemens</c:v>
                </c:pt>
                <c:pt idx="3">
                  <c:v>ABB Group</c:v>
                </c:pt>
                <c:pt idx="4">
                  <c:v>Samsung C&amp;T</c:v>
                </c:pt>
                <c:pt idx="5">
                  <c:v>Aramco</c:v>
                </c:pt>
                <c:pt idx="6">
                  <c:v>ADNOC</c:v>
                </c:pt>
                <c:pt idx="7">
                  <c:v>L&amp;T</c:v>
                </c:pt>
                <c:pt idx="8">
                  <c:v>Fluor</c:v>
                </c:pt>
                <c:pt idx="9">
                  <c:v>GE Infrastructure</c:v>
                </c:pt>
                <c:pt idx="10">
                  <c:v>China State</c:v>
                </c:pt>
                <c:pt idx="11">
                  <c:v>Larsen</c:v>
                </c:pt>
                <c:pt idx="12">
                  <c:v>ClientX</c:v>
                </c:pt>
                <c:pt idx="13">
                  <c:v>Vinci Construction</c:v>
                </c:pt>
                <c:pt idx="14">
                  <c:v>Bechtel</c:v>
                </c:pt>
              </c:strCache>
            </c:strRef>
          </c:cat>
          <c:val>
            <c:numRef>
              <c:f>client_analysis!$C$4:$C$19</c:f>
              <c:numCache>
                <c:formatCode>#,##0.0,,"M"</c:formatCode>
                <c:ptCount val="15"/>
                <c:pt idx="0">
                  <c:v>316129939</c:v>
                </c:pt>
                <c:pt idx="1">
                  <c:v>311599050</c:v>
                </c:pt>
                <c:pt idx="2">
                  <c:v>277820719</c:v>
                </c:pt>
                <c:pt idx="3">
                  <c:v>260751314</c:v>
                </c:pt>
                <c:pt idx="4">
                  <c:v>240487985</c:v>
                </c:pt>
                <c:pt idx="5">
                  <c:v>182016108</c:v>
                </c:pt>
                <c:pt idx="6">
                  <c:v>168117408</c:v>
                </c:pt>
                <c:pt idx="7">
                  <c:v>135637673</c:v>
                </c:pt>
                <c:pt idx="8">
                  <c:v>129272141</c:v>
                </c:pt>
                <c:pt idx="9">
                  <c:v>119336157</c:v>
                </c:pt>
                <c:pt idx="10">
                  <c:v>112365959</c:v>
                </c:pt>
                <c:pt idx="11">
                  <c:v>107325416</c:v>
                </c:pt>
                <c:pt idx="12">
                  <c:v>59292162</c:v>
                </c:pt>
                <c:pt idx="13">
                  <c:v>43611069</c:v>
                </c:pt>
                <c:pt idx="14">
                  <c:v>13257608</c:v>
                </c:pt>
              </c:numCache>
            </c:numRef>
          </c:val>
          <c:extLst>
            <c:ext xmlns:c16="http://schemas.microsoft.com/office/drawing/2014/chart" uri="{C3380CC4-5D6E-409C-BE32-E72D297353CC}">
              <c16:uniqueId val="{00000000-E495-4ECB-9249-6012BD1133B2}"/>
            </c:ext>
          </c:extLst>
        </c:ser>
        <c:dLbls>
          <c:showLegendKey val="0"/>
          <c:showVal val="0"/>
          <c:showCatName val="0"/>
          <c:showSerName val="0"/>
          <c:showPercent val="0"/>
          <c:showBubbleSize val="0"/>
        </c:dLbls>
        <c:gapWidth val="182"/>
        <c:axId val="249321983"/>
        <c:axId val="1086248399"/>
      </c:barChart>
      <c:catAx>
        <c:axId val="24932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086248399"/>
        <c:crosses val="autoZero"/>
        <c:auto val="1"/>
        <c:lblAlgn val="ctr"/>
        <c:lblOffset val="100"/>
        <c:noMultiLvlLbl val="0"/>
      </c:catAx>
      <c:valAx>
        <c:axId val="108624839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4932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[Shifana_Project_DataGUC.xlsx]client_analysis!PivotTable1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Top 10 Clients by Outstanding Balance</a:t>
            </a:r>
            <a:endParaRPr lang="en-IN"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client_analysis!$F$3</c:f>
              <c:strCache>
                <c:ptCount val="1"/>
                <c:pt idx="0">
                  <c:v>Total</c:v>
                </c:pt>
              </c:strCache>
            </c:strRef>
          </c:tx>
          <c:spPr>
            <a:solidFill>
              <a:srgbClr val="002060"/>
            </a:solidFill>
            <a:ln>
              <a:noFill/>
            </a:ln>
            <a:effectLst/>
          </c:spPr>
          <c:invertIfNegative val="0"/>
          <c:cat>
            <c:strRef>
              <c:f>client_analysis!$E$4:$E$14</c:f>
              <c:strCache>
                <c:ptCount val="10"/>
                <c:pt idx="0">
                  <c:v>NEOM</c:v>
                </c:pt>
                <c:pt idx="1">
                  <c:v>ADNOC</c:v>
                </c:pt>
                <c:pt idx="2">
                  <c:v>QatarEnergy</c:v>
                </c:pt>
                <c:pt idx="3">
                  <c:v>Bechtel</c:v>
                </c:pt>
                <c:pt idx="4">
                  <c:v>L&amp;T</c:v>
                </c:pt>
                <c:pt idx="5">
                  <c:v>Samsung C&amp;T</c:v>
                </c:pt>
                <c:pt idx="6">
                  <c:v>Vinci Construction</c:v>
                </c:pt>
                <c:pt idx="7">
                  <c:v>China State</c:v>
                </c:pt>
                <c:pt idx="8">
                  <c:v>GE Infrastructure</c:v>
                </c:pt>
                <c:pt idx="9">
                  <c:v>ABB Group</c:v>
                </c:pt>
              </c:strCache>
            </c:strRef>
          </c:cat>
          <c:val>
            <c:numRef>
              <c:f>client_analysis!$F$4:$F$14</c:f>
              <c:numCache>
                <c:formatCode>#,##0.0,,"M"</c:formatCode>
                <c:ptCount val="10"/>
                <c:pt idx="0">
                  <c:v>15940198</c:v>
                </c:pt>
                <c:pt idx="1">
                  <c:v>14174624</c:v>
                </c:pt>
                <c:pt idx="2">
                  <c:v>10317082</c:v>
                </c:pt>
                <c:pt idx="3">
                  <c:v>10021482</c:v>
                </c:pt>
                <c:pt idx="4">
                  <c:v>10011138</c:v>
                </c:pt>
                <c:pt idx="5">
                  <c:v>9846877</c:v>
                </c:pt>
                <c:pt idx="6">
                  <c:v>9683342</c:v>
                </c:pt>
                <c:pt idx="7">
                  <c:v>9190376</c:v>
                </c:pt>
                <c:pt idx="8">
                  <c:v>8359241</c:v>
                </c:pt>
                <c:pt idx="9">
                  <c:v>7664695</c:v>
                </c:pt>
              </c:numCache>
            </c:numRef>
          </c:val>
          <c:extLst>
            <c:ext xmlns:c16="http://schemas.microsoft.com/office/drawing/2014/chart" uri="{C3380CC4-5D6E-409C-BE32-E72D297353CC}">
              <c16:uniqueId val="{00000000-9F73-40B3-A9DB-300E02DCF5B6}"/>
            </c:ext>
          </c:extLst>
        </c:ser>
        <c:dLbls>
          <c:showLegendKey val="0"/>
          <c:showVal val="0"/>
          <c:showCatName val="0"/>
          <c:showSerName val="0"/>
          <c:showPercent val="0"/>
          <c:showBubbleSize val="0"/>
        </c:dLbls>
        <c:gapWidth val="150"/>
        <c:overlap val="100"/>
        <c:axId val="243298847"/>
        <c:axId val="1086276719"/>
      </c:barChart>
      <c:catAx>
        <c:axId val="2432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086276719"/>
        <c:crosses val="autoZero"/>
        <c:auto val="1"/>
        <c:lblAlgn val="ctr"/>
        <c:lblOffset val="100"/>
        <c:noMultiLvlLbl val="0"/>
      </c:catAx>
      <c:valAx>
        <c:axId val="108627671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4329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[Shifana_Project_DataGUC.xlsx]client_analysis!count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Contract Value by Region</a:t>
            </a:r>
            <a:endParaRPr lang="en-US"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9331089837836"/>
          <c:y val="0.17314814814814813"/>
          <c:w val="0.70125897125929804"/>
          <c:h val="0.72124234470691162"/>
        </c:manualLayout>
      </c:layout>
      <c:barChart>
        <c:barDir val="bar"/>
        <c:grouping val="clustered"/>
        <c:varyColors val="0"/>
        <c:ser>
          <c:idx val="0"/>
          <c:order val="0"/>
          <c:tx>
            <c:strRef>
              <c:f>client_analysis!$I$3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client_analysis!$H$4:$H$9</c:f>
              <c:strCache>
                <c:ptCount val="5"/>
                <c:pt idx="0">
                  <c:v>GCC</c:v>
                </c:pt>
                <c:pt idx="1">
                  <c:v>Americas</c:v>
                </c:pt>
                <c:pt idx="2">
                  <c:v>Europe</c:v>
                </c:pt>
                <c:pt idx="3">
                  <c:v>Africa</c:v>
                </c:pt>
                <c:pt idx="4">
                  <c:v>Middle East</c:v>
                </c:pt>
              </c:strCache>
            </c:strRef>
          </c:cat>
          <c:val>
            <c:numRef>
              <c:f>client_analysis!$I$4:$I$9</c:f>
              <c:numCache>
                <c:formatCode>#,##0.0,,"M"</c:formatCode>
                <c:ptCount val="5"/>
                <c:pt idx="0">
                  <c:v>929081254</c:v>
                </c:pt>
                <c:pt idx="1">
                  <c:v>569272197</c:v>
                </c:pt>
                <c:pt idx="2">
                  <c:v>444438297</c:v>
                </c:pt>
                <c:pt idx="3">
                  <c:v>421863001</c:v>
                </c:pt>
                <c:pt idx="4">
                  <c:v>112365959</c:v>
                </c:pt>
              </c:numCache>
            </c:numRef>
          </c:val>
          <c:extLst>
            <c:ext xmlns:c16="http://schemas.microsoft.com/office/drawing/2014/chart" uri="{C3380CC4-5D6E-409C-BE32-E72D297353CC}">
              <c16:uniqueId val="{00000000-DF33-4237-98DC-AEE61DAE92D0}"/>
            </c:ext>
          </c:extLst>
        </c:ser>
        <c:dLbls>
          <c:dLblPos val="outEnd"/>
          <c:showLegendKey val="0"/>
          <c:showVal val="1"/>
          <c:showCatName val="0"/>
          <c:showSerName val="0"/>
          <c:showPercent val="0"/>
          <c:showBubbleSize val="0"/>
        </c:dLbls>
        <c:gapWidth val="182"/>
        <c:axId val="243328079"/>
        <c:axId val="1086276239"/>
      </c:barChart>
      <c:catAx>
        <c:axId val="24332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086276239"/>
        <c:crosses val="autoZero"/>
        <c:auto val="1"/>
        <c:lblAlgn val="ctr"/>
        <c:lblOffset val="100"/>
        <c:noMultiLvlLbl val="0"/>
      </c:catAx>
      <c:valAx>
        <c:axId val="108627623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4332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[Shifana_Project_DataGUC.xlsx]client_analysis!count by industry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rgbClr val="002060"/>
                </a:solidFill>
                <a:latin typeface="Times New Roman" panose="02020603050405020304" pitchFamily="18" charset="0"/>
                <a:cs typeface="Times New Roman" panose="02020603050405020304" pitchFamily="18" charset="0"/>
              </a:rPr>
              <a:t>Contract Value by Industry</a:t>
            </a:r>
            <a:endParaRPr lang="en-US" sz="14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5.5555555555555297E-3"/>
              <c:y val="-2.69130941965587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8.3333333333333332E-3"/>
              <c:y val="-2.715952172645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2.7777777777777779E-3"/>
              <c:y val="-3.2255030621172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5.5555555555554534E-3"/>
              <c:y val="-2.8598716827063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32174103237097"/>
          <c:y val="0.13009259259259259"/>
          <c:w val="0.83290048118985127"/>
          <c:h val="0.76567111402741328"/>
        </c:manualLayout>
      </c:layout>
      <c:bar3DChart>
        <c:barDir val="col"/>
        <c:grouping val="clustered"/>
        <c:varyColors val="0"/>
        <c:ser>
          <c:idx val="0"/>
          <c:order val="0"/>
          <c:tx>
            <c:strRef>
              <c:f>client_analysis!$L$3</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1-08DB-4B94-9498-BA6C81C44FC9}"/>
              </c:ext>
            </c:extLst>
          </c:dPt>
          <c:dPt>
            <c:idx val="1"/>
            <c:invertIfNegative val="0"/>
            <c:bubble3D val="0"/>
            <c:extLst>
              <c:ext xmlns:c16="http://schemas.microsoft.com/office/drawing/2014/chart" uri="{C3380CC4-5D6E-409C-BE32-E72D297353CC}">
                <c16:uniqueId val="{00000002-08DB-4B94-9498-BA6C81C44FC9}"/>
              </c:ext>
            </c:extLst>
          </c:dPt>
          <c:dPt>
            <c:idx val="2"/>
            <c:invertIfNegative val="0"/>
            <c:bubble3D val="0"/>
            <c:extLst>
              <c:ext xmlns:c16="http://schemas.microsoft.com/office/drawing/2014/chart" uri="{C3380CC4-5D6E-409C-BE32-E72D297353CC}">
                <c16:uniqueId val="{00000003-08DB-4B94-9498-BA6C81C44FC9}"/>
              </c:ext>
            </c:extLst>
          </c:dPt>
          <c:dPt>
            <c:idx val="3"/>
            <c:invertIfNegative val="0"/>
            <c:bubble3D val="0"/>
            <c:extLst>
              <c:ext xmlns:c16="http://schemas.microsoft.com/office/drawing/2014/chart" uri="{C3380CC4-5D6E-409C-BE32-E72D297353CC}">
                <c16:uniqueId val="{00000004-08DB-4B94-9498-BA6C81C44FC9}"/>
              </c:ext>
            </c:extLst>
          </c:dPt>
          <c:dLbls>
            <c:dLbl>
              <c:idx val="0"/>
              <c:layout>
                <c:manualLayout>
                  <c:x val="5.5555555555555297E-3"/>
                  <c:y val="-2.6913094196558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DB-4B94-9498-BA6C81C44FC9}"/>
                </c:ext>
              </c:extLst>
            </c:dLbl>
            <c:dLbl>
              <c:idx val="1"/>
              <c:layout>
                <c:manualLayout>
                  <c:x val="8.3333333333333332E-3"/>
                  <c:y val="-2.715952172645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DB-4B94-9498-BA6C81C44FC9}"/>
                </c:ext>
              </c:extLst>
            </c:dLbl>
            <c:dLbl>
              <c:idx val="2"/>
              <c:layout>
                <c:manualLayout>
                  <c:x val="2.7777777777777779E-3"/>
                  <c:y val="-3.2255030621172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DB-4B94-9498-BA6C81C44FC9}"/>
                </c:ext>
              </c:extLst>
            </c:dLbl>
            <c:dLbl>
              <c:idx val="3"/>
              <c:layout>
                <c:manualLayout>
                  <c:x val="5.5555555555554534E-3"/>
                  <c:y val="-2.85987168270632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DB-4B94-9498-BA6C81C44F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client_analysis!$K$4:$K$8</c:f>
              <c:strCache>
                <c:ptCount val="4"/>
                <c:pt idx="0">
                  <c:v>Real Estate</c:v>
                </c:pt>
                <c:pt idx="1">
                  <c:v>Energy</c:v>
                </c:pt>
                <c:pt idx="2">
                  <c:v>Oil &amp; Gas</c:v>
                </c:pt>
                <c:pt idx="3">
                  <c:v>Infrastructure</c:v>
                </c:pt>
              </c:strCache>
            </c:strRef>
          </c:cat>
          <c:val>
            <c:numRef>
              <c:f>client_analysis!$L$4:$L$8</c:f>
              <c:numCache>
                <c:formatCode>#,##0.0,,"M"</c:formatCode>
                <c:ptCount val="4"/>
                <c:pt idx="0">
                  <c:v>1018159124</c:v>
                </c:pt>
                <c:pt idx="1">
                  <c:v>679675780</c:v>
                </c:pt>
                <c:pt idx="2">
                  <c:v>537877534</c:v>
                </c:pt>
                <c:pt idx="3">
                  <c:v>241308270</c:v>
                </c:pt>
              </c:numCache>
            </c:numRef>
          </c:val>
          <c:extLst>
            <c:ext xmlns:c16="http://schemas.microsoft.com/office/drawing/2014/chart" uri="{C3380CC4-5D6E-409C-BE32-E72D297353CC}">
              <c16:uniqueId val="{00000000-08DB-4B94-9498-BA6C81C44FC9}"/>
            </c:ext>
          </c:extLst>
        </c:ser>
        <c:dLbls>
          <c:showLegendKey val="0"/>
          <c:showVal val="1"/>
          <c:showCatName val="0"/>
          <c:showSerName val="0"/>
          <c:showPercent val="0"/>
          <c:showBubbleSize val="0"/>
        </c:dLbls>
        <c:gapWidth val="150"/>
        <c:shape val="box"/>
        <c:axId val="249338687"/>
        <c:axId val="1086270959"/>
        <c:axId val="0"/>
      </c:bar3DChart>
      <c:catAx>
        <c:axId val="24933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086270959"/>
        <c:crosses val="autoZero"/>
        <c:auto val="1"/>
        <c:lblAlgn val="ctr"/>
        <c:lblOffset val="100"/>
        <c:noMultiLvlLbl val="0"/>
      </c:catAx>
      <c:valAx>
        <c:axId val="108627095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4933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[Shifana_Project_DataGUC.xlsx]client_analysis!PivotTable3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Client Rating Analysis</a:t>
            </a:r>
            <a:endParaRPr lang="en-IN"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B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client_analysis!$O$3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B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client_analysis!$N$4:$N$9</c:f>
              <c:strCache>
                <c:ptCount val="5"/>
                <c:pt idx="0">
                  <c:v>A</c:v>
                </c:pt>
                <c:pt idx="1">
                  <c:v>AA</c:v>
                </c:pt>
                <c:pt idx="2">
                  <c:v>B</c:v>
                </c:pt>
                <c:pt idx="3">
                  <c:v>C</c:v>
                </c:pt>
                <c:pt idx="4">
                  <c:v>Unknown</c:v>
                </c:pt>
              </c:strCache>
            </c:strRef>
          </c:cat>
          <c:val>
            <c:numRef>
              <c:f>client_analysis!$O$4:$O$9</c:f>
              <c:numCache>
                <c:formatCode>#,##0.0,,"M"</c:formatCode>
                <c:ptCount val="5"/>
                <c:pt idx="0">
                  <c:v>701622505</c:v>
                </c:pt>
                <c:pt idx="1">
                  <c:v>633783720</c:v>
                </c:pt>
                <c:pt idx="2">
                  <c:v>43611069</c:v>
                </c:pt>
                <c:pt idx="3">
                  <c:v>277820719</c:v>
                </c:pt>
                <c:pt idx="4">
                  <c:v>820182695</c:v>
                </c:pt>
              </c:numCache>
            </c:numRef>
          </c:val>
          <c:extLst>
            <c:ext xmlns:c16="http://schemas.microsoft.com/office/drawing/2014/chart" uri="{C3380CC4-5D6E-409C-BE32-E72D297353CC}">
              <c16:uniqueId val="{00000000-B463-4892-BCF2-679605BF38B4}"/>
            </c:ext>
          </c:extLst>
        </c:ser>
        <c:dLbls>
          <c:dLblPos val="outEnd"/>
          <c:showLegendKey val="0"/>
          <c:showVal val="1"/>
          <c:showCatName val="0"/>
          <c:showSerName val="0"/>
          <c:showPercent val="0"/>
          <c:showBubbleSize val="0"/>
        </c:dLbls>
        <c:gapWidth val="219"/>
        <c:axId val="1162811295"/>
        <c:axId val="1086244559"/>
      </c:barChart>
      <c:valAx>
        <c:axId val="1086244559"/>
        <c:scaling>
          <c:orientation val="minMax"/>
        </c:scaling>
        <c:delete val="0"/>
        <c:axPos val="l"/>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162811295"/>
        <c:crosses val="autoZero"/>
        <c:crossBetween val="between"/>
      </c:valAx>
      <c:catAx>
        <c:axId val="1162811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0862445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[Shifana_Project_DataGUC.xlsx]client_analysis!PivotTable4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Outstanding Balance by Payment Terms</a:t>
            </a:r>
            <a:endParaRPr lang="en-IN"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B5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2376521116678"/>
          <c:y val="0.17777777777777778"/>
          <c:w val="0.88455695104227672"/>
          <c:h val="0.72124234470691162"/>
        </c:manualLayout>
      </c:layout>
      <c:barChart>
        <c:barDir val="col"/>
        <c:grouping val="stacked"/>
        <c:varyColors val="0"/>
        <c:ser>
          <c:idx val="0"/>
          <c:order val="0"/>
          <c:tx>
            <c:strRef>
              <c:f>client_analysis!$O$11</c:f>
              <c:strCache>
                <c:ptCount val="1"/>
                <c:pt idx="0">
                  <c:v>Total</c:v>
                </c:pt>
              </c:strCache>
            </c:strRef>
          </c:tx>
          <c:spPr>
            <a:solidFill>
              <a:srgbClr val="00206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B5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client_analysis!$N$12:$N$16</c:f>
              <c:strCache>
                <c:ptCount val="4"/>
                <c:pt idx="0">
                  <c:v>30</c:v>
                </c:pt>
                <c:pt idx="1">
                  <c:v>45</c:v>
                </c:pt>
                <c:pt idx="2">
                  <c:v>60</c:v>
                </c:pt>
                <c:pt idx="3">
                  <c:v>90</c:v>
                </c:pt>
              </c:strCache>
            </c:strRef>
          </c:cat>
          <c:val>
            <c:numRef>
              <c:f>client_analysis!$O$12:$O$16</c:f>
              <c:numCache>
                <c:formatCode>#,##0.0,,"M"</c:formatCode>
                <c:ptCount val="4"/>
                <c:pt idx="0">
                  <c:v>15940198</c:v>
                </c:pt>
                <c:pt idx="1">
                  <c:v>29541357</c:v>
                </c:pt>
                <c:pt idx="2">
                  <c:v>32555347</c:v>
                </c:pt>
                <c:pt idx="3">
                  <c:v>43370726</c:v>
                </c:pt>
              </c:numCache>
            </c:numRef>
          </c:val>
          <c:extLst>
            <c:ext xmlns:c16="http://schemas.microsoft.com/office/drawing/2014/chart" uri="{C3380CC4-5D6E-409C-BE32-E72D297353CC}">
              <c16:uniqueId val="{00000000-D08C-4E34-BDBB-E6C42C6A995E}"/>
            </c:ext>
          </c:extLst>
        </c:ser>
        <c:dLbls>
          <c:dLblPos val="ctr"/>
          <c:showLegendKey val="0"/>
          <c:showVal val="1"/>
          <c:showCatName val="0"/>
          <c:showSerName val="0"/>
          <c:showPercent val="0"/>
          <c:showBubbleSize val="0"/>
        </c:dLbls>
        <c:gapWidth val="150"/>
        <c:overlap val="100"/>
        <c:axId val="1162819183"/>
        <c:axId val="1086257999"/>
      </c:barChart>
      <c:catAx>
        <c:axId val="116281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86257999"/>
        <c:crosses val="autoZero"/>
        <c:auto val="1"/>
        <c:lblAlgn val="ctr"/>
        <c:lblOffset val="100"/>
        <c:noMultiLvlLbl val="0"/>
      </c:catAx>
      <c:valAx>
        <c:axId val="108625799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16281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[Shifana_Project_DataGUC.xlsx]estimator_analysis!PivotTable7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rgbClr val="002060"/>
                </a:solidFill>
                <a:latin typeface="Times New Roman" panose="02020603050405020304" pitchFamily="18" charset="0"/>
                <a:cs typeface="Times New Roman" panose="02020603050405020304" pitchFamily="18" charset="0"/>
              </a:rPr>
              <a:t>Estimator</a:t>
            </a:r>
            <a:r>
              <a:rPr lang="en-US" sz="1600" b="1" u="sng" baseline="0">
                <a:solidFill>
                  <a:srgbClr val="002060"/>
                </a:solidFill>
                <a:latin typeface="Times New Roman" panose="02020603050405020304" pitchFamily="18" charset="0"/>
                <a:cs typeface="Times New Roman" panose="02020603050405020304" pitchFamily="18" charset="0"/>
              </a:rPr>
              <a:t> Win Rate</a:t>
            </a:r>
            <a:endParaRPr lang="en-US"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8915272309711"/>
          <c:y val="0.15462962962962962"/>
          <c:w val="0.79313955436421513"/>
          <c:h val="0.63790901137357836"/>
        </c:manualLayout>
      </c:layout>
      <c:barChart>
        <c:barDir val="bar"/>
        <c:grouping val="clustered"/>
        <c:varyColors val="0"/>
        <c:ser>
          <c:idx val="0"/>
          <c:order val="0"/>
          <c:tx>
            <c:strRef>
              <c:f>estimator_analysis!$C$3</c:f>
              <c:strCache>
                <c:ptCount val="1"/>
                <c:pt idx="0">
                  <c:v>Sum of BidsWon</c:v>
                </c:pt>
              </c:strCache>
            </c:strRef>
          </c:tx>
          <c:spPr>
            <a:solidFill>
              <a:srgbClr val="00B0F0"/>
            </a:solidFill>
            <a:ln>
              <a:noFill/>
            </a:ln>
            <a:effectLst/>
          </c:spPr>
          <c:invertIfNegative val="0"/>
          <c:cat>
            <c:strRef>
              <c:f>estimator_analysis!$B$4:$B$14</c:f>
              <c:strCache>
                <c:ptCount val="10"/>
                <c:pt idx="0">
                  <c:v>Fatima</c:v>
                </c:pt>
                <c:pt idx="1">
                  <c:v>James</c:v>
                </c:pt>
                <c:pt idx="2">
                  <c:v>John</c:v>
                </c:pt>
                <c:pt idx="3">
                  <c:v>Priya</c:v>
                </c:pt>
                <c:pt idx="4">
                  <c:v>Carlos</c:v>
                </c:pt>
                <c:pt idx="5">
                  <c:v>Hana</c:v>
                </c:pt>
                <c:pt idx="6">
                  <c:v>Mohamed</c:v>
                </c:pt>
                <c:pt idx="7">
                  <c:v>Wei</c:v>
                </c:pt>
                <c:pt idx="8">
                  <c:v>Ali</c:v>
                </c:pt>
                <c:pt idx="9">
                  <c:v>Sarah</c:v>
                </c:pt>
              </c:strCache>
            </c:strRef>
          </c:cat>
          <c:val>
            <c:numRef>
              <c:f>estimator_analysis!$C$4:$C$14</c:f>
              <c:numCache>
                <c:formatCode>General</c:formatCode>
                <c:ptCount val="10"/>
                <c:pt idx="0">
                  <c:v>19</c:v>
                </c:pt>
                <c:pt idx="1">
                  <c:v>20</c:v>
                </c:pt>
                <c:pt idx="2">
                  <c:v>10</c:v>
                </c:pt>
                <c:pt idx="3">
                  <c:v>39</c:v>
                </c:pt>
                <c:pt idx="4">
                  <c:v>12</c:v>
                </c:pt>
                <c:pt idx="5">
                  <c:v>27</c:v>
                </c:pt>
                <c:pt idx="6">
                  <c:v>26</c:v>
                </c:pt>
                <c:pt idx="7">
                  <c:v>26</c:v>
                </c:pt>
                <c:pt idx="8">
                  <c:v>35</c:v>
                </c:pt>
                <c:pt idx="9">
                  <c:v>13</c:v>
                </c:pt>
              </c:numCache>
            </c:numRef>
          </c:val>
          <c:extLst>
            <c:ext xmlns:c16="http://schemas.microsoft.com/office/drawing/2014/chart" uri="{C3380CC4-5D6E-409C-BE32-E72D297353CC}">
              <c16:uniqueId val="{00000000-ED43-48F1-98D9-5412672DE786}"/>
            </c:ext>
          </c:extLst>
        </c:ser>
        <c:ser>
          <c:idx val="1"/>
          <c:order val="1"/>
          <c:tx>
            <c:strRef>
              <c:f>estimator_analysis!$D$3</c:f>
              <c:strCache>
                <c:ptCount val="1"/>
                <c:pt idx="0">
                  <c:v>Sum of TotalBids</c:v>
                </c:pt>
              </c:strCache>
            </c:strRef>
          </c:tx>
          <c:spPr>
            <a:solidFill>
              <a:srgbClr val="002060"/>
            </a:solidFill>
            <a:ln>
              <a:noFill/>
            </a:ln>
            <a:effectLst/>
          </c:spPr>
          <c:invertIfNegative val="0"/>
          <c:cat>
            <c:strRef>
              <c:f>estimator_analysis!$B$4:$B$14</c:f>
              <c:strCache>
                <c:ptCount val="10"/>
                <c:pt idx="0">
                  <c:v>Fatima</c:v>
                </c:pt>
                <c:pt idx="1">
                  <c:v>James</c:v>
                </c:pt>
                <c:pt idx="2">
                  <c:v>John</c:v>
                </c:pt>
                <c:pt idx="3">
                  <c:v>Priya</c:v>
                </c:pt>
                <c:pt idx="4">
                  <c:v>Carlos</c:v>
                </c:pt>
                <c:pt idx="5">
                  <c:v>Hana</c:v>
                </c:pt>
                <c:pt idx="6">
                  <c:v>Mohamed</c:v>
                </c:pt>
                <c:pt idx="7">
                  <c:v>Wei</c:v>
                </c:pt>
                <c:pt idx="8">
                  <c:v>Ali</c:v>
                </c:pt>
                <c:pt idx="9">
                  <c:v>Sarah</c:v>
                </c:pt>
              </c:strCache>
            </c:strRef>
          </c:cat>
          <c:val>
            <c:numRef>
              <c:f>estimator_analysis!$D$4:$D$14</c:f>
              <c:numCache>
                <c:formatCode>General</c:formatCode>
                <c:ptCount val="10"/>
                <c:pt idx="0">
                  <c:v>30</c:v>
                </c:pt>
                <c:pt idx="1">
                  <c:v>46</c:v>
                </c:pt>
                <c:pt idx="2">
                  <c:v>18</c:v>
                </c:pt>
                <c:pt idx="3">
                  <c:v>58</c:v>
                </c:pt>
                <c:pt idx="4">
                  <c:v>12</c:v>
                </c:pt>
                <c:pt idx="5">
                  <c:v>7</c:v>
                </c:pt>
                <c:pt idx="6">
                  <c:v>14</c:v>
                </c:pt>
                <c:pt idx="7">
                  <c:v>45</c:v>
                </c:pt>
                <c:pt idx="8">
                  <c:v>66</c:v>
                </c:pt>
                <c:pt idx="9">
                  <c:v>20</c:v>
                </c:pt>
              </c:numCache>
            </c:numRef>
          </c:val>
          <c:extLst>
            <c:ext xmlns:c16="http://schemas.microsoft.com/office/drawing/2014/chart" uri="{C3380CC4-5D6E-409C-BE32-E72D297353CC}">
              <c16:uniqueId val="{00000000-9E50-4AD9-9DAD-F9F2AC2AAFB7}"/>
            </c:ext>
          </c:extLst>
        </c:ser>
        <c:ser>
          <c:idx val="2"/>
          <c:order val="2"/>
          <c:tx>
            <c:strRef>
              <c:f>estimator_analysis!$E$3</c:f>
              <c:strCache>
                <c:ptCount val="1"/>
                <c:pt idx="0">
                  <c:v>Sum of WinRate</c:v>
                </c:pt>
              </c:strCache>
            </c:strRef>
          </c:tx>
          <c:spPr>
            <a:solidFill>
              <a:srgbClr val="C00000"/>
            </a:solidFill>
            <a:ln>
              <a:noFill/>
            </a:ln>
            <a:effectLst/>
          </c:spPr>
          <c:invertIfNegative val="0"/>
          <c:cat>
            <c:strRef>
              <c:f>estimator_analysis!$B$4:$B$14</c:f>
              <c:strCache>
                <c:ptCount val="10"/>
                <c:pt idx="0">
                  <c:v>Fatima</c:v>
                </c:pt>
                <c:pt idx="1">
                  <c:v>James</c:v>
                </c:pt>
                <c:pt idx="2">
                  <c:v>John</c:v>
                </c:pt>
                <c:pt idx="3">
                  <c:v>Priya</c:v>
                </c:pt>
                <c:pt idx="4">
                  <c:v>Carlos</c:v>
                </c:pt>
                <c:pt idx="5">
                  <c:v>Hana</c:v>
                </c:pt>
                <c:pt idx="6">
                  <c:v>Mohamed</c:v>
                </c:pt>
                <c:pt idx="7">
                  <c:v>Wei</c:v>
                </c:pt>
                <c:pt idx="8">
                  <c:v>Ali</c:v>
                </c:pt>
                <c:pt idx="9">
                  <c:v>Sarah</c:v>
                </c:pt>
              </c:strCache>
            </c:strRef>
          </c:cat>
          <c:val>
            <c:numRef>
              <c:f>estimator_analysis!$E$4:$E$14</c:f>
              <c:numCache>
                <c:formatCode>General</c:formatCode>
                <c:ptCount val="10"/>
                <c:pt idx="0">
                  <c:v>0.73</c:v>
                </c:pt>
                <c:pt idx="1">
                  <c:v>0.61</c:v>
                </c:pt>
                <c:pt idx="2">
                  <c:v>0.6</c:v>
                </c:pt>
                <c:pt idx="3">
                  <c:v>0.49</c:v>
                </c:pt>
                <c:pt idx="4">
                  <c:v>0.42</c:v>
                </c:pt>
                <c:pt idx="5">
                  <c:v>0.39</c:v>
                </c:pt>
                <c:pt idx="6">
                  <c:v>0.3</c:v>
                </c:pt>
                <c:pt idx="7">
                  <c:v>0.28999999999999998</c:v>
                </c:pt>
                <c:pt idx="8">
                  <c:v>0.24</c:v>
                </c:pt>
              </c:numCache>
            </c:numRef>
          </c:val>
          <c:extLst>
            <c:ext xmlns:c16="http://schemas.microsoft.com/office/drawing/2014/chart" uri="{C3380CC4-5D6E-409C-BE32-E72D297353CC}">
              <c16:uniqueId val="{00000001-9E50-4AD9-9DAD-F9F2AC2AAFB7}"/>
            </c:ext>
          </c:extLst>
        </c:ser>
        <c:dLbls>
          <c:showLegendKey val="0"/>
          <c:showVal val="0"/>
          <c:showCatName val="0"/>
          <c:showSerName val="0"/>
          <c:showPercent val="0"/>
          <c:showBubbleSize val="0"/>
        </c:dLbls>
        <c:gapWidth val="100"/>
        <c:axId val="1425960672"/>
        <c:axId val="421133455"/>
      </c:barChart>
      <c:catAx>
        <c:axId val="142596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421133455"/>
        <c:crosses val="autoZero"/>
        <c:auto val="1"/>
        <c:lblAlgn val="ctr"/>
        <c:lblOffset val="100"/>
        <c:noMultiLvlLbl val="0"/>
      </c:catAx>
      <c:valAx>
        <c:axId val="421133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425960672"/>
        <c:crosses val="autoZero"/>
        <c:crossBetween val="between"/>
      </c:valAx>
      <c:spPr>
        <a:noFill/>
        <a:ln>
          <a:noFill/>
        </a:ln>
        <a:effectLst/>
      </c:spPr>
    </c:plotArea>
    <c:legend>
      <c:legendPos val="r"/>
      <c:layout>
        <c:manualLayout>
          <c:xMode val="edge"/>
          <c:yMode val="edge"/>
          <c:x val="8.4203849518810145E-3"/>
          <c:y val="0.90695355788859722"/>
          <c:w val="0.97213517060367449"/>
          <c:h val="8.6092884222805491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[Shifana_Project_DataGUC.xlsx]estimator_analysis!PivotTable15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Quarterly Performance</a:t>
            </a:r>
            <a:endParaRPr lang="en-US" sz="1600" b="1"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estimator_analysis!$C$16</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cat>
            <c:strRef>
              <c:f>estimator_analysis!$B$17:$B$21</c:f>
              <c:strCache>
                <c:ptCount val="4"/>
                <c:pt idx="0">
                  <c:v>Qtr1</c:v>
                </c:pt>
                <c:pt idx="1">
                  <c:v>Qtr2</c:v>
                </c:pt>
                <c:pt idx="2">
                  <c:v>Qtr3</c:v>
                </c:pt>
                <c:pt idx="3">
                  <c:v>Qtr4</c:v>
                </c:pt>
              </c:strCache>
            </c:strRef>
          </c:cat>
          <c:val>
            <c:numRef>
              <c:f>estimator_analysis!$C$17:$C$21</c:f>
              <c:numCache>
                <c:formatCode>#,##0.00,,"M"</c:formatCode>
                <c:ptCount val="4"/>
                <c:pt idx="0">
                  <c:v>159263157</c:v>
                </c:pt>
                <c:pt idx="1">
                  <c:v>35607221</c:v>
                </c:pt>
                <c:pt idx="2">
                  <c:v>136117492</c:v>
                </c:pt>
                <c:pt idx="3">
                  <c:v>30482510</c:v>
                </c:pt>
              </c:numCache>
            </c:numRef>
          </c:val>
          <c:smooth val="0"/>
          <c:extLst>
            <c:ext xmlns:c16="http://schemas.microsoft.com/office/drawing/2014/chart" uri="{C3380CC4-5D6E-409C-BE32-E72D297353CC}">
              <c16:uniqueId val="{00000000-DC1C-4457-96BC-060D8A01EB7E}"/>
            </c:ext>
          </c:extLst>
        </c:ser>
        <c:dLbls>
          <c:showLegendKey val="0"/>
          <c:showVal val="0"/>
          <c:showCatName val="0"/>
          <c:showSerName val="0"/>
          <c:showPercent val="0"/>
          <c:showBubbleSize val="0"/>
        </c:dLbls>
        <c:marker val="1"/>
        <c:smooth val="0"/>
        <c:axId val="1425971808"/>
        <c:axId val="1882645903"/>
      </c:lineChart>
      <c:catAx>
        <c:axId val="142597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882645903"/>
        <c:crosses val="autoZero"/>
        <c:auto val="1"/>
        <c:lblAlgn val="ctr"/>
        <c:lblOffset val="100"/>
        <c:noMultiLvlLbl val="0"/>
      </c:catAx>
      <c:valAx>
        <c:axId val="188264590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42597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Target Achievement by Estimator</a:t>
            </a:r>
            <a:endParaRPr lang="en-US" sz="1600" u="sng">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0448818897637795"/>
          <c:y val="0.27037037037037037"/>
          <c:w val="0.52760291039569418"/>
          <c:h val="0.57889763779527559"/>
        </c:manualLayout>
      </c:layout>
      <c:pieChart>
        <c:varyColors val="1"/>
        <c:ser>
          <c:idx val="0"/>
          <c:order val="0"/>
          <c:tx>
            <c:v>Series1</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8D2-4140-B3F4-0DC2F352C86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8D2-4140-B3F4-0DC2F352C86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8D2-4140-B3F4-0DC2F352C86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8D2-4140-B3F4-0DC2F352C86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8D2-4140-B3F4-0DC2F352C86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8D2-4140-B3F4-0DC2F352C86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8D2-4140-B3F4-0DC2F352C86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8D2-4140-B3F4-0DC2F352C86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8D2-4140-B3F4-0DC2F352C86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8D2-4140-B3F4-0DC2F352C8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10"/>
              <c:pt idx="0">
                <c:v>Ali</c:v>
              </c:pt>
              <c:pt idx="1">
                <c:v>Carlos</c:v>
              </c:pt>
              <c:pt idx="2">
                <c:v>Fatima</c:v>
              </c:pt>
              <c:pt idx="3">
                <c:v>Hana</c:v>
              </c:pt>
              <c:pt idx="4">
                <c:v>James</c:v>
              </c:pt>
              <c:pt idx="5">
                <c:v>John</c:v>
              </c:pt>
              <c:pt idx="6">
                <c:v>Mohamed</c:v>
              </c:pt>
              <c:pt idx="7">
                <c:v>Priya</c:v>
              </c:pt>
              <c:pt idx="8">
                <c:v>Wei</c:v>
              </c:pt>
              <c:pt idx="9">
                <c:v>Sarah</c:v>
              </c:pt>
            </c:strLit>
          </c:cat>
          <c:val>
            <c:numLit>
              <c:formatCode>General</c:formatCode>
              <c:ptCount val="10"/>
              <c:pt idx="0">
                <c:v>0.18372754569350216</c:v>
              </c:pt>
              <c:pt idx="1">
                <c:v>0.87559899339487468</c:v>
              </c:pt>
              <c:pt idx="2">
                <c:v>0.14429359942009626</c:v>
              </c:pt>
              <c:pt idx="3">
                <c:v>0.51531685708440589</c:v>
              </c:pt>
              <c:pt idx="4">
                <c:v>0.26477508891261575</c:v>
              </c:pt>
              <c:pt idx="5">
                <c:v>0.19327578993159827</c:v>
              </c:pt>
              <c:pt idx="6">
                <c:v>0.20439389637547667</c:v>
              </c:pt>
              <c:pt idx="7">
                <c:v>0.27428418203640625</c:v>
              </c:pt>
              <c:pt idx="8">
                <c:v>9.0953564901942882E-2</c:v>
              </c:pt>
              <c:pt idx="9">
                <c:v>0.33570616206997189</c:v>
              </c:pt>
            </c:numLit>
          </c:val>
          <c:extLst>
            <c:ext xmlns:c16="http://schemas.microsoft.com/office/drawing/2014/chart" uri="{C3380CC4-5D6E-409C-BE32-E72D297353CC}">
              <c16:uniqueId val="{00000014-88D2-4140-B3F4-0DC2F352C8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9584039336855"/>
          <c:y val="0.28011993292505105"/>
          <c:w val="0.21712482142263861"/>
          <c:h val="0.6610564304461942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25" r="0.25" t="0.75" header="0.3" footer="0.3"/>
    <c:pageSetup paperSize="8" orientation="landscape"/>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[Shifana_Project_DataGUC.xlsx]estimator_analysis!PivotTable10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sng" strike="noStrike" baseline="0">
                <a:solidFill>
                  <a:srgbClr val="002060"/>
                </a:solidFill>
                <a:latin typeface="Times New Roman" panose="02020603050405020304" pitchFamily="18" charset="0"/>
                <a:cs typeface="Times New Roman" panose="02020603050405020304" pitchFamily="18" charset="0"/>
              </a:rPr>
              <a:t>Target vs Achievement by Estimator</a:t>
            </a:r>
            <a:endParaRPr lang="en-IN" sz="1600" b="1" u="sng">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1652711953659820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2825896762904"/>
          <c:y val="0.17777777777777778"/>
          <c:w val="0.8439076990376202"/>
          <c:h val="0.55941637503645381"/>
        </c:manualLayout>
      </c:layout>
      <c:barChart>
        <c:barDir val="col"/>
        <c:grouping val="clustered"/>
        <c:varyColors val="0"/>
        <c:ser>
          <c:idx val="0"/>
          <c:order val="0"/>
          <c:tx>
            <c:strRef>
              <c:f>estimator_analysis!$H$3</c:f>
              <c:strCache>
                <c:ptCount val="1"/>
                <c:pt idx="0">
                  <c:v>Sum of AnnualTarget</c:v>
                </c:pt>
              </c:strCache>
            </c:strRef>
          </c:tx>
          <c:spPr>
            <a:solidFill>
              <a:srgbClr val="002060"/>
            </a:solidFill>
            <a:ln>
              <a:noFill/>
            </a:ln>
            <a:effectLst/>
          </c:spPr>
          <c:invertIfNegative val="0"/>
          <c:cat>
            <c:strRef>
              <c:f>estimator_analysis!$G$4:$G$14</c:f>
              <c:strCache>
                <c:ptCount val="10"/>
                <c:pt idx="0">
                  <c:v>Carlos</c:v>
                </c:pt>
                <c:pt idx="1">
                  <c:v>James</c:v>
                </c:pt>
                <c:pt idx="2">
                  <c:v>Mohamed</c:v>
                </c:pt>
                <c:pt idx="3">
                  <c:v>Sarah</c:v>
                </c:pt>
                <c:pt idx="4">
                  <c:v>Fatima</c:v>
                </c:pt>
                <c:pt idx="5">
                  <c:v>Hana</c:v>
                </c:pt>
                <c:pt idx="6">
                  <c:v>John</c:v>
                </c:pt>
                <c:pt idx="7">
                  <c:v>Wei</c:v>
                </c:pt>
                <c:pt idx="8">
                  <c:v>Ali</c:v>
                </c:pt>
                <c:pt idx="9">
                  <c:v>Priya</c:v>
                </c:pt>
              </c:strCache>
            </c:strRef>
          </c:cat>
          <c:val>
            <c:numRef>
              <c:f>estimator_analysis!$H$4:$H$14</c:f>
              <c:numCache>
                <c:formatCode>#,##0.0,,"M"</c:formatCode>
                <c:ptCount val="10"/>
                <c:pt idx="0">
                  <c:v>48038301</c:v>
                </c:pt>
                <c:pt idx="1">
                  <c:v>37989285</c:v>
                </c:pt>
                <c:pt idx="2">
                  <c:v>36688908</c:v>
                </c:pt>
                <c:pt idx="3">
                  <c:v>35084521</c:v>
                </c:pt>
                <c:pt idx="4">
                  <c:v>21930988</c:v>
                </c:pt>
                <c:pt idx="5">
                  <c:v>19700661</c:v>
                </c:pt>
                <c:pt idx="6">
                  <c:v>17444428</c:v>
                </c:pt>
                <c:pt idx="7">
                  <c:v>16356579</c:v>
                </c:pt>
                <c:pt idx="8">
                  <c:v>6816611</c:v>
                </c:pt>
                <c:pt idx="9">
                  <c:v>6718952</c:v>
                </c:pt>
              </c:numCache>
            </c:numRef>
          </c:val>
          <c:extLst>
            <c:ext xmlns:c16="http://schemas.microsoft.com/office/drawing/2014/chart" uri="{C3380CC4-5D6E-409C-BE32-E72D297353CC}">
              <c16:uniqueId val="{00000000-E9AF-4DB9-90C5-BB6FECA35463}"/>
            </c:ext>
          </c:extLst>
        </c:ser>
        <c:ser>
          <c:idx val="1"/>
          <c:order val="1"/>
          <c:tx>
            <c:strRef>
              <c:f>estimator_analysis!$I$3</c:f>
              <c:strCache>
                <c:ptCount val="1"/>
                <c:pt idx="0">
                  <c:v>Sum of Total Achievements</c:v>
                </c:pt>
              </c:strCache>
            </c:strRef>
          </c:tx>
          <c:spPr>
            <a:solidFill>
              <a:srgbClr val="00B0F0"/>
            </a:solidFill>
            <a:ln>
              <a:noFill/>
            </a:ln>
            <a:effectLst/>
          </c:spPr>
          <c:invertIfNegative val="0"/>
          <c:cat>
            <c:strRef>
              <c:f>estimator_analysis!$G$4:$G$14</c:f>
              <c:strCache>
                <c:ptCount val="10"/>
                <c:pt idx="0">
                  <c:v>Carlos</c:v>
                </c:pt>
                <c:pt idx="1">
                  <c:v>James</c:v>
                </c:pt>
                <c:pt idx="2">
                  <c:v>Mohamed</c:v>
                </c:pt>
                <c:pt idx="3">
                  <c:v>Sarah</c:v>
                </c:pt>
                <c:pt idx="4">
                  <c:v>Fatima</c:v>
                </c:pt>
                <c:pt idx="5">
                  <c:v>Hana</c:v>
                </c:pt>
                <c:pt idx="6">
                  <c:v>John</c:v>
                </c:pt>
                <c:pt idx="7">
                  <c:v>Wei</c:v>
                </c:pt>
                <c:pt idx="8">
                  <c:v>Ali</c:v>
                </c:pt>
                <c:pt idx="9">
                  <c:v>Priya</c:v>
                </c:pt>
              </c:strCache>
            </c:strRef>
          </c:cat>
          <c:val>
            <c:numRef>
              <c:f>estimator_analysis!$I$4:$I$14</c:f>
              <c:numCache>
                <c:formatCode>#,##0.0,,"M"</c:formatCode>
                <c:ptCount val="10"/>
                <c:pt idx="0">
                  <c:v>42062288</c:v>
                </c:pt>
                <c:pt idx="1">
                  <c:v>27994206</c:v>
                </c:pt>
                <c:pt idx="2">
                  <c:v>30482510</c:v>
                </c:pt>
                <c:pt idx="3">
                  <c:v>61844000</c:v>
                </c:pt>
                <c:pt idx="4">
                  <c:v>35607221</c:v>
                </c:pt>
                <c:pt idx="5">
                  <c:v>34907029</c:v>
                </c:pt>
                <c:pt idx="6">
                  <c:v>38976973</c:v>
                </c:pt>
                <c:pt idx="7">
                  <c:v>20449840</c:v>
                </c:pt>
                <c:pt idx="8">
                  <c:v>38303825</c:v>
                </c:pt>
                <c:pt idx="9">
                  <c:v>30842488</c:v>
                </c:pt>
              </c:numCache>
            </c:numRef>
          </c:val>
          <c:extLst>
            <c:ext xmlns:c16="http://schemas.microsoft.com/office/drawing/2014/chart" uri="{C3380CC4-5D6E-409C-BE32-E72D297353CC}">
              <c16:uniqueId val="{00000001-E9AF-4DB9-90C5-BB6FECA35463}"/>
            </c:ext>
          </c:extLst>
        </c:ser>
        <c:dLbls>
          <c:showLegendKey val="0"/>
          <c:showVal val="0"/>
          <c:showCatName val="0"/>
          <c:showSerName val="0"/>
          <c:showPercent val="0"/>
          <c:showBubbleSize val="0"/>
        </c:dLbls>
        <c:gapWidth val="219"/>
        <c:overlap val="-27"/>
        <c:axId val="1162769535"/>
        <c:axId val="1355843983"/>
      </c:barChart>
      <c:catAx>
        <c:axId val="11627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355843983"/>
        <c:crosses val="autoZero"/>
        <c:auto val="1"/>
        <c:lblAlgn val="ctr"/>
        <c:lblOffset val="100"/>
        <c:noMultiLvlLbl val="0"/>
      </c:catAx>
      <c:valAx>
        <c:axId val="1355843983"/>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162769535"/>
        <c:crosses val="autoZero"/>
        <c:crossBetween val="between"/>
      </c:valAx>
      <c:spPr>
        <a:noFill/>
        <a:ln>
          <a:noFill/>
        </a:ln>
        <a:effectLst/>
      </c:spPr>
    </c:plotArea>
    <c:legend>
      <c:legendPos val="r"/>
      <c:layout>
        <c:manualLayout>
          <c:xMode val="edge"/>
          <c:yMode val="edge"/>
          <c:x val="9.4924759405074374E-2"/>
          <c:y val="0.93134186351706016"/>
          <c:w val="0.80229746281714787"/>
          <c:h val="5.9028871391076092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[Shifana_Project_DataGUC.xlsx]estimator_analysis!PivotTable6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600" b="1" u="sng">
                <a:solidFill>
                  <a:srgbClr val="002060"/>
                </a:solidFill>
              </a:rPr>
              <a:t>Estimator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847001312335957"/>
          <c:h val="0.66077172645086035"/>
        </c:manualLayout>
      </c:layout>
      <c:barChart>
        <c:barDir val="col"/>
        <c:grouping val="clustered"/>
        <c:varyColors val="0"/>
        <c:ser>
          <c:idx val="0"/>
          <c:order val="0"/>
          <c:tx>
            <c:strRef>
              <c:f>estimator_analysis!$O$16</c:f>
              <c:strCache>
                <c:ptCount val="1"/>
                <c:pt idx="0">
                  <c:v>Sum of BidsWon</c:v>
                </c:pt>
              </c:strCache>
            </c:strRef>
          </c:tx>
          <c:spPr>
            <a:solidFill>
              <a:srgbClr val="00B0F0"/>
            </a:solidFill>
            <a:ln>
              <a:noFill/>
            </a:ln>
            <a:effectLst/>
          </c:spPr>
          <c:invertIfNegative val="0"/>
          <c:cat>
            <c:strRef>
              <c:f>estimator_analysis!$N$17:$N$22</c:f>
              <c:strCache>
                <c:ptCount val="5"/>
                <c:pt idx="0">
                  <c:v>GCC</c:v>
                </c:pt>
                <c:pt idx="1">
                  <c:v>Asia</c:v>
                </c:pt>
                <c:pt idx="2">
                  <c:v>Africa</c:v>
                </c:pt>
                <c:pt idx="3">
                  <c:v>Europe</c:v>
                </c:pt>
                <c:pt idx="4">
                  <c:v>Americas</c:v>
                </c:pt>
              </c:strCache>
            </c:strRef>
          </c:cat>
          <c:val>
            <c:numRef>
              <c:f>estimator_analysis!$O$17:$O$22</c:f>
              <c:numCache>
                <c:formatCode>General</c:formatCode>
                <c:ptCount val="5"/>
                <c:pt idx="0">
                  <c:v>31</c:v>
                </c:pt>
                <c:pt idx="1">
                  <c:v>100</c:v>
                </c:pt>
                <c:pt idx="2">
                  <c:v>46</c:v>
                </c:pt>
                <c:pt idx="3">
                  <c:v>10</c:v>
                </c:pt>
                <c:pt idx="4">
                  <c:v>40</c:v>
                </c:pt>
              </c:numCache>
            </c:numRef>
          </c:val>
          <c:extLst>
            <c:ext xmlns:c16="http://schemas.microsoft.com/office/drawing/2014/chart" uri="{C3380CC4-5D6E-409C-BE32-E72D297353CC}">
              <c16:uniqueId val="{00000000-ABD1-436B-A914-AD3B0DEE2722}"/>
            </c:ext>
          </c:extLst>
        </c:ser>
        <c:ser>
          <c:idx val="1"/>
          <c:order val="1"/>
          <c:tx>
            <c:strRef>
              <c:f>estimator_analysis!$P$16</c:f>
              <c:strCache>
                <c:ptCount val="1"/>
                <c:pt idx="0">
                  <c:v>Sum of TotalBids</c:v>
                </c:pt>
              </c:strCache>
            </c:strRef>
          </c:tx>
          <c:spPr>
            <a:solidFill>
              <a:srgbClr val="002060"/>
            </a:solidFill>
            <a:ln>
              <a:noFill/>
            </a:ln>
            <a:effectLst/>
          </c:spPr>
          <c:invertIfNegative val="0"/>
          <c:cat>
            <c:strRef>
              <c:f>estimator_analysis!$N$17:$N$22</c:f>
              <c:strCache>
                <c:ptCount val="5"/>
                <c:pt idx="0">
                  <c:v>GCC</c:v>
                </c:pt>
                <c:pt idx="1">
                  <c:v>Asia</c:v>
                </c:pt>
                <c:pt idx="2">
                  <c:v>Africa</c:v>
                </c:pt>
                <c:pt idx="3">
                  <c:v>Europe</c:v>
                </c:pt>
                <c:pt idx="4">
                  <c:v>Americas</c:v>
                </c:pt>
              </c:strCache>
            </c:strRef>
          </c:cat>
          <c:val>
            <c:numRef>
              <c:f>estimator_analysis!$P$17:$P$22</c:f>
              <c:numCache>
                <c:formatCode>General</c:formatCode>
                <c:ptCount val="5"/>
                <c:pt idx="0">
                  <c:v>42</c:v>
                </c:pt>
                <c:pt idx="1">
                  <c:v>138</c:v>
                </c:pt>
                <c:pt idx="2">
                  <c:v>91</c:v>
                </c:pt>
                <c:pt idx="3">
                  <c:v>18</c:v>
                </c:pt>
                <c:pt idx="4">
                  <c:v>27</c:v>
                </c:pt>
              </c:numCache>
            </c:numRef>
          </c:val>
          <c:extLst>
            <c:ext xmlns:c16="http://schemas.microsoft.com/office/drawing/2014/chart" uri="{C3380CC4-5D6E-409C-BE32-E72D297353CC}">
              <c16:uniqueId val="{00000001-ABD1-436B-A914-AD3B0DEE2722}"/>
            </c:ext>
          </c:extLst>
        </c:ser>
        <c:ser>
          <c:idx val="2"/>
          <c:order val="2"/>
          <c:tx>
            <c:strRef>
              <c:f>estimator_analysis!$Q$16</c:f>
              <c:strCache>
                <c:ptCount val="1"/>
                <c:pt idx="0">
                  <c:v>Sum of WinRate</c:v>
                </c:pt>
              </c:strCache>
            </c:strRef>
          </c:tx>
          <c:spPr>
            <a:solidFill>
              <a:schemeClr val="accent3"/>
            </a:solidFill>
            <a:ln>
              <a:noFill/>
            </a:ln>
            <a:effectLst/>
          </c:spPr>
          <c:invertIfNegative val="0"/>
          <c:cat>
            <c:strRef>
              <c:f>estimator_analysis!$N$17:$N$22</c:f>
              <c:strCache>
                <c:ptCount val="5"/>
                <c:pt idx="0">
                  <c:v>GCC</c:v>
                </c:pt>
                <c:pt idx="1">
                  <c:v>Asia</c:v>
                </c:pt>
                <c:pt idx="2">
                  <c:v>Africa</c:v>
                </c:pt>
                <c:pt idx="3">
                  <c:v>Europe</c:v>
                </c:pt>
                <c:pt idx="4">
                  <c:v>Americas</c:v>
                </c:pt>
              </c:strCache>
            </c:strRef>
          </c:cat>
          <c:val>
            <c:numRef>
              <c:f>estimator_analysis!$Q$17:$Q$22</c:f>
              <c:numCache>
                <c:formatCode>General</c:formatCode>
                <c:ptCount val="5"/>
                <c:pt idx="0">
                  <c:v>1.1499999999999999</c:v>
                </c:pt>
                <c:pt idx="1">
                  <c:v>1.03</c:v>
                </c:pt>
                <c:pt idx="2">
                  <c:v>0.89999999999999991</c:v>
                </c:pt>
                <c:pt idx="3">
                  <c:v>0.6</c:v>
                </c:pt>
                <c:pt idx="4">
                  <c:v>0.39</c:v>
                </c:pt>
              </c:numCache>
            </c:numRef>
          </c:val>
          <c:extLst>
            <c:ext xmlns:c16="http://schemas.microsoft.com/office/drawing/2014/chart" uri="{C3380CC4-5D6E-409C-BE32-E72D297353CC}">
              <c16:uniqueId val="{00000002-ABD1-436B-A914-AD3B0DEE2722}"/>
            </c:ext>
          </c:extLst>
        </c:ser>
        <c:dLbls>
          <c:showLegendKey val="0"/>
          <c:showVal val="0"/>
          <c:showCatName val="0"/>
          <c:showSerName val="0"/>
          <c:showPercent val="0"/>
          <c:showBubbleSize val="0"/>
        </c:dLbls>
        <c:gapWidth val="219"/>
        <c:overlap val="-27"/>
        <c:axId val="469278015"/>
        <c:axId val="1355875183"/>
      </c:barChart>
      <c:catAx>
        <c:axId val="4692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355875183"/>
        <c:crosses val="autoZero"/>
        <c:auto val="1"/>
        <c:lblAlgn val="ctr"/>
        <c:lblOffset val="100"/>
        <c:noMultiLvlLbl val="0"/>
      </c:catAx>
      <c:valAx>
        <c:axId val="135587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469278015"/>
        <c:crosses val="autoZero"/>
        <c:crossBetween val="between"/>
      </c:valAx>
      <c:spPr>
        <a:noFill/>
        <a:ln>
          <a:noFill/>
        </a:ln>
        <a:effectLst/>
      </c:spPr>
    </c:plotArea>
    <c:legend>
      <c:legendPos val="r"/>
      <c:layout>
        <c:manualLayout>
          <c:xMode val="edge"/>
          <c:yMode val="edge"/>
          <c:x val="2.7133420822397204E-2"/>
          <c:y val="0.93394575678040248"/>
          <c:w val="0.94231102362204744"/>
          <c:h val="6.308034412365119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00B0F0"/>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Funnel</cx:v>
        </cx:txData>
      </cx:tx>
      <cx:txPr>
        <a:bodyPr spcFirstLastPara="1" vertOverflow="ellipsis" horzOverflow="overflow" wrap="square" lIns="0" tIns="0" rIns="0" bIns="0" anchor="ctr" anchorCtr="1"/>
        <a:lstStyle/>
        <a:p>
          <a:pPr algn="ctr" rtl="0">
            <a:defRPr/>
          </a:pPr>
          <a:r>
            <a:rPr lang="en-US" sz="1600" b="1" i="0" u="sng" strike="noStrike" baseline="0">
              <a:solidFill>
                <a:srgbClr val="002060"/>
              </a:solidFill>
              <a:latin typeface="Times New Roman" panose="02020603050405020304" pitchFamily="18" charset="0"/>
              <a:cs typeface="Times New Roman" panose="02020603050405020304" pitchFamily="18" charset="0"/>
            </a:rPr>
            <a:t>Sales Funnel</a:t>
          </a:r>
        </a:p>
      </cx:txPr>
    </cx:title>
    <cx:plotArea>
      <cx:plotAreaRegion>
        <cx:series layoutId="funnel" uniqueId="{0840E9C8-24E0-481C-816B-FF123AD9EDA9}">
          <cx:tx>
            <cx:txData>
              <cx:f>_xlchart.v2.1</cx:f>
              <cx:v>Amount</cx:v>
            </cx:txData>
          </cx:tx>
          <cx:spPr>
            <a:solidFill>
              <a:srgbClr val="002060"/>
            </a:solidFill>
          </cx:spPr>
          <cx:dataLabels>
            <cx:txPr>
              <a:bodyPr spcFirstLastPara="1" vertOverflow="ellipsis" horzOverflow="overflow" wrap="square" lIns="0" tIns="0" rIns="0" bIns="0" anchor="ctr" anchorCtr="1"/>
              <a:lstStyle/>
              <a:p>
                <a:pPr algn="ctr" rtl="0">
                  <a:defRPr sz="10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0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b="1" i="0" baseline="0">
                <a:solidFill>
                  <a:srgbClr val="00206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800" b="1" i="0" u="none" strike="noStrike" baseline="0">
              <a:solidFill>
                <a:srgbClr val="002060"/>
              </a:solidFill>
              <a:latin typeface="Times New Roman" panose="02020603050405020304" pitchFamily="18" charset="0"/>
              <a:cs typeface="Times New Roman" panose="02020603050405020304" pitchFamily="18" charset="0"/>
            </a:endParaRPr>
          </a:p>
        </cx:txPr>
      </cx:axis>
    </cx:plotArea>
  </cx:chart>
  <cx:spPr>
    <a:solidFill>
      <a:schemeClr val="bg1">
        <a:lumMod val="95000"/>
      </a:schemeClr>
    </a:solidFill>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rich>
          <a:bodyPr spcFirstLastPara="1" vertOverflow="ellipsis" horzOverflow="overflow" wrap="square" lIns="0" tIns="0" rIns="0" bIns="0" anchor="ctr" anchorCtr="1"/>
          <a:lstStyle/>
          <a:p>
            <a:pPr algn="ctr" rtl="0">
              <a:defRPr/>
            </a:pPr>
            <a:r>
              <a:rPr lang="en-IN" sz="1600" b="1" u="sng">
                <a:solidFill>
                  <a:srgbClr val="002060"/>
                </a:solidFill>
                <a:latin typeface="Times New Roman" panose="02020603050405020304" pitchFamily="18" charset="0"/>
                <a:cs typeface="Times New Roman" panose="02020603050405020304" pitchFamily="18" charset="0"/>
              </a:rPr>
              <a:t>Total Amount by Quarter </a:t>
            </a:r>
            <a:endParaRPr lang="en-US" sz="1600" b="1" i="0" u="sng" strike="noStrike" baseline="0">
              <a:solidFill>
                <a:srgbClr val="002060"/>
              </a:solidFill>
              <a:latin typeface="Times New Roman" panose="02020603050405020304" pitchFamily="18" charset="0"/>
              <a:cs typeface="Times New Roman" panose="02020603050405020304" pitchFamily="18" charset="0"/>
            </a:endParaRPr>
          </a:p>
        </cx:rich>
      </cx:tx>
    </cx:title>
    <cx:plotArea>
      <cx:plotAreaRegion>
        <cx:plotSurface>
          <cx:spPr>
            <a:solidFill>
              <a:schemeClr val="bg1">
                <a:lumMod val="95000"/>
              </a:schemeClr>
            </a:solidFill>
          </cx:spPr>
        </cx:plotSurface>
        <cx:series layoutId="funnel" uniqueId="{3F16B481-033A-422E-9730-8C2B3628EADE}">
          <cx:spPr>
            <a:solidFill>
              <a:srgbClr val="002060"/>
            </a:solidFill>
          </cx:spPr>
          <cx:dataLabels>
            <cx:txPr>
              <a:bodyPr spcFirstLastPara="1" vertOverflow="ellipsis" horzOverflow="overflow" wrap="square" lIns="0" tIns="0" rIns="0" bIns="0" anchor="ctr" anchorCtr="1"/>
              <a:lstStyle/>
              <a:p>
                <a:pPr algn="ctr" rtl="0">
                  <a:defRPr sz="11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1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rgbClr val="00206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rgbClr val="002060"/>
              </a:solidFill>
              <a:latin typeface="Times New Roman" panose="02020603050405020304" pitchFamily="18" charset="0"/>
              <a:cs typeface="Times New Roman" panose="02020603050405020304" pitchFamily="18" charset="0"/>
            </a:endParaRPr>
          </a:p>
        </cx:txPr>
      </cx:axis>
    </cx:plotArea>
  </cx:chart>
  <cx:spPr>
    <a:solidFill>
      <a:schemeClr val="bg1">
        <a:lumMod val="95000"/>
      </a:schemeClr>
    </a:solidFill>
    <a:ln>
      <a:solidFill>
        <a:srgbClr val="00B0F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ject_Cost_Analysis_Dashboard!A1"/><Relationship Id="rId2" Type="http://schemas.openxmlformats.org/officeDocument/2006/relationships/hyperlink" Target="#Sales_Analysis_Dashboard!A1"/><Relationship Id="rId1" Type="http://schemas.openxmlformats.org/officeDocument/2006/relationships/image" Target="../media/image1.jpg"/><Relationship Id="rId5" Type="http://schemas.openxmlformats.org/officeDocument/2006/relationships/hyperlink" Target="#Estimator_Analysis_Dashboard!A1"/><Relationship Id="rId4" Type="http://schemas.openxmlformats.org/officeDocument/2006/relationships/hyperlink" Target="#Client_Analysis_Dashboard!A1"/></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Project!A1"/><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hyperlink" Target="#Raw_Project_Master!A1"/></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Raw_Sales_Transactions!A1"/><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hyperlink" Target="#Raw_Client_Master!A1"/></Relationships>
</file>

<file path=xl/drawings/_rels/drawing4.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Raw_Project_Master!A1"/><Relationship Id="rId6" Type="http://schemas.openxmlformats.org/officeDocument/2006/relationships/image" Target="../media/image7.svg"/><Relationship Id="rId5" Type="http://schemas.openxmlformats.org/officeDocument/2006/relationships/image" Target="../media/image4.png"/><Relationship Id="rId4" Type="http://schemas.openxmlformats.org/officeDocument/2006/relationships/hyperlink" Target="#Raw_Estimator_Team!A1"/></Relationships>
</file>

<file path=xl/drawings/_rels/drawing5.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Raw_Client_Master!A1"/><Relationship Id="rId6" Type="http://schemas.openxmlformats.org/officeDocument/2006/relationships/image" Target="../media/image7.svg"/><Relationship Id="rId5" Type="http://schemas.openxmlformats.org/officeDocument/2006/relationships/image" Target="../media/image4.png"/><Relationship Id="rId4" Type="http://schemas.openxmlformats.org/officeDocument/2006/relationships/hyperlink" Target="#Raw_Monthly_Costs!A1"/></Relationships>
</file>

<file path=xl/drawings/_rels/drawing6.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Raw_Estimator_Team!A1"/><Relationship Id="rId6" Type="http://schemas.openxmlformats.org/officeDocument/2006/relationships/image" Target="../media/image7.svg"/><Relationship Id="rId5" Type="http://schemas.openxmlformats.org/officeDocument/2006/relationships/image" Target="../media/image4.png"/><Relationship Id="rId4" Type="http://schemas.openxmlformats.org/officeDocument/2006/relationships/hyperlink" Target="#Data_Quality!A1"/></Relationships>
</file>

<file path=xl/drawings/_rels/drawing7.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Raw_Monthly_Costs!A1"/><Relationship Id="rId6" Type="http://schemas.openxmlformats.org/officeDocument/2006/relationships/image" Target="../media/image7.svg"/><Relationship Id="rId5" Type="http://schemas.openxmlformats.org/officeDocument/2006/relationships/image" Target="../media/image4.png"/><Relationship Id="rId4" Type="http://schemas.openxmlformats.org/officeDocument/2006/relationships/hyperlink" Target="#Clean_Sales_Transactions!A1"/></Relationships>
</file>

<file path=xl/drawings/_rels/drawing8.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Data_Quality!A1"/><Relationship Id="rId6" Type="http://schemas.openxmlformats.org/officeDocument/2006/relationships/image" Target="../media/image7.svg"/><Relationship Id="rId5" Type="http://schemas.openxmlformats.org/officeDocument/2006/relationships/image" Target="../media/image4.png"/><Relationship Id="rId4" Type="http://schemas.openxmlformats.org/officeDocument/2006/relationships/hyperlink" Target="#Clean_Project_Master!A1"/></Relationships>
</file>

<file path=xl/drawings/_rels/drawing9.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Clean_Sales_Transactions!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Clean_Client_Master!A1"/></Relationships>
</file>

<file path=xl/drawings/_rels/drawing10.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2.png"/><Relationship Id="rId1" Type="http://schemas.openxmlformats.org/officeDocument/2006/relationships/hyperlink" Target="#Clean_Project_Master!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Clean_Estimator_Team!A1"/></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Clean_Client_Master!A1"/><Relationship Id="rId6" Type="http://schemas.openxmlformats.org/officeDocument/2006/relationships/image" Target="../media/image7.svg"/><Relationship Id="rId5" Type="http://schemas.openxmlformats.org/officeDocument/2006/relationships/image" Target="../media/image4.png"/><Relationship Id="rId4" Type="http://schemas.openxmlformats.org/officeDocument/2006/relationships/hyperlink" Target="#Clean_Monthly_Costs!A1"/></Relationships>
</file>

<file path=xl/drawings/_rels/drawing12.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Clean_Estimator_Team!A1"/><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Sales_Analysis!A1"/></Relationships>
</file>

<file path=xl/drawings/_rels/drawing1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Clean_Monthly_Costs!A1"/><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project_Analysis!A1"/></Relationships>
</file>

<file path=xl/drawings/_rels/drawing1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Sales_Analysis!A1"/><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client_analysis!A1"/></Relationships>
</file>

<file path=xl/drawings/_rels/drawing1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project_Analysis!A1"/><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estimator_analysis!A1"/></Relationships>
</file>

<file path=xl/drawings/_rels/drawing1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client_analysis!A1"/><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cost_analysis!A1"/></Relationships>
</file>

<file path=xl/drawings/_rels/drawing1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estimator_analysis!A1"/><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Sales_Analysis_Dashboard!A1"/></Relationships>
</file>

<file path=xl/drawings/_rels/drawing18.xml.rels><?xml version="1.0" encoding="UTF-8" standalone="yes"?>
<Relationships xmlns="http://schemas.openxmlformats.org/package/2006/relationships"><Relationship Id="rId8" Type="http://schemas.openxmlformats.org/officeDocument/2006/relationships/image" Target="../media/image18.jpeg"/><Relationship Id="rId13" Type="http://schemas.microsoft.com/office/2014/relationships/chartEx" Target="../charts/chartEx1.xml"/><Relationship Id="rId3" Type="http://schemas.openxmlformats.org/officeDocument/2006/relationships/image" Target="../media/image15.sv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14.png"/><Relationship Id="rId1" Type="http://schemas.openxmlformats.org/officeDocument/2006/relationships/hyperlink" Target="#cost_analysis!A1"/><Relationship Id="rId6" Type="http://schemas.openxmlformats.org/officeDocument/2006/relationships/image" Target="../media/image17.svg"/><Relationship Id="rId11" Type="http://schemas.openxmlformats.org/officeDocument/2006/relationships/chart" Target="../charts/chart4.xml"/><Relationship Id="rId5" Type="http://schemas.openxmlformats.org/officeDocument/2006/relationships/image" Target="../media/image16.png"/><Relationship Id="rId10" Type="http://schemas.openxmlformats.org/officeDocument/2006/relationships/chart" Target="../charts/chart3.xml"/><Relationship Id="rId4" Type="http://schemas.openxmlformats.org/officeDocument/2006/relationships/hyperlink" Target="#Project_Cost_Analysis_Dashboard!A1"/><Relationship Id="rId9" Type="http://schemas.openxmlformats.org/officeDocument/2006/relationships/chart" Target="../charts/chart2.xml"/><Relationship Id="rId14" Type="http://schemas.openxmlformats.org/officeDocument/2006/relationships/chart" Target="../charts/chart6.xml"/></Relationships>
</file>

<file path=xl/drawings/_rels/drawing19.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hyperlink" Target="#Client_Analysis_Dashboard!A1"/><Relationship Id="rId12"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image" Target="../media/image18.jpeg"/><Relationship Id="rId6" Type="http://schemas.openxmlformats.org/officeDocument/2006/relationships/image" Target="../media/image15.svg"/><Relationship Id="rId11" Type="http://schemas.openxmlformats.org/officeDocument/2006/relationships/chart" Target="../charts/chart10.xml"/><Relationship Id="rId5" Type="http://schemas.openxmlformats.org/officeDocument/2006/relationships/image" Target="../media/image14.png"/><Relationship Id="rId10" Type="http://schemas.openxmlformats.org/officeDocument/2006/relationships/chart" Target="../charts/chart9.xml"/><Relationship Id="rId4" Type="http://schemas.openxmlformats.org/officeDocument/2006/relationships/hyperlink" Target="#Sales_Analysis_Dashboard!A1"/><Relationship Id="rId9" Type="http://schemas.openxmlformats.org/officeDocument/2006/relationships/image" Target="../media/image17.svg"/><Relationship Id="rId14" Type="http://schemas.openxmlformats.org/officeDocument/2006/relationships/chart" Target="../charts/chart13.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image" Target="../media/image14.png"/><Relationship Id="rId7" Type="http://schemas.openxmlformats.org/officeDocument/2006/relationships/image" Target="../media/image17.svg"/><Relationship Id="rId12" Type="http://schemas.openxmlformats.org/officeDocument/2006/relationships/chart" Target="../charts/chart18.xml"/><Relationship Id="rId2" Type="http://schemas.openxmlformats.org/officeDocument/2006/relationships/hyperlink" Target="#Project_Cost_Analysis_Dashboard!A1"/><Relationship Id="rId1" Type="http://schemas.openxmlformats.org/officeDocument/2006/relationships/image" Target="../media/image18.jpeg"/><Relationship Id="rId6" Type="http://schemas.openxmlformats.org/officeDocument/2006/relationships/image" Target="../media/image16.png"/><Relationship Id="rId11" Type="http://schemas.openxmlformats.org/officeDocument/2006/relationships/chart" Target="../charts/chart17.xml"/><Relationship Id="rId5" Type="http://schemas.openxmlformats.org/officeDocument/2006/relationships/hyperlink" Target="#Estimator_Analysis_Dashboard!A1"/><Relationship Id="rId10" Type="http://schemas.openxmlformats.org/officeDocument/2006/relationships/chart" Target="../charts/chart16.xml"/><Relationship Id="rId4" Type="http://schemas.openxmlformats.org/officeDocument/2006/relationships/image" Target="../media/image15.svg"/><Relationship Id="rId9" Type="http://schemas.openxmlformats.org/officeDocument/2006/relationships/chart" Target="../charts/chart15.xml"/></Relationships>
</file>

<file path=xl/drawings/_rels/drawing21.xml.rels><?xml version="1.0" encoding="UTF-8" standalone="yes"?>
<Relationships xmlns="http://schemas.openxmlformats.org/package/2006/relationships"><Relationship Id="rId8" Type="http://schemas.openxmlformats.org/officeDocument/2006/relationships/hyperlink" Target="#Client_Analysis_Dashboard!A1"/><Relationship Id="rId13" Type="http://schemas.openxmlformats.org/officeDocument/2006/relationships/image" Target="../media/image17.svg"/><Relationship Id="rId3" Type="http://schemas.microsoft.com/office/2014/relationships/chartEx" Target="../charts/chartEx2.xml"/><Relationship Id="rId7" Type="http://schemas.openxmlformats.org/officeDocument/2006/relationships/chart" Target="../charts/chart24.xml"/><Relationship Id="rId12" Type="http://schemas.openxmlformats.org/officeDocument/2006/relationships/image" Target="../media/image16.png"/><Relationship Id="rId2" Type="http://schemas.openxmlformats.org/officeDocument/2006/relationships/chart" Target="../charts/chart20.xml"/><Relationship Id="rId1" Type="http://schemas.openxmlformats.org/officeDocument/2006/relationships/image" Target="../media/image18.jpeg"/><Relationship Id="rId6" Type="http://schemas.openxmlformats.org/officeDocument/2006/relationships/chart" Target="../charts/chart23.xml"/><Relationship Id="rId11" Type="http://schemas.openxmlformats.org/officeDocument/2006/relationships/hyperlink" Target="#Report!A1"/><Relationship Id="rId5" Type="http://schemas.openxmlformats.org/officeDocument/2006/relationships/chart" Target="../charts/chart22.xml"/><Relationship Id="rId10" Type="http://schemas.openxmlformats.org/officeDocument/2006/relationships/image" Target="../media/image15.svg"/><Relationship Id="rId4" Type="http://schemas.openxmlformats.org/officeDocument/2006/relationships/chart" Target="../charts/chart21.xml"/><Relationship Id="rId9" Type="http://schemas.openxmlformats.org/officeDocument/2006/relationships/image" Target="../media/image14.png"/><Relationship Id="rId14" Type="http://schemas.openxmlformats.org/officeDocument/2006/relationships/image" Target="../media/image19.emf"/></Relationships>
</file>

<file path=xl/drawings/_rels/drawing22.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Estimator_Analysis_Dashboard!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80211</xdr:colOff>
      <xdr:row>42</xdr:row>
      <xdr:rowOff>0</xdr:rowOff>
    </xdr:to>
    <xdr:pic>
      <xdr:nvPicPr>
        <xdr:cNvPr id="4" name="Picture 3">
          <a:extLst>
            <a:ext uri="{FF2B5EF4-FFF2-40B4-BE49-F238E27FC236}">
              <a16:creationId xmlns:a16="http://schemas.microsoft.com/office/drawing/2014/main" id="{BD47DA5D-B27F-6AFA-415D-419EB12AC398}"/>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0" y="0"/>
          <a:ext cx="15320211" cy="7748337"/>
        </a:xfrm>
        <a:prstGeom prst="rect">
          <a:avLst/>
        </a:prstGeom>
      </xdr:spPr>
    </xdr:pic>
    <xdr:clientData/>
  </xdr:twoCellAnchor>
  <xdr:twoCellAnchor>
    <xdr:from>
      <xdr:col>0</xdr:col>
      <xdr:colOff>0</xdr:colOff>
      <xdr:row>6</xdr:row>
      <xdr:rowOff>5</xdr:rowOff>
    </xdr:from>
    <xdr:to>
      <xdr:col>25</xdr:col>
      <xdr:colOff>88232</xdr:colOff>
      <xdr:row>15</xdr:row>
      <xdr:rowOff>4817</xdr:rowOff>
    </xdr:to>
    <xdr:sp macro="" textlink="">
      <xdr:nvSpPr>
        <xdr:cNvPr id="2" name="Wave 1">
          <a:extLst>
            <a:ext uri="{FF2B5EF4-FFF2-40B4-BE49-F238E27FC236}">
              <a16:creationId xmlns:a16="http://schemas.microsoft.com/office/drawing/2014/main" id="{FF27484B-8315-CB02-6E47-2B9A303B39B1}"/>
            </a:ext>
          </a:extLst>
        </xdr:cNvPr>
        <xdr:cNvSpPr/>
      </xdr:nvSpPr>
      <xdr:spPr>
        <a:xfrm>
          <a:off x="0" y="1106910"/>
          <a:ext cx="15328232" cy="1665170"/>
        </a:xfrm>
        <a:prstGeom prst="wave">
          <a:avLst/>
        </a:prstGeom>
        <a:solidFill>
          <a:srgbClr val="16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latin typeface="Times New Roman" panose="02020603050405020304" pitchFamily="18" charset="0"/>
              <a:cs typeface="Times New Roman" panose="02020603050405020304" pitchFamily="18" charset="0"/>
            </a:rPr>
            <a:t>Construction Sales &amp; Performance Analytics Dashboard</a:t>
          </a:r>
        </a:p>
      </xdr:txBody>
    </xdr:sp>
    <xdr:clientData/>
  </xdr:twoCellAnchor>
  <xdr:twoCellAnchor>
    <xdr:from>
      <xdr:col>19</xdr:col>
      <xdr:colOff>485269</xdr:colOff>
      <xdr:row>26</xdr:row>
      <xdr:rowOff>136350</xdr:rowOff>
    </xdr:from>
    <xdr:to>
      <xdr:col>24</xdr:col>
      <xdr:colOff>241258</xdr:colOff>
      <xdr:row>29</xdr:row>
      <xdr:rowOff>80203</xdr:rowOff>
    </xdr:to>
    <xdr:sp macro="" textlink="">
      <xdr:nvSpPr>
        <xdr:cNvPr id="33" name="Scroll: Horizontal 32">
          <a:hlinkClick xmlns:r="http://schemas.openxmlformats.org/officeDocument/2006/relationships" r:id="rId2"/>
          <a:extLst>
            <a:ext uri="{FF2B5EF4-FFF2-40B4-BE49-F238E27FC236}">
              <a16:creationId xmlns:a16="http://schemas.microsoft.com/office/drawing/2014/main" id="{741357D2-C5B2-03B4-0984-ACAF3782E962}"/>
            </a:ext>
          </a:extLst>
        </xdr:cNvPr>
        <xdr:cNvSpPr/>
      </xdr:nvSpPr>
      <xdr:spPr>
        <a:xfrm>
          <a:off x="12067669" y="4932939"/>
          <a:ext cx="2803989" cy="497306"/>
        </a:xfrm>
        <a:prstGeom prst="horizontalScroll">
          <a:avLst/>
        </a:prstGeom>
        <a:solidFill>
          <a:srgbClr val="16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Sales</a:t>
          </a:r>
          <a:r>
            <a:rPr lang="en-IN" sz="1400" b="1" baseline="0">
              <a:latin typeface="Times New Roman" panose="02020603050405020304" pitchFamily="18" charset="0"/>
              <a:cs typeface="Times New Roman" panose="02020603050405020304" pitchFamily="18" charset="0"/>
            </a:rPr>
            <a:t> Analysis Dashboard</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487950</xdr:colOff>
      <xdr:row>30</xdr:row>
      <xdr:rowOff>80610</xdr:rowOff>
    </xdr:from>
    <xdr:to>
      <xdr:col>24</xdr:col>
      <xdr:colOff>243939</xdr:colOff>
      <xdr:row>32</xdr:row>
      <xdr:rowOff>181274</xdr:rowOff>
    </xdr:to>
    <xdr:sp macro="" textlink="">
      <xdr:nvSpPr>
        <xdr:cNvPr id="34" name="Scroll: Horizontal 33">
          <a:hlinkClick xmlns:r="http://schemas.openxmlformats.org/officeDocument/2006/relationships" r:id="rId3"/>
          <a:extLst>
            <a:ext uri="{FF2B5EF4-FFF2-40B4-BE49-F238E27FC236}">
              <a16:creationId xmlns:a16="http://schemas.microsoft.com/office/drawing/2014/main" id="{9CEE1909-030F-2CA2-09F0-9BAD257FBCC7}"/>
            </a:ext>
          </a:extLst>
        </xdr:cNvPr>
        <xdr:cNvSpPr/>
      </xdr:nvSpPr>
      <xdr:spPr>
        <a:xfrm>
          <a:off x="12070350" y="5615136"/>
          <a:ext cx="2803989" cy="469633"/>
        </a:xfrm>
        <a:prstGeom prst="horizontalScroll">
          <a:avLst/>
        </a:prstGeom>
        <a:solidFill>
          <a:srgbClr val="16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Project</a:t>
          </a:r>
          <a:r>
            <a:rPr lang="en-IN" sz="1400" b="1" baseline="0">
              <a:latin typeface="Times New Roman" panose="02020603050405020304" pitchFamily="18" charset="0"/>
              <a:cs typeface="Times New Roman" panose="02020603050405020304" pitchFamily="18" charset="0"/>
            </a:rPr>
            <a:t>  &amp; Cost Analysis Dashboard</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482610</xdr:colOff>
      <xdr:row>33</xdr:row>
      <xdr:rowOff>184077</xdr:rowOff>
    </xdr:from>
    <xdr:to>
      <xdr:col>24</xdr:col>
      <xdr:colOff>238599</xdr:colOff>
      <xdr:row>36</xdr:row>
      <xdr:rowOff>100256</xdr:rowOff>
    </xdr:to>
    <xdr:sp macro="" textlink="">
      <xdr:nvSpPr>
        <xdr:cNvPr id="35" name="Scroll: Horizontal 34">
          <a:hlinkClick xmlns:r="http://schemas.openxmlformats.org/officeDocument/2006/relationships" r:id="rId4"/>
          <a:extLst>
            <a:ext uri="{FF2B5EF4-FFF2-40B4-BE49-F238E27FC236}">
              <a16:creationId xmlns:a16="http://schemas.microsoft.com/office/drawing/2014/main" id="{6FC192B1-ED52-0878-14FF-60B1F91365A7}"/>
            </a:ext>
          </a:extLst>
        </xdr:cNvPr>
        <xdr:cNvSpPr/>
      </xdr:nvSpPr>
      <xdr:spPr>
        <a:xfrm>
          <a:off x="12065010" y="6272056"/>
          <a:ext cx="2803989" cy="469632"/>
        </a:xfrm>
        <a:prstGeom prst="horizontalScroll">
          <a:avLst/>
        </a:prstGeom>
        <a:solidFill>
          <a:srgbClr val="16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Client</a:t>
          </a:r>
          <a:r>
            <a:rPr lang="en-IN" sz="1400" b="1" baseline="0">
              <a:latin typeface="Times New Roman" panose="02020603050405020304" pitchFamily="18" charset="0"/>
              <a:cs typeface="Times New Roman" panose="02020603050405020304" pitchFamily="18" charset="0"/>
            </a:rPr>
            <a:t> Analysis Dashboard</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487973</xdr:colOff>
      <xdr:row>37</xdr:row>
      <xdr:rowOff>78993</xdr:rowOff>
    </xdr:from>
    <xdr:to>
      <xdr:col>24</xdr:col>
      <xdr:colOff>243962</xdr:colOff>
      <xdr:row>39</xdr:row>
      <xdr:rowOff>179658</xdr:rowOff>
    </xdr:to>
    <xdr:sp macro="" textlink="">
      <xdr:nvSpPr>
        <xdr:cNvPr id="36" name="Scroll: Horizontal 35">
          <a:hlinkClick xmlns:r="http://schemas.openxmlformats.org/officeDocument/2006/relationships" r:id="rId5"/>
          <a:extLst>
            <a:ext uri="{FF2B5EF4-FFF2-40B4-BE49-F238E27FC236}">
              <a16:creationId xmlns:a16="http://schemas.microsoft.com/office/drawing/2014/main" id="{E5649E3E-D275-5639-9FB7-808511663A4F}"/>
            </a:ext>
          </a:extLst>
        </xdr:cNvPr>
        <xdr:cNvSpPr/>
      </xdr:nvSpPr>
      <xdr:spPr>
        <a:xfrm>
          <a:off x="12070373" y="6904909"/>
          <a:ext cx="2803989" cy="469633"/>
        </a:xfrm>
        <a:prstGeom prst="horizontalScroll">
          <a:avLst/>
        </a:prstGeom>
        <a:solidFill>
          <a:srgbClr val="16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latin typeface="Times New Roman" panose="02020603050405020304" pitchFamily="18" charset="0"/>
              <a:cs typeface="Times New Roman" panose="02020603050405020304" pitchFamily="18" charset="0"/>
            </a:rPr>
            <a:t> Estimator Analysis Dashboard</a:t>
          </a:r>
          <a:endParaRPr lang="en-IN" sz="14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769620</xdr:colOff>
      <xdr:row>0</xdr:row>
      <xdr:rowOff>495300</xdr:rowOff>
    </xdr:to>
    <xdr:sp macro="" textlink="">
      <xdr:nvSpPr>
        <xdr:cNvPr id="4" name="Rectangle: Rounded Corners 3">
          <a:extLst>
            <a:ext uri="{FF2B5EF4-FFF2-40B4-BE49-F238E27FC236}">
              <a16:creationId xmlns:a16="http://schemas.microsoft.com/office/drawing/2014/main" id="{C9CF3243-9241-41B6-8B29-4C667567678E}"/>
            </a:ext>
          </a:extLst>
        </xdr:cNvPr>
        <xdr:cNvSpPr/>
      </xdr:nvSpPr>
      <xdr:spPr>
        <a:xfrm>
          <a:off x="0" y="0"/>
          <a:ext cx="1424178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Raw</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 Transactions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15240</xdr:colOff>
      <xdr:row>0</xdr:row>
      <xdr:rowOff>22860</xdr:rowOff>
    </xdr:from>
    <xdr:to>
      <xdr:col>0</xdr:col>
      <xdr:colOff>777240</xdr:colOff>
      <xdr:row>0</xdr:row>
      <xdr:rowOff>480060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98F79705-F47D-49D0-9C0C-99B076D0085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240" y="22860"/>
          <a:ext cx="762000" cy="457200"/>
        </a:xfrm>
        <a:prstGeom prst="rect">
          <a:avLst/>
        </a:prstGeom>
      </xdr:spPr>
    </xdr:pic>
    <xdr:clientData/>
  </xdr:twoCellAnchor>
  <xdr:twoCellAnchor editAs="oneCell">
    <xdr:from>
      <xdr:col>12</xdr:col>
      <xdr:colOff>1028700</xdr:colOff>
      <xdr:row>0</xdr:row>
      <xdr:rowOff>30480</xdr:rowOff>
    </xdr:from>
    <xdr:to>
      <xdr:col>13</xdr:col>
      <xdr:colOff>464820</xdr:colOff>
      <xdr:row>0</xdr:row>
      <xdr:rowOff>480060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693BC973-3A4C-4D60-9B3A-7BDCC9F5795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11200" y="30480"/>
          <a:ext cx="800100" cy="4495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198120</xdr:colOff>
      <xdr:row>1</xdr:row>
      <xdr:rowOff>7620</xdr:rowOff>
    </xdr:to>
    <xdr:sp macro="" textlink="">
      <xdr:nvSpPr>
        <xdr:cNvPr id="4" name="Rectangle: Rounded Corners 3">
          <a:extLst>
            <a:ext uri="{FF2B5EF4-FFF2-40B4-BE49-F238E27FC236}">
              <a16:creationId xmlns:a16="http://schemas.microsoft.com/office/drawing/2014/main" id="{6EE6D497-A9A4-408F-8A03-E56C9EF9AE9E}"/>
            </a:ext>
          </a:extLst>
        </xdr:cNvPr>
        <xdr:cNvSpPr/>
      </xdr:nvSpPr>
      <xdr:spPr>
        <a:xfrm>
          <a:off x="0" y="0"/>
          <a:ext cx="1417320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Raw</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Project Master</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22860</xdr:rowOff>
    </xdr:from>
    <xdr:to>
      <xdr:col>0</xdr:col>
      <xdr:colOff>762000</xdr:colOff>
      <xdr:row>0</xdr:row>
      <xdr:rowOff>441960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B998D3B5-2FA5-4F26-BC13-AFFA081D10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22860"/>
          <a:ext cx="762000" cy="419100"/>
        </a:xfrm>
        <a:prstGeom prst="rect">
          <a:avLst/>
        </a:prstGeom>
      </xdr:spPr>
    </xdr:pic>
    <xdr:clientData/>
  </xdr:twoCellAnchor>
  <xdr:twoCellAnchor editAs="oneCell">
    <xdr:from>
      <xdr:col>14</xdr:col>
      <xdr:colOff>381000</xdr:colOff>
      <xdr:row>0</xdr:row>
      <xdr:rowOff>30480</xdr:rowOff>
    </xdr:from>
    <xdr:to>
      <xdr:col>14</xdr:col>
      <xdr:colOff>1181100</xdr:colOff>
      <xdr:row>0</xdr:row>
      <xdr:rowOff>457200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00C64201-80DF-4716-A4CC-37F8136525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95960" y="30480"/>
          <a:ext cx="800100" cy="4267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7620</xdr:rowOff>
    </xdr:from>
    <xdr:to>
      <xdr:col>13</xdr:col>
      <xdr:colOff>396240</xdr:colOff>
      <xdr:row>1</xdr:row>
      <xdr:rowOff>7620</xdr:rowOff>
    </xdr:to>
    <xdr:sp macro="" textlink="">
      <xdr:nvSpPr>
        <xdr:cNvPr id="4" name="Rectangle: Rounded Corners 3">
          <a:extLst>
            <a:ext uri="{FF2B5EF4-FFF2-40B4-BE49-F238E27FC236}">
              <a16:creationId xmlns:a16="http://schemas.microsoft.com/office/drawing/2014/main" id="{F32AFB2E-2F25-4BFF-B883-B665F6F2FECB}"/>
            </a:ext>
          </a:extLst>
        </xdr:cNvPr>
        <xdr:cNvSpPr/>
      </xdr:nvSpPr>
      <xdr:spPr>
        <a:xfrm>
          <a:off x="0" y="7620"/>
          <a:ext cx="1418082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Raw</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Client Master</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30480</xdr:rowOff>
    </xdr:from>
    <xdr:to>
      <xdr:col>0</xdr:col>
      <xdr:colOff>762000</xdr:colOff>
      <xdr:row>0</xdr:row>
      <xdr:rowOff>434340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298AD8B2-4C4B-445F-9363-AC667617C8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860" y="30480"/>
          <a:ext cx="762000" cy="403860"/>
        </a:xfrm>
        <a:prstGeom prst="rect">
          <a:avLst/>
        </a:prstGeom>
      </xdr:spPr>
    </xdr:pic>
    <xdr:clientData/>
  </xdr:twoCellAnchor>
  <xdr:twoCellAnchor editAs="oneCell">
    <xdr:from>
      <xdr:col>12</xdr:col>
      <xdr:colOff>960120</xdr:colOff>
      <xdr:row>0</xdr:row>
      <xdr:rowOff>30480</xdr:rowOff>
    </xdr:from>
    <xdr:to>
      <xdr:col>13</xdr:col>
      <xdr:colOff>320040</xdr:colOff>
      <xdr:row>0</xdr:row>
      <xdr:rowOff>457200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8CEF0111-C996-4DCD-8C24-30435F6D44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19760" y="30480"/>
          <a:ext cx="800100" cy="426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xdr:row>
      <xdr:rowOff>7620</xdr:rowOff>
    </xdr:to>
    <xdr:sp macro="" textlink="">
      <xdr:nvSpPr>
        <xdr:cNvPr id="4" name="Rectangle: Rounded Corners 3">
          <a:extLst>
            <a:ext uri="{FF2B5EF4-FFF2-40B4-BE49-F238E27FC236}">
              <a16:creationId xmlns:a16="http://schemas.microsoft.com/office/drawing/2014/main" id="{3E45DD7B-FA47-4605-945F-7192BBF638A8}"/>
            </a:ext>
          </a:extLst>
        </xdr:cNvPr>
        <xdr:cNvSpPr/>
      </xdr:nvSpPr>
      <xdr:spPr>
        <a:xfrm>
          <a:off x="0" y="0"/>
          <a:ext cx="1423416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Raw</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Estimator Team</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0</xdr:col>
      <xdr:colOff>762000</xdr:colOff>
      <xdr:row>0</xdr:row>
      <xdr:rowOff>441960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0767D8F2-361D-4C34-952D-79F9BD3B08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762000" cy="441960"/>
        </a:xfrm>
        <a:prstGeom prst="rect">
          <a:avLst/>
        </a:prstGeom>
      </xdr:spPr>
    </xdr:pic>
    <xdr:clientData/>
  </xdr:twoCellAnchor>
  <xdr:twoCellAnchor editAs="oneCell">
    <xdr:from>
      <xdr:col>11</xdr:col>
      <xdr:colOff>899160</xdr:colOff>
      <xdr:row>0</xdr:row>
      <xdr:rowOff>7620</xdr:rowOff>
    </xdr:from>
    <xdr:to>
      <xdr:col>12</xdr:col>
      <xdr:colOff>381000</xdr:colOff>
      <xdr:row>0</xdr:row>
      <xdr:rowOff>441960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2A0DEB06-7780-4430-A9F7-49AD5D223F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95960" y="7620"/>
          <a:ext cx="800100" cy="4343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769620</xdr:colOff>
      <xdr:row>1</xdr:row>
      <xdr:rowOff>0</xdr:rowOff>
    </xdr:to>
    <xdr:sp macro="" textlink="">
      <xdr:nvSpPr>
        <xdr:cNvPr id="4" name="Rectangle: Rounded Corners 3">
          <a:extLst>
            <a:ext uri="{FF2B5EF4-FFF2-40B4-BE49-F238E27FC236}">
              <a16:creationId xmlns:a16="http://schemas.microsoft.com/office/drawing/2014/main" id="{AF74FA2F-8745-4F3A-8D49-85E9ECC2C8DB}"/>
            </a:ext>
          </a:extLst>
        </xdr:cNvPr>
        <xdr:cNvSpPr/>
      </xdr:nvSpPr>
      <xdr:spPr>
        <a:xfrm>
          <a:off x="0" y="0"/>
          <a:ext cx="1419606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Raw</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Estimator Team</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7620</xdr:colOff>
      <xdr:row>0</xdr:row>
      <xdr:rowOff>45720</xdr:rowOff>
    </xdr:from>
    <xdr:to>
      <xdr:col>0</xdr:col>
      <xdr:colOff>769620</xdr:colOff>
      <xdr:row>0</xdr:row>
      <xdr:rowOff>441960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867A8A9D-1447-4267-8C8D-42094F7E8AB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 y="45720"/>
          <a:ext cx="762000" cy="396240"/>
        </a:xfrm>
        <a:prstGeom prst="rect">
          <a:avLst/>
        </a:prstGeom>
      </xdr:spPr>
    </xdr:pic>
    <xdr:clientData/>
  </xdr:twoCellAnchor>
  <xdr:twoCellAnchor editAs="oneCell">
    <xdr:from>
      <xdr:col>12</xdr:col>
      <xdr:colOff>541020</xdr:colOff>
      <xdr:row>0</xdr:row>
      <xdr:rowOff>30480</xdr:rowOff>
    </xdr:from>
    <xdr:to>
      <xdr:col>13</xdr:col>
      <xdr:colOff>586740</xdr:colOff>
      <xdr:row>0</xdr:row>
      <xdr:rowOff>449580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A3CE78EB-A7FB-46E4-9A77-2603276AD68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57860" y="30480"/>
          <a:ext cx="800100" cy="4191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594360</xdr:colOff>
      <xdr:row>1</xdr:row>
      <xdr:rowOff>15240</xdr:rowOff>
    </xdr:to>
    <xdr:sp macro="" textlink="">
      <xdr:nvSpPr>
        <xdr:cNvPr id="4" name="Rectangle: Rounded Corners 3">
          <a:extLst>
            <a:ext uri="{FF2B5EF4-FFF2-40B4-BE49-F238E27FC236}">
              <a16:creationId xmlns:a16="http://schemas.microsoft.com/office/drawing/2014/main" id="{1A7FB70B-0396-44EC-B318-AB522F75761A}"/>
            </a:ext>
          </a:extLst>
        </xdr:cNvPr>
        <xdr:cNvSpPr/>
      </xdr:nvSpPr>
      <xdr:spPr>
        <a:xfrm>
          <a:off x="0" y="0"/>
          <a:ext cx="1417320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Data</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Quality</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7620</xdr:colOff>
      <xdr:row>0</xdr:row>
      <xdr:rowOff>53340</xdr:rowOff>
    </xdr:from>
    <xdr:to>
      <xdr:col>0</xdr:col>
      <xdr:colOff>769620</xdr:colOff>
      <xdr:row>0</xdr:row>
      <xdr:rowOff>426720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7BF29AB6-027C-4BE3-B44C-27146A85883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 y="53340"/>
          <a:ext cx="762000" cy="373380"/>
        </a:xfrm>
        <a:prstGeom prst="rect">
          <a:avLst/>
        </a:prstGeom>
      </xdr:spPr>
    </xdr:pic>
    <xdr:clientData/>
  </xdr:twoCellAnchor>
  <xdr:twoCellAnchor editAs="oneCell">
    <xdr:from>
      <xdr:col>14</xdr:col>
      <xdr:colOff>342900</xdr:colOff>
      <xdr:row>0</xdr:row>
      <xdr:rowOff>0</xdr:rowOff>
    </xdr:from>
    <xdr:to>
      <xdr:col>15</xdr:col>
      <xdr:colOff>533400</xdr:colOff>
      <xdr:row>0</xdr:row>
      <xdr:rowOff>449580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D14C8BAA-C245-491C-B0DB-C847F2D2A2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12140" y="0"/>
          <a:ext cx="800100" cy="4495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15240</xdr:colOff>
      <xdr:row>1</xdr:row>
      <xdr:rowOff>7620</xdr:rowOff>
    </xdr:to>
    <xdr:sp macro="" textlink="">
      <xdr:nvSpPr>
        <xdr:cNvPr id="2" name="Rectangle: Rounded Corners 1">
          <a:extLst>
            <a:ext uri="{FF2B5EF4-FFF2-40B4-BE49-F238E27FC236}">
              <a16:creationId xmlns:a16="http://schemas.microsoft.com/office/drawing/2014/main" id="{E2BE4BB0-9FE8-440C-91C4-D1B0002213F8}"/>
            </a:ext>
          </a:extLst>
        </xdr:cNvPr>
        <xdr:cNvSpPr/>
      </xdr:nvSpPr>
      <xdr:spPr>
        <a:xfrm>
          <a:off x="0" y="0"/>
          <a:ext cx="1434846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Clean</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 Transactions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30480</xdr:colOff>
      <xdr:row>0</xdr:row>
      <xdr:rowOff>45720</xdr:rowOff>
    </xdr:from>
    <xdr:to>
      <xdr:col>0</xdr:col>
      <xdr:colOff>769620</xdr:colOff>
      <xdr:row>0</xdr:row>
      <xdr:rowOff>434340</xdr:rowOff>
    </xdr:to>
    <xdr:pic>
      <xdr:nvPicPr>
        <xdr:cNvPr id="5" name="Graphic 4" descr="Chevron arrows with solid fill">
          <a:hlinkClick xmlns:r="http://schemas.openxmlformats.org/officeDocument/2006/relationships" r:id="rId1"/>
          <a:extLst>
            <a:ext uri="{FF2B5EF4-FFF2-40B4-BE49-F238E27FC236}">
              <a16:creationId xmlns:a16="http://schemas.microsoft.com/office/drawing/2014/main" id="{EC5C1A98-5A39-55CF-E3F1-7809FBAC0F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80" y="45720"/>
          <a:ext cx="739140" cy="388620"/>
        </a:xfrm>
        <a:prstGeom prst="rect">
          <a:avLst/>
        </a:prstGeom>
      </xdr:spPr>
    </xdr:pic>
    <xdr:clientData/>
  </xdr:twoCellAnchor>
  <xdr:twoCellAnchor editAs="oneCell">
    <xdr:from>
      <xdr:col>14</xdr:col>
      <xdr:colOff>320040</xdr:colOff>
      <xdr:row>0</xdr:row>
      <xdr:rowOff>30480</xdr:rowOff>
    </xdr:from>
    <xdr:to>
      <xdr:col>14</xdr:col>
      <xdr:colOff>1120140</xdr:colOff>
      <xdr:row>0</xdr:row>
      <xdr:rowOff>457200</xdr:rowOff>
    </xdr:to>
    <xdr:pic>
      <xdr:nvPicPr>
        <xdr:cNvPr id="6" name="Graphic 5" descr="Chevron arrows with solid fill">
          <a:hlinkClick xmlns:r="http://schemas.openxmlformats.org/officeDocument/2006/relationships" r:id="rId4"/>
          <a:extLst>
            <a:ext uri="{FF2B5EF4-FFF2-40B4-BE49-F238E27FC236}">
              <a16:creationId xmlns:a16="http://schemas.microsoft.com/office/drawing/2014/main" id="{7013338B-055C-403A-888F-9BEF66EC90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50240" y="30480"/>
          <a:ext cx="800100" cy="4267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899160</xdr:colOff>
      <xdr:row>1</xdr:row>
      <xdr:rowOff>0</xdr:rowOff>
    </xdr:to>
    <xdr:sp macro="" textlink="">
      <xdr:nvSpPr>
        <xdr:cNvPr id="4" name="Rectangle: Rounded Corners 3">
          <a:extLst>
            <a:ext uri="{FF2B5EF4-FFF2-40B4-BE49-F238E27FC236}">
              <a16:creationId xmlns:a16="http://schemas.microsoft.com/office/drawing/2014/main" id="{B7596A30-D4A1-42F1-98FE-EAC74D5493A7}"/>
            </a:ext>
          </a:extLst>
        </xdr:cNvPr>
        <xdr:cNvSpPr/>
      </xdr:nvSpPr>
      <xdr:spPr>
        <a:xfrm>
          <a:off x="0" y="0"/>
          <a:ext cx="1417320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Clean</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Project Master</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38100</xdr:colOff>
      <xdr:row>0</xdr:row>
      <xdr:rowOff>0</xdr:rowOff>
    </xdr:from>
    <xdr:to>
      <xdr:col>1</xdr:col>
      <xdr:colOff>22860</xdr:colOff>
      <xdr:row>0</xdr:row>
      <xdr:rowOff>457200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FA2CD366-D11B-4685-9610-D37E30B093B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100" y="0"/>
          <a:ext cx="739140" cy="457200"/>
        </a:xfrm>
        <a:prstGeom prst="rect">
          <a:avLst/>
        </a:prstGeom>
      </xdr:spPr>
    </xdr:pic>
    <xdr:clientData/>
  </xdr:twoCellAnchor>
  <xdr:twoCellAnchor editAs="oneCell">
    <xdr:from>
      <xdr:col>14</xdr:col>
      <xdr:colOff>7620</xdr:colOff>
      <xdr:row>0</xdr:row>
      <xdr:rowOff>0</xdr:rowOff>
    </xdr:from>
    <xdr:to>
      <xdr:col>14</xdr:col>
      <xdr:colOff>807720</xdr:colOff>
      <xdr:row>0</xdr:row>
      <xdr:rowOff>480060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B272FFC8-7862-45E5-B0A2-912C073AC7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35000" y="0"/>
          <a:ext cx="800100" cy="4800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15240</xdr:colOff>
      <xdr:row>1</xdr:row>
      <xdr:rowOff>7620</xdr:rowOff>
    </xdr:to>
    <xdr:sp macro="" textlink="">
      <xdr:nvSpPr>
        <xdr:cNvPr id="4" name="Rectangle: Rounded Corners 3">
          <a:extLst>
            <a:ext uri="{FF2B5EF4-FFF2-40B4-BE49-F238E27FC236}">
              <a16:creationId xmlns:a16="http://schemas.microsoft.com/office/drawing/2014/main" id="{86768903-BED9-47E1-B05D-D22289041650}"/>
            </a:ext>
          </a:extLst>
        </xdr:cNvPr>
        <xdr:cNvSpPr/>
      </xdr:nvSpPr>
      <xdr:spPr>
        <a:xfrm>
          <a:off x="0" y="0"/>
          <a:ext cx="14310360" cy="49530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Clean</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Client Master</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30480</xdr:colOff>
      <xdr:row>0</xdr:row>
      <xdr:rowOff>30480</xdr:rowOff>
    </xdr:from>
    <xdr:to>
      <xdr:col>0</xdr:col>
      <xdr:colOff>769620</xdr:colOff>
      <xdr:row>1</xdr:row>
      <xdr:rowOff>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E74DE552-726F-4A34-AB53-DBC83BB066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80" y="30480"/>
          <a:ext cx="739140" cy="457200"/>
        </a:xfrm>
        <a:prstGeom prst="rect">
          <a:avLst/>
        </a:prstGeom>
      </xdr:spPr>
    </xdr:pic>
    <xdr:clientData/>
  </xdr:twoCellAnchor>
  <xdr:twoCellAnchor editAs="oneCell">
    <xdr:from>
      <xdr:col>13</xdr:col>
      <xdr:colOff>419100</xdr:colOff>
      <xdr:row>0</xdr:row>
      <xdr:rowOff>7620</xdr:rowOff>
    </xdr:from>
    <xdr:to>
      <xdr:col>13</xdr:col>
      <xdr:colOff>1219200</xdr:colOff>
      <xdr:row>0</xdr:row>
      <xdr:rowOff>480060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78E0C6F8-6B34-4CE8-B032-EBEA54C4C80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65480" y="7620"/>
          <a:ext cx="800100" cy="4724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205740</xdr:colOff>
      <xdr:row>0</xdr:row>
      <xdr:rowOff>464820</xdr:rowOff>
    </xdr:to>
    <xdr:sp macro="" textlink="">
      <xdr:nvSpPr>
        <xdr:cNvPr id="4" name="Rectangle: Rounded Corners 3">
          <a:extLst>
            <a:ext uri="{FF2B5EF4-FFF2-40B4-BE49-F238E27FC236}">
              <a16:creationId xmlns:a16="http://schemas.microsoft.com/office/drawing/2014/main" id="{443CB5C5-1B0B-4A65-AA23-7EF8B06D9BD4}"/>
            </a:ext>
          </a:extLst>
        </xdr:cNvPr>
        <xdr:cNvSpPr/>
      </xdr:nvSpPr>
      <xdr:spPr>
        <a:xfrm>
          <a:off x="0" y="0"/>
          <a:ext cx="14173200" cy="46482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Clean</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Estimator Team</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68580</xdr:colOff>
      <xdr:row>0</xdr:row>
      <xdr:rowOff>0</xdr:rowOff>
    </xdr:from>
    <xdr:to>
      <xdr:col>0</xdr:col>
      <xdr:colOff>807720</xdr:colOff>
      <xdr:row>0</xdr:row>
      <xdr:rowOff>472440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D885A0BE-7539-41CA-BCF9-46C0B8377F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580" y="0"/>
          <a:ext cx="739140" cy="472440"/>
        </a:xfrm>
        <a:prstGeom prst="rect">
          <a:avLst/>
        </a:prstGeom>
      </xdr:spPr>
    </xdr:pic>
    <xdr:clientData/>
  </xdr:twoCellAnchor>
  <xdr:twoCellAnchor editAs="oneCell">
    <xdr:from>
      <xdr:col>12</xdr:col>
      <xdr:colOff>83820</xdr:colOff>
      <xdr:row>0</xdr:row>
      <xdr:rowOff>0</xdr:rowOff>
    </xdr:from>
    <xdr:to>
      <xdr:col>13</xdr:col>
      <xdr:colOff>175260</xdr:colOff>
      <xdr:row>0</xdr:row>
      <xdr:rowOff>464820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97114E37-07B8-49D4-988F-9530BF059D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42620" y="0"/>
          <a:ext cx="800100" cy="4648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129540</xdr:colOff>
      <xdr:row>1</xdr:row>
      <xdr:rowOff>0</xdr:rowOff>
    </xdr:to>
    <xdr:sp macro="" textlink="">
      <xdr:nvSpPr>
        <xdr:cNvPr id="4" name="Rectangle: Rounded Corners 3">
          <a:extLst>
            <a:ext uri="{FF2B5EF4-FFF2-40B4-BE49-F238E27FC236}">
              <a16:creationId xmlns:a16="http://schemas.microsoft.com/office/drawing/2014/main" id="{1578A3E6-9888-4A28-8D20-5A50425570AE}"/>
            </a:ext>
          </a:extLst>
        </xdr:cNvPr>
        <xdr:cNvSpPr/>
      </xdr:nvSpPr>
      <xdr:spPr>
        <a:xfrm>
          <a:off x="0" y="0"/>
          <a:ext cx="14211300" cy="48768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Clean</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Monthly Costs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15240</xdr:colOff>
      <xdr:row>0</xdr:row>
      <xdr:rowOff>0</xdr:rowOff>
    </xdr:from>
    <xdr:to>
      <xdr:col>1</xdr:col>
      <xdr:colOff>45720</xdr:colOff>
      <xdr:row>1</xdr:row>
      <xdr:rowOff>7620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3CFAB520-D663-42C7-9025-C2BA107C39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240" y="0"/>
          <a:ext cx="739140" cy="495300"/>
        </a:xfrm>
        <a:prstGeom prst="rect">
          <a:avLst/>
        </a:prstGeom>
      </xdr:spPr>
    </xdr:pic>
    <xdr:clientData/>
  </xdr:twoCellAnchor>
  <xdr:twoCellAnchor editAs="oneCell">
    <xdr:from>
      <xdr:col>12</xdr:col>
      <xdr:colOff>106680</xdr:colOff>
      <xdr:row>0</xdr:row>
      <xdr:rowOff>0</xdr:rowOff>
    </xdr:from>
    <xdr:to>
      <xdr:col>13</xdr:col>
      <xdr:colOff>83820</xdr:colOff>
      <xdr:row>0</xdr:row>
      <xdr:rowOff>472440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ED8EFE05-D235-4596-A636-FC2DA713B1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65480" y="0"/>
          <a:ext cx="800100" cy="47244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899160</xdr:colOff>
      <xdr:row>1</xdr:row>
      <xdr:rowOff>0</xdr:rowOff>
    </xdr:to>
    <xdr:sp macro="" textlink="">
      <xdr:nvSpPr>
        <xdr:cNvPr id="4" name="Rectangle: Rounded Corners 3">
          <a:extLst>
            <a:ext uri="{FF2B5EF4-FFF2-40B4-BE49-F238E27FC236}">
              <a16:creationId xmlns:a16="http://schemas.microsoft.com/office/drawing/2014/main" id="{0127C967-9689-47F4-920B-CC321A6324D2}"/>
            </a:ext>
          </a:extLst>
        </xdr:cNvPr>
        <xdr:cNvSpPr/>
      </xdr:nvSpPr>
      <xdr:spPr>
        <a:xfrm>
          <a:off x="0" y="0"/>
          <a:ext cx="14135100" cy="48768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Analysis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45720</xdr:colOff>
      <xdr:row>0</xdr:row>
      <xdr:rowOff>0</xdr:rowOff>
    </xdr:from>
    <xdr:to>
      <xdr:col>1</xdr:col>
      <xdr:colOff>541020</xdr:colOff>
      <xdr:row>1</xdr:row>
      <xdr:rowOff>15240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2D91C558-5CF5-4345-B234-1253869CAD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720" y="0"/>
          <a:ext cx="739140" cy="502920"/>
        </a:xfrm>
        <a:prstGeom prst="rect">
          <a:avLst/>
        </a:prstGeom>
      </xdr:spPr>
    </xdr:pic>
    <xdr:clientData/>
  </xdr:twoCellAnchor>
  <xdr:twoCellAnchor editAs="oneCell">
    <xdr:from>
      <xdr:col>13</xdr:col>
      <xdr:colOff>160020</xdr:colOff>
      <xdr:row>0</xdr:row>
      <xdr:rowOff>0</xdr:rowOff>
    </xdr:from>
    <xdr:to>
      <xdr:col>14</xdr:col>
      <xdr:colOff>754380</xdr:colOff>
      <xdr:row>1</xdr:row>
      <xdr:rowOff>7620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C54C8C00-68E4-45C0-93CE-FD2E12BC39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49300" y="0"/>
          <a:ext cx="800100" cy="495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1135380</xdr:colOff>
      <xdr:row>1</xdr:row>
      <xdr:rowOff>0</xdr:rowOff>
    </xdr:to>
    <xdr:sp macro="" textlink="">
      <xdr:nvSpPr>
        <xdr:cNvPr id="4" name="Rectangle: Rounded Corners 3">
          <a:extLst>
            <a:ext uri="{FF2B5EF4-FFF2-40B4-BE49-F238E27FC236}">
              <a16:creationId xmlns:a16="http://schemas.microsoft.com/office/drawing/2014/main" id="{3F709A01-7774-4FCB-9EE4-C50B8A0912EB}"/>
            </a:ext>
          </a:extLst>
        </xdr:cNvPr>
        <xdr:cNvSpPr/>
      </xdr:nvSpPr>
      <xdr:spPr>
        <a:xfrm>
          <a:off x="0" y="0"/>
          <a:ext cx="14173200" cy="48768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Project</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Analysis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15240</xdr:colOff>
      <xdr:row>0</xdr:row>
      <xdr:rowOff>0</xdr:rowOff>
    </xdr:from>
    <xdr:to>
      <xdr:col>1</xdr:col>
      <xdr:colOff>640080</xdr:colOff>
      <xdr:row>0</xdr:row>
      <xdr:rowOff>464820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21DFDBB6-6A74-4DF5-9AB0-1AA40099304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240" y="0"/>
          <a:ext cx="739140" cy="464820"/>
        </a:xfrm>
        <a:prstGeom prst="rect">
          <a:avLst/>
        </a:prstGeom>
      </xdr:spPr>
    </xdr:pic>
    <xdr:clientData/>
  </xdr:twoCellAnchor>
  <xdr:twoCellAnchor editAs="oneCell">
    <xdr:from>
      <xdr:col>16</xdr:col>
      <xdr:colOff>312420</xdr:colOff>
      <xdr:row>0</xdr:row>
      <xdr:rowOff>0</xdr:rowOff>
    </xdr:from>
    <xdr:to>
      <xdr:col>16</xdr:col>
      <xdr:colOff>1112520</xdr:colOff>
      <xdr:row>1</xdr:row>
      <xdr:rowOff>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92978602-7071-4C95-B170-3C5647FDB3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50240" y="0"/>
          <a:ext cx="800100" cy="4876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198120</xdr:colOff>
      <xdr:row>1</xdr:row>
      <xdr:rowOff>7620</xdr:rowOff>
    </xdr:to>
    <xdr:sp macro="" textlink="">
      <xdr:nvSpPr>
        <xdr:cNvPr id="4" name="Rectangle: Rounded Corners 3">
          <a:extLst>
            <a:ext uri="{FF2B5EF4-FFF2-40B4-BE49-F238E27FC236}">
              <a16:creationId xmlns:a16="http://schemas.microsoft.com/office/drawing/2014/main" id="{59326846-9D41-4DB7-8C79-54DDD64FF8AB}"/>
            </a:ext>
          </a:extLst>
        </xdr:cNvPr>
        <xdr:cNvSpPr/>
      </xdr:nvSpPr>
      <xdr:spPr>
        <a:xfrm>
          <a:off x="0" y="0"/>
          <a:ext cx="14211300" cy="48768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Client</a:t>
          </a: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Analysis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7620</xdr:colOff>
      <xdr:row>0</xdr:row>
      <xdr:rowOff>0</xdr:rowOff>
    </xdr:from>
    <xdr:to>
      <xdr:col>1</xdr:col>
      <xdr:colOff>472440</xdr:colOff>
      <xdr:row>0</xdr:row>
      <xdr:rowOff>457200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CBCEF9D1-081B-44A2-9143-5010917587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 y="0"/>
          <a:ext cx="739140" cy="457200"/>
        </a:xfrm>
        <a:prstGeom prst="rect">
          <a:avLst/>
        </a:prstGeom>
      </xdr:spPr>
    </xdr:pic>
    <xdr:clientData/>
  </xdr:twoCellAnchor>
  <xdr:twoCellAnchor editAs="oneCell">
    <xdr:from>
      <xdr:col>14</xdr:col>
      <xdr:colOff>685800</xdr:colOff>
      <xdr:row>0</xdr:row>
      <xdr:rowOff>0</xdr:rowOff>
    </xdr:from>
    <xdr:to>
      <xdr:col>14</xdr:col>
      <xdr:colOff>1485900</xdr:colOff>
      <xdr:row>1</xdr:row>
      <xdr:rowOff>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5FACA8EF-6339-4A72-AEDE-B936C737AA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50240" y="0"/>
          <a:ext cx="800100" cy="48006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1</xdr:row>
      <xdr:rowOff>0</xdr:rowOff>
    </xdr:to>
    <xdr:sp macro="" textlink="">
      <xdr:nvSpPr>
        <xdr:cNvPr id="4" name="Rectangle: Rounded Corners 3">
          <a:extLst>
            <a:ext uri="{FF2B5EF4-FFF2-40B4-BE49-F238E27FC236}">
              <a16:creationId xmlns:a16="http://schemas.microsoft.com/office/drawing/2014/main" id="{0D144BCF-413F-4F13-8ABF-980AD2BEE374}"/>
            </a:ext>
          </a:extLst>
        </xdr:cNvPr>
        <xdr:cNvSpPr/>
      </xdr:nvSpPr>
      <xdr:spPr>
        <a:xfrm>
          <a:off x="0" y="0"/>
          <a:ext cx="13030200" cy="48768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Estimator Analysis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60960</xdr:colOff>
      <xdr:row>0</xdr:row>
      <xdr:rowOff>0</xdr:rowOff>
    </xdr:from>
    <xdr:to>
      <xdr:col>1</xdr:col>
      <xdr:colOff>556260</xdr:colOff>
      <xdr:row>0</xdr:row>
      <xdr:rowOff>480060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32AF12A2-C1FD-4183-A113-73A65605B3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960" y="0"/>
          <a:ext cx="739140" cy="480060"/>
        </a:xfrm>
        <a:prstGeom prst="rect">
          <a:avLst/>
        </a:prstGeom>
      </xdr:spPr>
    </xdr:pic>
    <xdr:clientData/>
  </xdr:twoCellAnchor>
  <xdr:twoCellAnchor editAs="oneCell">
    <xdr:from>
      <xdr:col>11</xdr:col>
      <xdr:colOff>472440</xdr:colOff>
      <xdr:row>0</xdr:row>
      <xdr:rowOff>0</xdr:rowOff>
    </xdr:from>
    <xdr:to>
      <xdr:col>11</xdr:col>
      <xdr:colOff>1272540</xdr:colOff>
      <xdr:row>0</xdr:row>
      <xdr:rowOff>449580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DA277676-B49B-4F6B-B678-63B56EC358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61520" y="0"/>
          <a:ext cx="800100" cy="4495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396240</xdr:colOff>
      <xdr:row>1</xdr:row>
      <xdr:rowOff>0</xdr:rowOff>
    </xdr:to>
    <xdr:sp macro="" textlink="">
      <xdr:nvSpPr>
        <xdr:cNvPr id="4" name="Rectangle: Rounded Corners 3">
          <a:extLst>
            <a:ext uri="{FF2B5EF4-FFF2-40B4-BE49-F238E27FC236}">
              <a16:creationId xmlns:a16="http://schemas.microsoft.com/office/drawing/2014/main" id="{2C271C5E-CF23-4E5B-8B8B-D27F7EF8E571}"/>
            </a:ext>
          </a:extLst>
        </xdr:cNvPr>
        <xdr:cNvSpPr/>
      </xdr:nvSpPr>
      <xdr:spPr>
        <a:xfrm>
          <a:off x="0" y="0"/>
          <a:ext cx="14279880" cy="487680"/>
        </a:xfrm>
        <a:prstGeom prst="roundRect">
          <a:avLst/>
        </a:prstGeom>
        <a:solidFill>
          <a:schemeClr val="bg2"/>
        </a:solidFill>
        <a:ln>
          <a:solidFill>
            <a:schemeClr val="bg1">
              <a:lumMod val="95000"/>
            </a:schemeClr>
          </a:solidFill>
        </a:ln>
        <a:scene3d>
          <a:camera prst="orthographicFront"/>
          <a:lightRig rig="threePt" dir="t"/>
        </a:scene3d>
        <a:sp3d>
          <a:bevelT w="165100" prst="coolSlan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baseline="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Cost Analysis</a:t>
          </a:r>
          <a:endParaRPr lang="en-IN" sz="2800" b="1" cap="none" spc="0">
            <a:ln w="0"/>
            <a:solidFill>
              <a:srgbClr val="00206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487680</xdr:colOff>
      <xdr:row>1</xdr:row>
      <xdr:rowOff>0</xdr:rowOff>
    </xdr:to>
    <xdr:pic>
      <xdr:nvPicPr>
        <xdr:cNvPr id="2" name="Graphic 1" descr="Chevron arrows with solid fill">
          <a:hlinkClick xmlns:r="http://schemas.openxmlformats.org/officeDocument/2006/relationships" r:id="rId1"/>
          <a:extLst>
            <a:ext uri="{FF2B5EF4-FFF2-40B4-BE49-F238E27FC236}">
              <a16:creationId xmlns:a16="http://schemas.microsoft.com/office/drawing/2014/main" id="{5004E83D-7E95-43AC-B4EB-4D34D6D296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739140" cy="487680"/>
        </a:xfrm>
        <a:prstGeom prst="rect">
          <a:avLst/>
        </a:prstGeom>
      </xdr:spPr>
    </xdr:pic>
    <xdr:clientData/>
  </xdr:twoCellAnchor>
  <xdr:twoCellAnchor editAs="oneCell">
    <xdr:from>
      <xdr:col>13</xdr:col>
      <xdr:colOff>228600</xdr:colOff>
      <xdr:row>0</xdr:row>
      <xdr:rowOff>0</xdr:rowOff>
    </xdr:from>
    <xdr:to>
      <xdr:col>14</xdr:col>
      <xdr:colOff>320040</xdr:colOff>
      <xdr:row>0</xdr:row>
      <xdr:rowOff>457200</xdr:rowOff>
    </xdr:to>
    <xdr:pic>
      <xdr:nvPicPr>
        <xdr:cNvPr id="3" name="Graphic 2" descr="Chevron arrows with solid fill">
          <a:hlinkClick xmlns:r="http://schemas.openxmlformats.org/officeDocument/2006/relationships" r:id="rId4"/>
          <a:extLst>
            <a:ext uri="{FF2B5EF4-FFF2-40B4-BE49-F238E27FC236}">
              <a16:creationId xmlns:a16="http://schemas.microsoft.com/office/drawing/2014/main" id="{31F6FC34-B139-4615-8793-EBE88A8A69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03580" y="0"/>
          <a:ext cx="800100" cy="4572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7</xdr:col>
      <xdr:colOff>441960</xdr:colOff>
      <xdr:row>3</xdr:row>
      <xdr:rowOff>52972</xdr:rowOff>
    </xdr:from>
    <xdr:to>
      <xdr:col>11</xdr:col>
      <xdr:colOff>236220</xdr:colOff>
      <xdr:row>6</xdr:row>
      <xdr:rowOff>114299</xdr:rowOff>
    </xdr:to>
    <xdr:grpSp>
      <xdr:nvGrpSpPr>
        <xdr:cNvPr id="4" name="Group 3">
          <a:extLst>
            <a:ext uri="{FF2B5EF4-FFF2-40B4-BE49-F238E27FC236}">
              <a16:creationId xmlns:a16="http://schemas.microsoft.com/office/drawing/2014/main" id="{FD94BFDE-ADA9-BF95-0724-AAC4514C9CDD}"/>
            </a:ext>
          </a:extLst>
        </xdr:cNvPr>
        <xdr:cNvGrpSpPr/>
      </xdr:nvGrpSpPr>
      <xdr:grpSpPr>
        <a:xfrm>
          <a:off x="4709160" y="601612"/>
          <a:ext cx="2232660" cy="609967"/>
          <a:chOff x="161164" y="806527"/>
          <a:chExt cx="2316480" cy="1034628"/>
        </a:xfrm>
        <a:solidFill>
          <a:srgbClr val="001B50"/>
        </a:solidFill>
      </xdr:grpSpPr>
      <xdr:sp macro="" textlink="Clean_Sales_Transactions!BI7">
        <xdr:nvSpPr>
          <xdr:cNvPr id="2" name="Rectangle 1">
            <a:extLst>
              <a:ext uri="{FF2B5EF4-FFF2-40B4-BE49-F238E27FC236}">
                <a16:creationId xmlns:a16="http://schemas.microsoft.com/office/drawing/2014/main" id="{10A0477E-6D75-CDE0-473C-79D63990EE8A}"/>
              </a:ext>
            </a:extLst>
          </xdr:cNvPr>
          <xdr:cNvSpPr/>
        </xdr:nvSpPr>
        <xdr:spPr>
          <a:xfrm>
            <a:off x="161164" y="820075"/>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4F682C5C-FC79-4274-90B5-6D87BF1CAE7B}"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15.50%</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3" name="Rectangle: Rounded Corners 2">
            <a:extLst>
              <a:ext uri="{FF2B5EF4-FFF2-40B4-BE49-F238E27FC236}">
                <a16:creationId xmlns:a16="http://schemas.microsoft.com/office/drawing/2014/main" id="{5DFD539C-1BE3-9EBB-5BD1-C611A49909FC}"/>
              </a:ext>
            </a:extLst>
          </xdr:cNvPr>
          <xdr:cNvSpPr/>
        </xdr:nvSpPr>
        <xdr:spPr>
          <a:xfrm>
            <a:off x="185072" y="806527"/>
            <a:ext cx="2205729"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Win</a:t>
            </a:r>
            <a:r>
              <a:rPr lang="en-IN" sz="1400" b="1" baseline="0">
                <a:solidFill>
                  <a:schemeClr val="bg1"/>
                </a:solidFill>
                <a:latin typeface="Times New Roman" panose="02020603050405020304" pitchFamily="18" charset="0"/>
                <a:cs typeface="Times New Roman" panose="02020603050405020304" pitchFamily="18" charset="0"/>
              </a:rPr>
              <a:t> Rate</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3</xdr:col>
      <xdr:colOff>457200</xdr:colOff>
      <xdr:row>3</xdr:row>
      <xdr:rowOff>45720</xdr:rowOff>
    </xdr:from>
    <xdr:to>
      <xdr:col>7</xdr:col>
      <xdr:colOff>388620</xdr:colOff>
      <xdr:row>6</xdr:row>
      <xdr:rowOff>114300</xdr:rowOff>
    </xdr:to>
    <xdr:sp macro="" textlink="Clean_Sales_Transactions!BI6">
      <xdr:nvSpPr>
        <xdr:cNvPr id="13" name="Rectangle: Rounded Corners 12">
          <a:extLst>
            <a:ext uri="{FF2B5EF4-FFF2-40B4-BE49-F238E27FC236}">
              <a16:creationId xmlns:a16="http://schemas.microsoft.com/office/drawing/2014/main" id="{9ACE9A82-3F6B-ADC1-6E97-6E15FD559D1D}"/>
            </a:ext>
          </a:extLst>
        </xdr:cNvPr>
        <xdr:cNvSpPr/>
      </xdr:nvSpPr>
      <xdr:spPr>
        <a:xfrm>
          <a:off x="2286000" y="594360"/>
          <a:ext cx="2369820" cy="617220"/>
        </a:xfrm>
        <a:prstGeom prst="roundRect">
          <a:avLst/>
        </a:prstGeom>
        <a:solidFill>
          <a:srgbClr val="001B50"/>
        </a:solid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0AD922A-A88A-4FE6-962B-9BEAF60D1BFA}"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$1.98B</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0</xdr:rowOff>
    </xdr:from>
    <xdr:to>
      <xdr:col>23</xdr:col>
      <xdr:colOff>396240</xdr:colOff>
      <xdr:row>3</xdr:row>
      <xdr:rowOff>15240</xdr:rowOff>
    </xdr:to>
    <xdr:sp macro="" textlink="">
      <xdr:nvSpPr>
        <xdr:cNvPr id="21" name="Rectangle: Rounded Corners 20">
          <a:extLst>
            <a:ext uri="{FF2B5EF4-FFF2-40B4-BE49-F238E27FC236}">
              <a16:creationId xmlns:a16="http://schemas.microsoft.com/office/drawing/2014/main" id="{38143A84-AB56-495D-968E-D97E7126AEFC}"/>
            </a:ext>
          </a:extLst>
        </xdr:cNvPr>
        <xdr:cNvSpPr/>
      </xdr:nvSpPr>
      <xdr:spPr>
        <a:xfrm>
          <a:off x="0" y="0"/>
          <a:ext cx="14417040" cy="563880"/>
        </a:xfrm>
        <a:prstGeom prst="roundRect">
          <a:avLst/>
        </a:prstGeom>
        <a:solidFill>
          <a:srgbClr val="001B50"/>
        </a:solidFill>
        <a:ln>
          <a:solidFill>
            <a:schemeClr val="bg1">
              <a:lumMod val="95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IN" sz="2800" b="1" cap="none" spc="0" baseline="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Analysis Dashboard</a:t>
          </a:r>
          <a:endPar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129540</xdr:colOff>
      <xdr:row>3</xdr:row>
      <xdr:rowOff>60960</xdr:rowOff>
    </xdr:to>
    <xdr:pic>
      <xdr:nvPicPr>
        <xdr:cNvPr id="6" name="Graphic 5" descr="Chevron arrows with solid fill">
          <a:hlinkClick xmlns:r="http://schemas.openxmlformats.org/officeDocument/2006/relationships" r:id="rId1"/>
          <a:extLst>
            <a:ext uri="{FF2B5EF4-FFF2-40B4-BE49-F238E27FC236}">
              <a16:creationId xmlns:a16="http://schemas.microsoft.com/office/drawing/2014/main" id="{EDBFA5FD-DB04-4457-9A84-432CFF9748D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739140" cy="609600"/>
        </a:xfrm>
        <a:prstGeom prst="rect">
          <a:avLst/>
        </a:prstGeom>
      </xdr:spPr>
    </xdr:pic>
    <xdr:clientData/>
  </xdr:twoCellAnchor>
  <xdr:twoCellAnchor editAs="oneCell">
    <xdr:from>
      <xdr:col>22</xdr:col>
      <xdr:colOff>60960</xdr:colOff>
      <xdr:row>0</xdr:row>
      <xdr:rowOff>0</xdr:rowOff>
    </xdr:from>
    <xdr:to>
      <xdr:col>23</xdr:col>
      <xdr:colOff>251460</xdr:colOff>
      <xdr:row>3</xdr:row>
      <xdr:rowOff>38100</xdr:rowOff>
    </xdr:to>
    <xdr:pic>
      <xdr:nvPicPr>
        <xdr:cNvPr id="22" name="Graphic 21" descr="Chevron arrows with solid fill">
          <a:hlinkClick xmlns:r="http://schemas.openxmlformats.org/officeDocument/2006/relationships" r:id="rId4"/>
          <a:extLst>
            <a:ext uri="{FF2B5EF4-FFF2-40B4-BE49-F238E27FC236}">
              <a16:creationId xmlns:a16="http://schemas.microsoft.com/office/drawing/2014/main" id="{A05B6E6F-6831-45D1-BDFE-0C1135CC963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72160" y="0"/>
          <a:ext cx="800100" cy="586740"/>
        </a:xfrm>
        <a:prstGeom prst="rect">
          <a:avLst/>
        </a:prstGeom>
      </xdr:spPr>
    </xdr:pic>
    <xdr:clientData/>
  </xdr:twoCellAnchor>
  <xdr:twoCellAnchor>
    <xdr:from>
      <xdr:col>19</xdr:col>
      <xdr:colOff>388620</xdr:colOff>
      <xdr:row>3</xdr:row>
      <xdr:rowOff>45720</xdr:rowOff>
    </xdr:from>
    <xdr:to>
      <xdr:col>23</xdr:col>
      <xdr:colOff>403860</xdr:colOff>
      <xdr:row>6</xdr:row>
      <xdr:rowOff>106680</xdr:rowOff>
    </xdr:to>
    <xdr:grpSp>
      <xdr:nvGrpSpPr>
        <xdr:cNvPr id="15" name="Group 14">
          <a:extLst>
            <a:ext uri="{FF2B5EF4-FFF2-40B4-BE49-F238E27FC236}">
              <a16:creationId xmlns:a16="http://schemas.microsoft.com/office/drawing/2014/main" id="{E883F93E-D9D1-47CA-BF20-6EC9BD86A3B4}"/>
            </a:ext>
          </a:extLst>
        </xdr:cNvPr>
        <xdr:cNvGrpSpPr/>
      </xdr:nvGrpSpPr>
      <xdr:grpSpPr>
        <a:xfrm>
          <a:off x="11971020" y="594360"/>
          <a:ext cx="2453640" cy="609600"/>
          <a:chOff x="129540" y="769620"/>
          <a:chExt cx="2316480" cy="1033382"/>
        </a:xfrm>
        <a:solidFill>
          <a:srgbClr val="001B50"/>
        </a:solidFill>
      </xdr:grpSpPr>
      <xdr:sp macro="" textlink="Clean_Sales_Transactions!BI8">
        <xdr:nvSpPr>
          <xdr:cNvPr id="16" name="Rectangle 15">
            <a:extLst>
              <a:ext uri="{FF2B5EF4-FFF2-40B4-BE49-F238E27FC236}">
                <a16:creationId xmlns:a16="http://schemas.microsoft.com/office/drawing/2014/main" id="{D53ECE74-11B1-34C3-1005-D9CE22951E79}"/>
              </a:ext>
            </a:extLst>
          </xdr:cNvPr>
          <xdr:cNvSpPr/>
        </xdr:nvSpPr>
        <xdr:spPr>
          <a:xfrm>
            <a:off x="129540" y="781922"/>
            <a:ext cx="2316480" cy="1021080"/>
          </a:xfrm>
          <a:prstGeom prst="roundRect">
            <a:avLst/>
          </a:prstGeom>
          <a:solidFill>
            <a:srgbClr val="001B5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849BAC9-BB7F-4F1D-BA32-CCD7DF9C5BB4}"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23.95%</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7" name="Rectangle: Rounded Corners 16">
            <a:extLst>
              <a:ext uri="{FF2B5EF4-FFF2-40B4-BE49-F238E27FC236}">
                <a16:creationId xmlns:a16="http://schemas.microsoft.com/office/drawing/2014/main" id="{9C8E2F5B-E1D5-17A3-E1F9-486FA018DD06}"/>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Gross</a:t>
            </a:r>
            <a:r>
              <a:rPr lang="en-IN" sz="1400" b="1" baseline="0">
                <a:solidFill>
                  <a:schemeClr val="bg1"/>
                </a:solidFill>
                <a:latin typeface="Times New Roman" panose="02020603050405020304" pitchFamily="18" charset="0"/>
                <a:cs typeface="Times New Roman" panose="02020603050405020304" pitchFamily="18" charset="0"/>
              </a:rPr>
              <a:t> Margin</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9</xdr:col>
      <xdr:colOff>259080</xdr:colOff>
      <xdr:row>23</xdr:row>
      <xdr:rowOff>45720</xdr:rowOff>
    </xdr:from>
    <xdr:to>
      <xdr:col>16</xdr:col>
      <xdr:colOff>457200</xdr:colOff>
      <xdr:row>39</xdr:row>
      <xdr:rowOff>121920</xdr:rowOff>
    </xdr:to>
    <xdr:graphicFrame macro="">
      <xdr:nvGraphicFramePr>
        <xdr:cNvPr id="27" name="Chart 26">
          <a:extLst>
            <a:ext uri="{FF2B5EF4-FFF2-40B4-BE49-F238E27FC236}">
              <a16:creationId xmlns:a16="http://schemas.microsoft.com/office/drawing/2014/main" id="{C1B0319B-8038-4096-9BD6-47787AE62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xdr:row>
      <xdr:rowOff>7620</xdr:rowOff>
    </xdr:from>
    <xdr:to>
      <xdr:col>2</xdr:col>
      <xdr:colOff>502920</xdr:colOff>
      <xdr:row>37</xdr:row>
      <xdr:rowOff>91440</xdr:rowOff>
    </xdr:to>
    <xdr:pic>
      <xdr:nvPicPr>
        <xdr:cNvPr id="36" name="Picture 35">
          <a:extLst>
            <a:ext uri="{FF2B5EF4-FFF2-40B4-BE49-F238E27FC236}">
              <a16:creationId xmlns:a16="http://schemas.microsoft.com/office/drawing/2014/main" id="{3ACF8FD7-6282-9D41-62D4-93BAD346FBB4}"/>
            </a:ext>
          </a:extLst>
        </xdr:cNvPr>
        <xdr:cNvPicPr>
          <a:picLocks noChangeAspect="1"/>
        </xdr:cNvPicPr>
      </xdr:nvPicPr>
      <xdr:blipFill>
        <a:blip xmlns:r="http://schemas.openxmlformats.org/officeDocument/2006/relationships" r:embed="rId8" cstate="print">
          <a:alphaModFix amt="50000"/>
          <a:extLst>
            <a:ext uri="{28A0092B-C50C-407E-A947-70E740481C1C}">
              <a14:useLocalDpi xmlns:a14="http://schemas.microsoft.com/office/drawing/2010/main" val="0"/>
            </a:ext>
          </a:extLst>
        </a:blip>
        <a:stretch>
          <a:fillRect/>
        </a:stretch>
      </xdr:blipFill>
      <xdr:spPr>
        <a:xfrm>
          <a:off x="0" y="556260"/>
          <a:ext cx="1722120" cy="6301740"/>
        </a:xfrm>
        <a:prstGeom prst="rect">
          <a:avLst/>
        </a:prstGeom>
      </xdr:spPr>
    </xdr:pic>
    <xdr:clientData/>
  </xdr:twoCellAnchor>
  <xdr:twoCellAnchor editAs="oneCell">
    <xdr:from>
      <xdr:col>0</xdr:col>
      <xdr:colOff>38100</xdr:colOff>
      <xdr:row>13</xdr:row>
      <xdr:rowOff>91440</xdr:rowOff>
    </xdr:from>
    <xdr:to>
      <xdr:col>2</xdr:col>
      <xdr:colOff>464820</xdr:colOff>
      <xdr:row>26</xdr:row>
      <xdr:rowOff>137160</xdr:rowOff>
    </xdr:to>
    <mc:AlternateContent xmlns:mc="http://schemas.openxmlformats.org/markup-compatibility/2006" xmlns:a14="http://schemas.microsoft.com/office/drawing/2010/main">
      <mc:Choice Requires="a14">
        <xdr:graphicFrame macro="">
          <xdr:nvGraphicFramePr>
            <xdr:cNvPr id="40" name="Client 2">
              <a:extLst>
                <a:ext uri="{FF2B5EF4-FFF2-40B4-BE49-F238E27FC236}">
                  <a16:creationId xmlns:a16="http://schemas.microsoft.com/office/drawing/2014/main" id="{1A438668-E730-4DEC-8C6A-92379643FE98}"/>
                </a:ext>
              </a:extLst>
            </xdr:cNvPr>
            <xdr:cNvGraphicFramePr/>
          </xdr:nvGraphicFramePr>
          <xdr:xfrm>
            <a:off x="0" y="0"/>
            <a:ext cx="0" cy="0"/>
          </xdr:xfrm>
          <a:graphic>
            <a:graphicData uri="http://schemas.microsoft.com/office/drawing/2010/slicer">
              <sle:slicer xmlns:sle="http://schemas.microsoft.com/office/drawing/2010/slicer" name="Client 2"/>
            </a:graphicData>
          </a:graphic>
        </xdr:graphicFrame>
      </mc:Choice>
      <mc:Fallback xmlns="">
        <xdr:sp macro="" textlink="">
          <xdr:nvSpPr>
            <xdr:cNvPr id="0" name=""/>
            <xdr:cNvSpPr>
              <a:spLocks noTextEdit="1"/>
            </xdr:cNvSpPr>
          </xdr:nvSpPr>
          <xdr:spPr>
            <a:xfrm>
              <a:off x="38100" y="2468880"/>
              <a:ext cx="164592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281940</xdr:colOff>
      <xdr:row>3</xdr:row>
      <xdr:rowOff>45720</xdr:rowOff>
    </xdr:from>
    <xdr:to>
      <xdr:col>15</xdr:col>
      <xdr:colOff>289560</xdr:colOff>
      <xdr:row>6</xdr:row>
      <xdr:rowOff>106680</xdr:rowOff>
    </xdr:to>
    <xdr:grpSp>
      <xdr:nvGrpSpPr>
        <xdr:cNvPr id="31" name="Group 30">
          <a:extLst>
            <a:ext uri="{FF2B5EF4-FFF2-40B4-BE49-F238E27FC236}">
              <a16:creationId xmlns:a16="http://schemas.microsoft.com/office/drawing/2014/main" id="{AF52B4ED-2C56-467C-9D6C-328CEF44E226}"/>
            </a:ext>
          </a:extLst>
        </xdr:cNvPr>
        <xdr:cNvGrpSpPr/>
      </xdr:nvGrpSpPr>
      <xdr:grpSpPr>
        <a:xfrm>
          <a:off x="6987540" y="594360"/>
          <a:ext cx="2446020" cy="609600"/>
          <a:chOff x="129540" y="769620"/>
          <a:chExt cx="2316480" cy="1033382"/>
        </a:xfrm>
        <a:solidFill>
          <a:srgbClr val="001B50"/>
        </a:solidFill>
      </xdr:grpSpPr>
      <xdr:sp macro="" textlink="Sales_Analysis!O10">
        <xdr:nvSpPr>
          <xdr:cNvPr id="37" name="Rectangle 36">
            <a:extLst>
              <a:ext uri="{FF2B5EF4-FFF2-40B4-BE49-F238E27FC236}">
                <a16:creationId xmlns:a16="http://schemas.microsoft.com/office/drawing/2014/main" id="{A8EA14DE-DBFB-652D-07F9-A67E722952AD}"/>
              </a:ext>
            </a:extLst>
          </xdr:cNvPr>
          <xdr:cNvSpPr/>
        </xdr:nvSpPr>
        <xdr:spPr>
          <a:xfrm>
            <a:off x="129540" y="781922"/>
            <a:ext cx="2316480" cy="1021080"/>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C419684-C6E6-4E71-A6A6-45194130ECC9}"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89.25%</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41" name="Rectangle: Rounded Corners 40">
            <a:extLst>
              <a:ext uri="{FF2B5EF4-FFF2-40B4-BE49-F238E27FC236}">
                <a16:creationId xmlns:a16="http://schemas.microsoft.com/office/drawing/2014/main" id="{747C05EE-4198-4FF3-4D1C-D6CA9BE9C4A3}"/>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Conversion</a:t>
            </a:r>
            <a:r>
              <a:rPr lang="en-IN" sz="1400" b="1" baseline="0">
                <a:solidFill>
                  <a:schemeClr val="bg1"/>
                </a:solidFill>
                <a:latin typeface="Times New Roman" panose="02020603050405020304" pitchFamily="18" charset="0"/>
                <a:cs typeface="Times New Roman" panose="02020603050405020304" pitchFamily="18" charset="0"/>
              </a:rPr>
              <a:t> Rate</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2</xdr:col>
      <xdr:colOff>487680</xdr:colOff>
      <xdr:row>23</xdr:row>
      <xdr:rowOff>38100</xdr:rowOff>
    </xdr:from>
    <xdr:to>
      <xdr:col>9</xdr:col>
      <xdr:colOff>228600</xdr:colOff>
      <xdr:row>39</xdr:row>
      <xdr:rowOff>121920</xdr:rowOff>
    </xdr:to>
    <xdr:graphicFrame macro="">
      <xdr:nvGraphicFramePr>
        <xdr:cNvPr id="42" name="Chart 41">
          <a:extLst>
            <a:ext uri="{FF2B5EF4-FFF2-40B4-BE49-F238E27FC236}">
              <a16:creationId xmlns:a16="http://schemas.microsoft.com/office/drawing/2014/main" id="{41F20C3B-6BDD-4A6E-B5DF-43ECFF907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266034</xdr:colOff>
      <xdr:row>6</xdr:row>
      <xdr:rowOff>137160</xdr:rowOff>
    </xdr:from>
    <xdr:to>
      <xdr:col>13</xdr:col>
      <xdr:colOff>525780</xdr:colOff>
      <xdr:row>23</xdr:row>
      <xdr:rowOff>15240</xdr:rowOff>
    </xdr:to>
    <xdr:graphicFrame macro="">
      <xdr:nvGraphicFramePr>
        <xdr:cNvPr id="18" name="Chart 17">
          <a:extLst>
            <a:ext uri="{FF2B5EF4-FFF2-40B4-BE49-F238E27FC236}">
              <a16:creationId xmlns:a16="http://schemas.microsoft.com/office/drawing/2014/main" id="{764AD8F5-6B48-4E77-9984-967B3B90E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548640</xdr:colOff>
      <xdr:row>6</xdr:row>
      <xdr:rowOff>137160</xdr:rowOff>
    </xdr:from>
    <xdr:to>
      <xdr:col>18</xdr:col>
      <xdr:colOff>182880</xdr:colOff>
      <xdr:row>23</xdr:row>
      <xdr:rowOff>7620</xdr:rowOff>
    </xdr:to>
    <xdr:graphicFrame macro="">
      <xdr:nvGraphicFramePr>
        <xdr:cNvPr id="19" name="Chart 18">
          <a:extLst>
            <a:ext uri="{FF2B5EF4-FFF2-40B4-BE49-F238E27FC236}">
              <a16:creationId xmlns:a16="http://schemas.microsoft.com/office/drawing/2014/main" id="{1270D672-2391-4CDE-8239-10434E249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487680</xdr:colOff>
      <xdr:row>23</xdr:row>
      <xdr:rowOff>38100</xdr:rowOff>
    </xdr:from>
    <xdr:to>
      <xdr:col>23</xdr:col>
      <xdr:colOff>419100</xdr:colOff>
      <xdr:row>39</xdr:row>
      <xdr:rowOff>106680</xdr:rowOff>
    </xdr:to>
    <xdr:graphicFrame macro="">
      <xdr:nvGraphicFramePr>
        <xdr:cNvPr id="20" name="Chart 19">
          <a:extLst>
            <a:ext uri="{FF2B5EF4-FFF2-40B4-BE49-F238E27FC236}">
              <a16:creationId xmlns:a16="http://schemas.microsoft.com/office/drawing/2014/main" id="{963592FE-BD89-4867-990D-B6B345AFC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3</xdr:row>
      <xdr:rowOff>52264</xdr:rowOff>
    </xdr:from>
    <xdr:to>
      <xdr:col>3</xdr:col>
      <xdr:colOff>403860</xdr:colOff>
      <xdr:row>6</xdr:row>
      <xdr:rowOff>106680</xdr:rowOff>
    </xdr:to>
    <xdr:grpSp>
      <xdr:nvGrpSpPr>
        <xdr:cNvPr id="9" name="Group 8">
          <a:extLst>
            <a:ext uri="{FF2B5EF4-FFF2-40B4-BE49-F238E27FC236}">
              <a16:creationId xmlns:a16="http://schemas.microsoft.com/office/drawing/2014/main" id="{D64D2DCB-BE66-47C5-81F0-55D984525902}"/>
            </a:ext>
          </a:extLst>
        </xdr:cNvPr>
        <xdr:cNvGrpSpPr/>
      </xdr:nvGrpSpPr>
      <xdr:grpSpPr>
        <a:xfrm>
          <a:off x="0" y="600904"/>
          <a:ext cx="2232660" cy="603056"/>
          <a:chOff x="129540" y="793645"/>
          <a:chExt cx="2277613" cy="1022905"/>
        </a:xfrm>
        <a:solidFill>
          <a:srgbClr val="001B50"/>
        </a:solidFill>
      </xdr:grpSpPr>
      <xdr:sp macro="" textlink="Clean_Sales_Transactions!BI3">
        <xdr:nvSpPr>
          <xdr:cNvPr id="10" name="Rectangle: Rounded Corners 9">
            <a:extLst>
              <a:ext uri="{FF2B5EF4-FFF2-40B4-BE49-F238E27FC236}">
                <a16:creationId xmlns:a16="http://schemas.microsoft.com/office/drawing/2014/main" id="{5E2A2FD6-3650-D2EE-1862-7A067FC3A3BD}"/>
              </a:ext>
            </a:extLst>
          </xdr:cNvPr>
          <xdr:cNvSpPr/>
        </xdr:nvSpPr>
        <xdr:spPr>
          <a:xfrm>
            <a:off x="129540" y="795470"/>
            <a:ext cx="2277613" cy="1021080"/>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8AEC16B-4389-4288-B8F6-933C714562C2}"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1000</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1" name="Rectangle: Rounded Corners 10">
            <a:extLst>
              <a:ext uri="{FF2B5EF4-FFF2-40B4-BE49-F238E27FC236}">
                <a16:creationId xmlns:a16="http://schemas.microsoft.com/office/drawing/2014/main" id="{66E029BC-AD94-5101-DF62-6009A63EC09B}"/>
              </a:ext>
            </a:extLst>
          </xdr:cNvPr>
          <xdr:cNvSpPr/>
        </xdr:nvSpPr>
        <xdr:spPr>
          <a:xfrm>
            <a:off x="238368" y="793645"/>
            <a:ext cx="2036635" cy="548640"/>
          </a:xfrm>
          <a:prstGeom prst="roundRect">
            <a:avLst/>
          </a:prstGeom>
          <a:grp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Total </a:t>
            </a:r>
            <a:r>
              <a:rPr lang="en-IN" sz="1400" b="1" baseline="0">
                <a:latin typeface="Times New Roman" panose="02020603050405020304" pitchFamily="18" charset="0"/>
                <a:cs typeface="Times New Roman" panose="02020603050405020304" pitchFamily="18" charset="0"/>
              </a:rPr>
              <a:t> Transactions</a:t>
            </a:r>
            <a:endParaRPr lang="en-IN" sz="1400" b="1">
              <a:latin typeface="Times New Roman" panose="02020603050405020304" pitchFamily="18" charset="0"/>
              <a:cs typeface="Times New Roman" panose="02020603050405020304" pitchFamily="18" charset="0"/>
            </a:endParaRPr>
          </a:p>
        </xdr:txBody>
      </xdr:sp>
    </xdr:grpSp>
    <xdr:clientData/>
  </xdr:twoCellAnchor>
  <xdr:twoCellAnchor>
    <xdr:from>
      <xdr:col>2</xdr:col>
      <xdr:colOff>495300</xdr:colOff>
      <xdr:row>6</xdr:row>
      <xdr:rowOff>137160</xdr:rowOff>
    </xdr:from>
    <xdr:to>
      <xdr:col>8</xdr:col>
      <xdr:colOff>236220</xdr:colOff>
      <xdr:row>23</xdr:row>
      <xdr:rowOff>7620</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5E110294-5B05-4E7F-9B81-026EFB9B76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714500" y="1234440"/>
              <a:ext cx="3398520" cy="2979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38100</xdr:colOff>
      <xdr:row>6</xdr:row>
      <xdr:rowOff>137159</xdr:rowOff>
    </xdr:from>
    <xdr:to>
      <xdr:col>2</xdr:col>
      <xdr:colOff>464820</xdr:colOff>
      <xdr:row>13</xdr:row>
      <xdr:rowOff>76200</xdr:rowOff>
    </xdr:to>
    <mc:AlternateContent xmlns:mc="http://schemas.openxmlformats.org/markup-compatibility/2006" xmlns:a14="http://schemas.microsoft.com/office/drawing/2010/main">
      <mc:Choice Requires="a14">
        <xdr:graphicFrame macro="">
          <xdr:nvGraphicFramePr>
            <xdr:cNvPr id="39" name="Region 4">
              <a:extLst>
                <a:ext uri="{FF2B5EF4-FFF2-40B4-BE49-F238E27FC236}">
                  <a16:creationId xmlns:a16="http://schemas.microsoft.com/office/drawing/2014/main" id="{9A1A0D65-5B9B-4F1F-8EC2-3ADB412BE3C7}"/>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8100" y="1234439"/>
              <a:ext cx="1645920" cy="1219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335280</xdr:colOff>
      <xdr:row>3</xdr:row>
      <xdr:rowOff>45720</xdr:rowOff>
    </xdr:from>
    <xdr:to>
      <xdr:col>19</xdr:col>
      <xdr:colOff>335280</xdr:colOff>
      <xdr:row>6</xdr:row>
      <xdr:rowOff>106680</xdr:rowOff>
    </xdr:to>
    <xdr:grpSp>
      <xdr:nvGrpSpPr>
        <xdr:cNvPr id="29" name="Group 28">
          <a:extLst>
            <a:ext uri="{FF2B5EF4-FFF2-40B4-BE49-F238E27FC236}">
              <a16:creationId xmlns:a16="http://schemas.microsoft.com/office/drawing/2014/main" id="{26DF44D2-0224-4819-A2AA-650D26E16508}"/>
            </a:ext>
          </a:extLst>
        </xdr:cNvPr>
        <xdr:cNvGrpSpPr/>
      </xdr:nvGrpSpPr>
      <xdr:grpSpPr>
        <a:xfrm>
          <a:off x="9479280" y="594360"/>
          <a:ext cx="2438400" cy="609600"/>
          <a:chOff x="129540" y="769620"/>
          <a:chExt cx="2316480" cy="1033382"/>
        </a:xfrm>
        <a:solidFill>
          <a:srgbClr val="001B50"/>
        </a:solidFill>
      </xdr:grpSpPr>
      <xdr:sp macro="" textlink="Clean_Sales_Transactions!BI12">
        <xdr:nvSpPr>
          <xdr:cNvPr id="30" name="Rectangle 29">
            <a:extLst>
              <a:ext uri="{FF2B5EF4-FFF2-40B4-BE49-F238E27FC236}">
                <a16:creationId xmlns:a16="http://schemas.microsoft.com/office/drawing/2014/main" id="{3F92AB91-E566-902C-574C-D2F7CE540155}"/>
              </a:ext>
            </a:extLst>
          </xdr:cNvPr>
          <xdr:cNvSpPr/>
        </xdr:nvSpPr>
        <xdr:spPr>
          <a:xfrm>
            <a:off x="129540" y="781922"/>
            <a:ext cx="2316480" cy="1021080"/>
          </a:xfrm>
          <a:prstGeom prst="roundRect">
            <a:avLst/>
          </a:prstGeom>
          <a:solidFill>
            <a:srgbClr val="001B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0A5BA25-A134-43C2-B60F-B889BEDE2317}"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$14.6M</a:t>
            </a:fld>
            <a:endParaRPr lang="en-IN" sz="1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sp macro="" textlink="">
        <xdr:nvSpPr>
          <xdr:cNvPr id="32" name="Rectangle: Rounded Corners 31">
            <a:extLst>
              <a:ext uri="{FF2B5EF4-FFF2-40B4-BE49-F238E27FC236}">
                <a16:creationId xmlns:a16="http://schemas.microsoft.com/office/drawing/2014/main" id="{A9D7FFDE-51ED-57B5-EBCE-C7E7A7608A3D}"/>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Avg</a:t>
            </a:r>
            <a:r>
              <a:rPr lang="en-IN" sz="1400" b="1" baseline="0">
                <a:solidFill>
                  <a:schemeClr val="bg1"/>
                </a:solidFill>
                <a:latin typeface="Times New Roman" panose="02020603050405020304" pitchFamily="18" charset="0"/>
                <a:cs typeface="Times New Roman" panose="02020603050405020304" pitchFamily="18" charset="0"/>
              </a:rPr>
              <a:t> Contract Value</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38100</xdr:colOff>
      <xdr:row>26</xdr:row>
      <xdr:rowOff>175260</xdr:rowOff>
    </xdr:from>
    <xdr:to>
      <xdr:col>2</xdr:col>
      <xdr:colOff>464820</xdr:colOff>
      <xdr:row>39</xdr:row>
      <xdr:rowOff>68581</xdr:rowOff>
    </xdr:to>
    <mc:AlternateContent xmlns:mc="http://schemas.openxmlformats.org/markup-compatibility/2006" xmlns:a14="http://schemas.microsoft.com/office/drawing/2010/main">
      <mc:Choice Requires="a14">
        <xdr:graphicFrame macro="">
          <xdr:nvGraphicFramePr>
            <xdr:cNvPr id="7" name="SalesStage 1">
              <a:extLst>
                <a:ext uri="{FF2B5EF4-FFF2-40B4-BE49-F238E27FC236}">
                  <a16:creationId xmlns:a16="http://schemas.microsoft.com/office/drawing/2014/main" id="{9B6D6B93-AFD1-4A1A-BC78-07EF40A2EBE4}"/>
                </a:ext>
              </a:extLst>
            </xdr:cNvPr>
            <xdr:cNvGraphicFramePr/>
          </xdr:nvGraphicFramePr>
          <xdr:xfrm>
            <a:off x="0" y="0"/>
            <a:ext cx="0" cy="0"/>
          </xdr:xfrm>
          <a:graphic>
            <a:graphicData uri="http://schemas.microsoft.com/office/drawing/2010/slicer">
              <sle:slicer xmlns:sle="http://schemas.microsoft.com/office/drawing/2010/slicer" name="SalesStage 1"/>
            </a:graphicData>
          </a:graphic>
        </xdr:graphicFrame>
      </mc:Choice>
      <mc:Fallback xmlns="">
        <xdr:sp macro="" textlink="">
          <xdr:nvSpPr>
            <xdr:cNvPr id="0" name=""/>
            <xdr:cNvSpPr>
              <a:spLocks noTextEdit="1"/>
            </xdr:cNvSpPr>
          </xdr:nvSpPr>
          <xdr:spPr>
            <a:xfrm>
              <a:off x="38100" y="5212081"/>
              <a:ext cx="164592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205740</xdr:colOff>
      <xdr:row>6</xdr:row>
      <xdr:rowOff>137160</xdr:rowOff>
    </xdr:from>
    <xdr:to>
      <xdr:col>23</xdr:col>
      <xdr:colOff>396240</xdr:colOff>
      <xdr:row>23</xdr:row>
      <xdr:rowOff>7620</xdr:rowOff>
    </xdr:to>
    <xdr:graphicFrame macro="">
      <xdr:nvGraphicFramePr>
        <xdr:cNvPr id="24" name="Chart 23">
          <a:extLst>
            <a:ext uri="{FF2B5EF4-FFF2-40B4-BE49-F238E27FC236}">
              <a16:creationId xmlns:a16="http://schemas.microsoft.com/office/drawing/2014/main" id="{787C8719-D613-4F27-93A1-44A9C2AFC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8</xdr:col>
      <xdr:colOff>358140</xdr:colOff>
      <xdr:row>6</xdr:row>
      <xdr:rowOff>38100</xdr:rowOff>
    </xdr:from>
    <xdr:ext cx="184731" cy="264560"/>
    <xdr:sp macro="" textlink="">
      <xdr:nvSpPr>
        <xdr:cNvPr id="25" name="TextBox 24">
          <a:extLst>
            <a:ext uri="{FF2B5EF4-FFF2-40B4-BE49-F238E27FC236}">
              <a16:creationId xmlns:a16="http://schemas.microsoft.com/office/drawing/2014/main" id="{A95998FF-DA7F-7FF3-A628-2D9B2A16161F}"/>
            </a:ext>
          </a:extLst>
        </xdr:cNvPr>
        <xdr:cNvSpPr txBox="1"/>
      </xdr:nvSpPr>
      <xdr:spPr>
        <a:xfrm>
          <a:off x="5234940" y="1135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541020</xdr:colOff>
      <xdr:row>3</xdr:row>
      <xdr:rowOff>68580</xdr:rowOff>
    </xdr:from>
    <xdr:to>
      <xdr:col>7</xdr:col>
      <xdr:colOff>304800</xdr:colOff>
      <xdr:row>5</xdr:row>
      <xdr:rowOff>7620</xdr:rowOff>
    </xdr:to>
    <xdr:sp macro="" textlink="">
      <xdr:nvSpPr>
        <xdr:cNvPr id="26" name="TextBox 25">
          <a:extLst>
            <a:ext uri="{FF2B5EF4-FFF2-40B4-BE49-F238E27FC236}">
              <a16:creationId xmlns:a16="http://schemas.microsoft.com/office/drawing/2014/main" id="{92E09AF6-2F9E-CF39-2E87-12F70458CE92}"/>
            </a:ext>
          </a:extLst>
        </xdr:cNvPr>
        <xdr:cNvSpPr txBox="1"/>
      </xdr:nvSpPr>
      <xdr:spPr>
        <a:xfrm>
          <a:off x="2369820" y="617220"/>
          <a:ext cx="2202180" cy="304800"/>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Times New Roman" panose="02020603050405020304" pitchFamily="18" charset="0"/>
              <a:ea typeface="+mn-ea"/>
              <a:cs typeface="Times New Roman" panose="02020603050405020304" pitchFamily="18" charset="0"/>
            </a:rPr>
            <a:t>Outstanding</a:t>
          </a:r>
          <a:r>
            <a:rPr lang="en-IN" sz="1400" b="1" baseline="0">
              <a:solidFill>
                <a:schemeClr val="bg1"/>
              </a:solidFill>
              <a:effectLst/>
              <a:latin typeface="Times New Roman" panose="02020603050405020304" pitchFamily="18" charset="0"/>
              <a:ea typeface="+mn-ea"/>
              <a:cs typeface="Times New Roman" panose="02020603050405020304" pitchFamily="18" charset="0"/>
            </a:rPr>
            <a:t> Amount</a:t>
          </a:r>
          <a:endParaRPr lang="en-IN" sz="1400" b="1">
            <a:solidFill>
              <a:schemeClr val="bg1"/>
            </a:solidFill>
            <a:effectLst/>
            <a:latin typeface="Times New Roman" panose="02020603050405020304" pitchFamily="18" charset="0"/>
            <a:cs typeface="Times New Roman" panose="02020603050405020304" pitchFamily="18" charset="0"/>
          </a:endParaRPr>
        </a:p>
        <a:p>
          <a:endParaRPr lang="en-IN"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83820</xdr:rowOff>
    </xdr:from>
    <xdr:to>
      <xdr:col>2</xdr:col>
      <xdr:colOff>502920</xdr:colOff>
      <xdr:row>38</xdr:row>
      <xdr:rowOff>160020</xdr:rowOff>
    </xdr:to>
    <xdr:pic>
      <xdr:nvPicPr>
        <xdr:cNvPr id="27" name="Picture 26">
          <a:extLst>
            <a:ext uri="{FF2B5EF4-FFF2-40B4-BE49-F238E27FC236}">
              <a16:creationId xmlns:a16="http://schemas.microsoft.com/office/drawing/2014/main" id="{EE282C50-E5B4-4821-B40F-BD4BA6AEDB27}"/>
            </a:ext>
          </a:extLst>
        </xdr:cNvPr>
        <xdr:cNvPicPr>
          <a:picLocks noChangeAspect="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0" y="632460"/>
          <a:ext cx="1722120" cy="6477000"/>
        </a:xfrm>
        <a:prstGeom prst="rect">
          <a:avLst/>
        </a:prstGeom>
      </xdr:spPr>
    </xdr:pic>
    <xdr:clientData/>
  </xdr:twoCellAnchor>
  <xdr:twoCellAnchor>
    <xdr:from>
      <xdr:col>2</xdr:col>
      <xdr:colOff>464820</xdr:colOff>
      <xdr:row>6</xdr:row>
      <xdr:rowOff>60960</xdr:rowOff>
    </xdr:from>
    <xdr:to>
      <xdr:col>7</xdr:col>
      <xdr:colOff>441960</xdr:colOff>
      <xdr:row>22</xdr:row>
      <xdr:rowOff>7620</xdr:rowOff>
    </xdr:to>
    <xdr:graphicFrame macro="">
      <xdr:nvGraphicFramePr>
        <xdr:cNvPr id="3" name="Chart 2">
          <a:extLst>
            <a:ext uri="{FF2B5EF4-FFF2-40B4-BE49-F238E27FC236}">
              <a16:creationId xmlns:a16="http://schemas.microsoft.com/office/drawing/2014/main" id="{01F27CA8-D30A-4662-8B9E-234564578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3</xdr:row>
      <xdr:rowOff>53340</xdr:rowOff>
    </xdr:from>
    <xdr:to>
      <xdr:col>6</xdr:col>
      <xdr:colOff>381000</xdr:colOff>
      <xdr:row>6</xdr:row>
      <xdr:rowOff>38100</xdr:rowOff>
    </xdr:to>
    <xdr:grpSp>
      <xdr:nvGrpSpPr>
        <xdr:cNvPr id="4" name="Group 3">
          <a:extLst>
            <a:ext uri="{FF2B5EF4-FFF2-40B4-BE49-F238E27FC236}">
              <a16:creationId xmlns:a16="http://schemas.microsoft.com/office/drawing/2014/main" id="{58DE2129-A359-4731-84AA-68BF48E32174}"/>
            </a:ext>
          </a:extLst>
        </xdr:cNvPr>
        <xdr:cNvGrpSpPr/>
      </xdr:nvGrpSpPr>
      <xdr:grpSpPr>
        <a:xfrm>
          <a:off x="2247900" y="601980"/>
          <a:ext cx="1790700" cy="533400"/>
          <a:chOff x="129540" y="769620"/>
          <a:chExt cx="2316480" cy="1033382"/>
        </a:xfrm>
        <a:solidFill>
          <a:srgbClr val="001B50"/>
        </a:solidFill>
      </xdr:grpSpPr>
      <xdr:sp macro="" textlink="Clean_Project_Master!Y4">
        <xdr:nvSpPr>
          <xdr:cNvPr id="5" name="Rectangle 4">
            <a:extLst>
              <a:ext uri="{FF2B5EF4-FFF2-40B4-BE49-F238E27FC236}">
                <a16:creationId xmlns:a16="http://schemas.microsoft.com/office/drawing/2014/main" id="{2CCD28D4-EA35-C047-AC71-C01DD60391FE}"/>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4308EDA-A738-4AB3-B0A2-33C7756191C7}"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51</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6" name="Rectangle: Rounded Corners 5">
            <a:extLst>
              <a:ext uri="{FF2B5EF4-FFF2-40B4-BE49-F238E27FC236}">
                <a16:creationId xmlns:a16="http://schemas.microsoft.com/office/drawing/2014/main" id="{E3FAC2B1-BDCE-400D-5A52-09D7B594579A}"/>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Total Projects</a:t>
            </a:r>
          </a:p>
        </xdr:txBody>
      </xdr:sp>
    </xdr:grpSp>
    <xdr:clientData/>
  </xdr:twoCellAnchor>
  <xdr:twoCellAnchor>
    <xdr:from>
      <xdr:col>9</xdr:col>
      <xdr:colOff>518160</xdr:colOff>
      <xdr:row>3</xdr:row>
      <xdr:rowOff>53340</xdr:rowOff>
    </xdr:from>
    <xdr:to>
      <xdr:col>13</xdr:col>
      <xdr:colOff>15240</xdr:colOff>
      <xdr:row>6</xdr:row>
      <xdr:rowOff>38100</xdr:rowOff>
    </xdr:to>
    <xdr:grpSp>
      <xdr:nvGrpSpPr>
        <xdr:cNvPr id="16" name="Group 15">
          <a:extLst>
            <a:ext uri="{FF2B5EF4-FFF2-40B4-BE49-F238E27FC236}">
              <a16:creationId xmlns:a16="http://schemas.microsoft.com/office/drawing/2014/main" id="{C2BF1E8B-C755-4409-93EC-2D099C19C1F2}"/>
            </a:ext>
          </a:extLst>
        </xdr:cNvPr>
        <xdr:cNvGrpSpPr/>
      </xdr:nvGrpSpPr>
      <xdr:grpSpPr>
        <a:xfrm>
          <a:off x="6004560" y="601980"/>
          <a:ext cx="1935480" cy="533400"/>
          <a:chOff x="129540" y="769620"/>
          <a:chExt cx="2372524" cy="1033382"/>
        </a:xfrm>
        <a:solidFill>
          <a:srgbClr val="001B50"/>
        </a:solidFill>
      </xdr:grpSpPr>
      <xdr:sp macro="" textlink="Clean_Project_Master!Y15">
        <xdr:nvSpPr>
          <xdr:cNvPr id="17" name="Rectangle 16">
            <a:extLst>
              <a:ext uri="{FF2B5EF4-FFF2-40B4-BE49-F238E27FC236}">
                <a16:creationId xmlns:a16="http://schemas.microsoft.com/office/drawing/2014/main" id="{8E9536A6-DF48-90B8-9901-E01DD56CF3F2}"/>
              </a:ext>
            </a:extLst>
          </xdr:cNvPr>
          <xdr:cNvSpPr/>
        </xdr:nvSpPr>
        <xdr:spPr>
          <a:xfrm>
            <a:off x="185584"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365B0AA-6CDF-4360-A170-4B5AF11AF934}"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16</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8" name="Rectangle: Rounded Corners 17">
            <a:extLst>
              <a:ext uri="{FF2B5EF4-FFF2-40B4-BE49-F238E27FC236}">
                <a16:creationId xmlns:a16="http://schemas.microsoft.com/office/drawing/2014/main" id="{A0CD2C9C-6966-D69B-0186-9D18998313BA}"/>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High</a:t>
            </a:r>
            <a:r>
              <a:rPr lang="en-IN" sz="1400" b="1" baseline="0">
                <a:solidFill>
                  <a:schemeClr val="bg1"/>
                </a:solidFill>
                <a:latin typeface="Times New Roman" panose="02020603050405020304" pitchFamily="18" charset="0"/>
                <a:cs typeface="Times New Roman" panose="02020603050405020304" pitchFamily="18" charset="0"/>
              </a:rPr>
              <a:t> Risk Project</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6</xdr:col>
      <xdr:colOff>449580</xdr:colOff>
      <xdr:row>3</xdr:row>
      <xdr:rowOff>53340</xdr:rowOff>
    </xdr:from>
    <xdr:to>
      <xdr:col>9</xdr:col>
      <xdr:colOff>472440</xdr:colOff>
      <xdr:row>6</xdr:row>
      <xdr:rowOff>38100</xdr:rowOff>
    </xdr:to>
    <xdr:grpSp>
      <xdr:nvGrpSpPr>
        <xdr:cNvPr id="22" name="Group 21">
          <a:extLst>
            <a:ext uri="{FF2B5EF4-FFF2-40B4-BE49-F238E27FC236}">
              <a16:creationId xmlns:a16="http://schemas.microsoft.com/office/drawing/2014/main" id="{8EECDD0D-6353-442A-A7BC-FC09ABA1FE93}"/>
            </a:ext>
          </a:extLst>
        </xdr:cNvPr>
        <xdr:cNvGrpSpPr/>
      </xdr:nvGrpSpPr>
      <xdr:grpSpPr>
        <a:xfrm>
          <a:off x="4107180" y="601980"/>
          <a:ext cx="1851660" cy="533400"/>
          <a:chOff x="129540" y="769620"/>
          <a:chExt cx="2316480" cy="1033382"/>
        </a:xfrm>
        <a:solidFill>
          <a:srgbClr val="001B50"/>
        </a:solidFill>
      </xdr:grpSpPr>
      <xdr:sp macro="" textlink="Clean_Project_Master!Y17">
        <xdr:nvSpPr>
          <xdr:cNvPr id="23" name="Rectangle 22">
            <a:extLst>
              <a:ext uri="{FF2B5EF4-FFF2-40B4-BE49-F238E27FC236}">
                <a16:creationId xmlns:a16="http://schemas.microsoft.com/office/drawing/2014/main" id="{29BCD3C8-B466-6C93-315A-34BA9331966E}"/>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BA54E59-563C-4721-8211-77262528DC5A}"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19</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24" name="Rectangle: Rounded Corners 23">
            <a:extLst>
              <a:ext uri="{FF2B5EF4-FFF2-40B4-BE49-F238E27FC236}">
                <a16:creationId xmlns:a16="http://schemas.microsoft.com/office/drawing/2014/main" id="{4C815483-99C6-281E-26BB-AF611FF97025}"/>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Over</a:t>
            </a:r>
            <a:r>
              <a:rPr lang="en-IN" sz="1400" b="1" baseline="0">
                <a:solidFill>
                  <a:schemeClr val="bg1"/>
                </a:solidFill>
                <a:latin typeface="Times New Roman" panose="02020603050405020304" pitchFamily="18" charset="0"/>
                <a:cs typeface="Times New Roman" panose="02020603050405020304" pitchFamily="18" charset="0"/>
              </a:rPr>
              <a:t> Budget</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2</xdr:col>
      <xdr:colOff>472440</xdr:colOff>
      <xdr:row>22</xdr:row>
      <xdr:rowOff>38100</xdr:rowOff>
    </xdr:from>
    <xdr:to>
      <xdr:col>9</xdr:col>
      <xdr:colOff>129540</xdr:colOff>
      <xdr:row>39</xdr:row>
      <xdr:rowOff>167640</xdr:rowOff>
    </xdr:to>
    <xdr:graphicFrame macro="">
      <xdr:nvGraphicFramePr>
        <xdr:cNvPr id="26" name="Chart 25">
          <a:extLst>
            <a:ext uri="{FF2B5EF4-FFF2-40B4-BE49-F238E27FC236}">
              <a16:creationId xmlns:a16="http://schemas.microsoft.com/office/drawing/2014/main" id="{8EEC38AF-61BC-434E-9DD2-BFB934257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0</xdr:row>
      <xdr:rowOff>0</xdr:rowOff>
    </xdr:from>
    <xdr:to>
      <xdr:col>23</xdr:col>
      <xdr:colOff>403860</xdr:colOff>
      <xdr:row>3</xdr:row>
      <xdr:rowOff>15240</xdr:rowOff>
    </xdr:to>
    <xdr:sp macro="" textlink="">
      <xdr:nvSpPr>
        <xdr:cNvPr id="31" name="Rectangle: Rounded Corners 30">
          <a:extLst>
            <a:ext uri="{FF2B5EF4-FFF2-40B4-BE49-F238E27FC236}">
              <a16:creationId xmlns:a16="http://schemas.microsoft.com/office/drawing/2014/main" id="{9014711A-C741-4079-9FB9-8389B16316AC}"/>
            </a:ext>
          </a:extLst>
        </xdr:cNvPr>
        <xdr:cNvSpPr/>
      </xdr:nvSpPr>
      <xdr:spPr>
        <a:xfrm>
          <a:off x="7620" y="0"/>
          <a:ext cx="14417040" cy="563880"/>
        </a:xfrm>
        <a:prstGeom prst="roundRect">
          <a:avLst/>
        </a:prstGeom>
        <a:solidFill>
          <a:srgbClr val="001B50"/>
        </a:solidFill>
        <a:ln>
          <a:solidFill>
            <a:schemeClr val="bg1">
              <a:lumMod val="95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baseline="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Project &amp; Cost Analysis Dashboard</a:t>
          </a:r>
          <a:endPar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15240</xdr:colOff>
      <xdr:row>0</xdr:row>
      <xdr:rowOff>0</xdr:rowOff>
    </xdr:from>
    <xdr:to>
      <xdr:col>1</xdr:col>
      <xdr:colOff>144780</xdr:colOff>
      <xdr:row>3</xdr:row>
      <xdr:rowOff>60960</xdr:rowOff>
    </xdr:to>
    <xdr:pic>
      <xdr:nvPicPr>
        <xdr:cNvPr id="29" name="Graphic 28" descr="Chevron arrows with solid fill">
          <a:hlinkClick xmlns:r="http://schemas.openxmlformats.org/officeDocument/2006/relationships" r:id="rId4"/>
          <a:extLst>
            <a:ext uri="{FF2B5EF4-FFF2-40B4-BE49-F238E27FC236}">
              <a16:creationId xmlns:a16="http://schemas.microsoft.com/office/drawing/2014/main" id="{1A73A9B3-7C03-49B8-AB22-569DA6C8C5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240" y="0"/>
          <a:ext cx="739140" cy="609600"/>
        </a:xfrm>
        <a:prstGeom prst="rect">
          <a:avLst/>
        </a:prstGeom>
      </xdr:spPr>
    </xdr:pic>
    <xdr:clientData/>
  </xdr:twoCellAnchor>
  <xdr:twoCellAnchor editAs="oneCell">
    <xdr:from>
      <xdr:col>22</xdr:col>
      <xdr:colOff>190500</xdr:colOff>
      <xdr:row>0</xdr:row>
      <xdr:rowOff>0</xdr:rowOff>
    </xdr:from>
    <xdr:to>
      <xdr:col>23</xdr:col>
      <xdr:colOff>381000</xdr:colOff>
      <xdr:row>3</xdr:row>
      <xdr:rowOff>38100</xdr:rowOff>
    </xdr:to>
    <xdr:pic>
      <xdr:nvPicPr>
        <xdr:cNvPr id="30" name="Graphic 29" descr="Chevron arrows with solid fill">
          <a:hlinkClick xmlns:r="http://schemas.openxmlformats.org/officeDocument/2006/relationships" r:id="rId7"/>
          <a:extLst>
            <a:ext uri="{FF2B5EF4-FFF2-40B4-BE49-F238E27FC236}">
              <a16:creationId xmlns:a16="http://schemas.microsoft.com/office/drawing/2014/main" id="{9C3930C8-FD00-40CF-9C80-517297C2D7F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601700" y="0"/>
          <a:ext cx="800100" cy="586740"/>
        </a:xfrm>
        <a:prstGeom prst="rect">
          <a:avLst/>
        </a:prstGeom>
      </xdr:spPr>
    </xdr:pic>
    <xdr:clientData/>
  </xdr:twoCellAnchor>
  <xdr:twoCellAnchor editAs="oneCell">
    <xdr:from>
      <xdr:col>0</xdr:col>
      <xdr:colOff>0</xdr:colOff>
      <xdr:row>6</xdr:row>
      <xdr:rowOff>60960</xdr:rowOff>
    </xdr:from>
    <xdr:to>
      <xdr:col>2</xdr:col>
      <xdr:colOff>449580</xdr:colOff>
      <xdr:row>12</xdr:row>
      <xdr:rowOff>144780</xdr:rowOff>
    </xdr:to>
    <mc:AlternateContent xmlns:mc="http://schemas.openxmlformats.org/markup-compatibility/2006" xmlns:a14="http://schemas.microsoft.com/office/drawing/2010/main">
      <mc:Choice Requires="a14">
        <xdr:graphicFrame macro="">
          <xdr:nvGraphicFramePr>
            <xdr:cNvPr id="32" name="ProjectStatus">
              <a:extLst>
                <a:ext uri="{FF2B5EF4-FFF2-40B4-BE49-F238E27FC236}">
                  <a16:creationId xmlns:a16="http://schemas.microsoft.com/office/drawing/2014/main" id="{13D3186E-0EE0-4D99-871D-84A42866CFC7}"/>
                </a:ext>
              </a:extLst>
            </xdr:cNvPr>
            <xdr:cNvGraphicFramePr/>
          </xdr:nvGraphicFramePr>
          <xdr:xfrm>
            <a:off x="0" y="0"/>
            <a:ext cx="0" cy="0"/>
          </xdr:xfrm>
          <a:graphic>
            <a:graphicData uri="http://schemas.microsoft.com/office/drawing/2010/slicer">
              <sle:slicer xmlns:sle="http://schemas.microsoft.com/office/drawing/2010/slicer" name="ProjectStatus"/>
            </a:graphicData>
          </a:graphic>
        </xdr:graphicFrame>
      </mc:Choice>
      <mc:Fallback xmlns="">
        <xdr:sp macro="" textlink="">
          <xdr:nvSpPr>
            <xdr:cNvPr id="0" name=""/>
            <xdr:cNvSpPr>
              <a:spLocks noTextEdit="1"/>
            </xdr:cNvSpPr>
          </xdr:nvSpPr>
          <xdr:spPr>
            <a:xfrm>
              <a:off x="0" y="1158240"/>
              <a:ext cx="166878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0</xdr:rowOff>
    </xdr:from>
    <xdr:to>
      <xdr:col>2</xdr:col>
      <xdr:colOff>449580</xdr:colOff>
      <xdr:row>18</xdr:row>
      <xdr:rowOff>53340</xdr:rowOff>
    </xdr:to>
    <mc:AlternateContent xmlns:mc="http://schemas.openxmlformats.org/markup-compatibility/2006" xmlns:a14="http://schemas.microsoft.com/office/drawing/2010/main">
      <mc:Choice Requires="a14">
        <xdr:graphicFrame macro="">
          <xdr:nvGraphicFramePr>
            <xdr:cNvPr id="33" name="RiskLevel 1">
              <a:extLst>
                <a:ext uri="{FF2B5EF4-FFF2-40B4-BE49-F238E27FC236}">
                  <a16:creationId xmlns:a16="http://schemas.microsoft.com/office/drawing/2014/main" id="{E7E87615-5B87-43BA-B8F7-DA924D32B2D8}"/>
                </a:ext>
              </a:extLst>
            </xdr:cNvPr>
            <xdr:cNvGraphicFramePr/>
          </xdr:nvGraphicFramePr>
          <xdr:xfrm>
            <a:off x="0" y="0"/>
            <a:ext cx="0" cy="0"/>
          </xdr:xfrm>
          <a:graphic>
            <a:graphicData uri="http://schemas.microsoft.com/office/drawing/2010/slicer">
              <sle:slicer xmlns:sle="http://schemas.microsoft.com/office/drawing/2010/slicer" name="RiskLevel 1"/>
            </a:graphicData>
          </a:graphic>
        </xdr:graphicFrame>
      </mc:Choice>
      <mc:Fallback xmlns="">
        <xdr:sp macro="" textlink="">
          <xdr:nvSpPr>
            <xdr:cNvPr id="0" name=""/>
            <xdr:cNvSpPr>
              <a:spLocks noTextEdit="1"/>
            </xdr:cNvSpPr>
          </xdr:nvSpPr>
          <xdr:spPr>
            <a:xfrm>
              <a:off x="0" y="2377440"/>
              <a:ext cx="166878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83820</xdr:rowOff>
    </xdr:from>
    <xdr:to>
      <xdr:col>2</xdr:col>
      <xdr:colOff>449580</xdr:colOff>
      <xdr:row>29</xdr:row>
      <xdr:rowOff>7620</xdr:rowOff>
    </xdr:to>
    <mc:AlternateContent xmlns:mc="http://schemas.openxmlformats.org/markup-compatibility/2006" xmlns:a14="http://schemas.microsoft.com/office/drawing/2010/main">
      <mc:Choice Requires="a14">
        <xdr:graphicFrame macro="">
          <xdr:nvGraphicFramePr>
            <xdr:cNvPr id="34" name="Region 5">
              <a:extLst>
                <a:ext uri="{FF2B5EF4-FFF2-40B4-BE49-F238E27FC236}">
                  <a16:creationId xmlns:a16="http://schemas.microsoft.com/office/drawing/2014/main" id="{EF7326A6-6346-4BE2-81D8-F2A77D3B2912}"/>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0" y="3375660"/>
              <a:ext cx="166878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472440</xdr:colOff>
      <xdr:row>6</xdr:row>
      <xdr:rowOff>60960</xdr:rowOff>
    </xdr:from>
    <xdr:to>
      <xdr:col>13</xdr:col>
      <xdr:colOff>152400</xdr:colOff>
      <xdr:row>22</xdr:row>
      <xdr:rowOff>7620</xdr:rowOff>
    </xdr:to>
    <xdr:graphicFrame macro="">
      <xdr:nvGraphicFramePr>
        <xdr:cNvPr id="7" name="Chart 6">
          <a:extLst>
            <a:ext uri="{FF2B5EF4-FFF2-40B4-BE49-F238E27FC236}">
              <a16:creationId xmlns:a16="http://schemas.microsoft.com/office/drawing/2014/main" id="{E518004C-0596-4925-9347-3066BF0E4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76200</xdr:colOff>
      <xdr:row>3</xdr:row>
      <xdr:rowOff>45720</xdr:rowOff>
    </xdr:from>
    <xdr:to>
      <xdr:col>16</xdr:col>
      <xdr:colOff>129540</xdr:colOff>
      <xdr:row>6</xdr:row>
      <xdr:rowOff>30480</xdr:rowOff>
    </xdr:to>
    <xdr:grpSp>
      <xdr:nvGrpSpPr>
        <xdr:cNvPr id="8" name="Group 7">
          <a:extLst>
            <a:ext uri="{FF2B5EF4-FFF2-40B4-BE49-F238E27FC236}">
              <a16:creationId xmlns:a16="http://schemas.microsoft.com/office/drawing/2014/main" id="{93AFDE06-D3D7-4646-87E1-AFC656891B6D}"/>
            </a:ext>
          </a:extLst>
        </xdr:cNvPr>
        <xdr:cNvGrpSpPr/>
      </xdr:nvGrpSpPr>
      <xdr:grpSpPr>
        <a:xfrm>
          <a:off x="8001000" y="594360"/>
          <a:ext cx="1882140" cy="533400"/>
          <a:chOff x="129540" y="769620"/>
          <a:chExt cx="2316480" cy="1049039"/>
        </a:xfrm>
        <a:solidFill>
          <a:srgbClr val="001B50"/>
        </a:solidFill>
      </xdr:grpSpPr>
      <xdr:sp macro="" textlink="Clean_Monthly_Costs!AA5">
        <xdr:nvSpPr>
          <xdr:cNvPr id="9" name="Rectangle 8">
            <a:extLst>
              <a:ext uri="{FF2B5EF4-FFF2-40B4-BE49-F238E27FC236}">
                <a16:creationId xmlns:a16="http://schemas.microsoft.com/office/drawing/2014/main" id="{5A82525C-27B4-979D-BED9-2BBFB38D0949}"/>
              </a:ext>
            </a:extLst>
          </xdr:cNvPr>
          <xdr:cNvSpPr/>
        </xdr:nvSpPr>
        <xdr:spPr>
          <a:xfrm>
            <a:off x="129540" y="797579"/>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BD23FBB-E91C-4B01-ABBC-AD5688FDE599}"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213.69M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0" name="Rectangle: Rounded Corners 9">
            <a:extLst>
              <a:ext uri="{FF2B5EF4-FFF2-40B4-BE49-F238E27FC236}">
                <a16:creationId xmlns:a16="http://schemas.microsoft.com/office/drawing/2014/main" id="{1A240A67-36AA-1CA6-5EEA-C42B76B69B06}"/>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Planned</a:t>
            </a:r>
            <a:r>
              <a:rPr lang="en-IN" sz="1400" b="1" baseline="0">
                <a:solidFill>
                  <a:schemeClr val="bg1"/>
                </a:solidFill>
                <a:latin typeface="Times New Roman" panose="02020603050405020304" pitchFamily="18" charset="0"/>
                <a:cs typeface="Times New Roman" panose="02020603050405020304" pitchFamily="18" charset="0"/>
              </a:rPr>
              <a:t> Budget</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144780</xdr:colOff>
      <xdr:row>3</xdr:row>
      <xdr:rowOff>38100</xdr:rowOff>
    </xdr:from>
    <xdr:to>
      <xdr:col>19</xdr:col>
      <xdr:colOff>487680</xdr:colOff>
      <xdr:row>6</xdr:row>
      <xdr:rowOff>30480</xdr:rowOff>
    </xdr:to>
    <xdr:grpSp>
      <xdr:nvGrpSpPr>
        <xdr:cNvPr id="11" name="Group 10">
          <a:extLst>
            <a:ext uri="{FF2B5EF4-FFF2-40B4-BE49-F238E27FC236}">
              <a16:creationId xmlns:a16="http://schemas.microsoft.com/office/drawing/2014/main" id="{637BC696-4E66-40A9-B984-A555CAD6400F}"/>
            </a:ext>
          </a:extLst>
        </xdr:cNvPr>
        <xdr:cNvGrpSpPr/>
      </xdr:nvGrpSpPr>
      <xdr:grpSpPr>
        <a:xfrm>
          <a:off x="9898380" y="586740"/>
          <a:ext cx="2171700" cy="541020"/>
          <a:chOff x="98236" y="753963"/>
          <a:chExt cx="2389709" cy="1080354"/>
        </a:xfrm>
        <a:solidFill>
          <a:srgbClr val="001B50"/>
        </a:solidFill>
      </xdr:grpSpPr>
      <xdr:sp macro="" textlink="Clean_Monthly_Costs!AA6">
        <xdr:nvSpPr>
          <xdr:cNvPr id="12" name="Rectangle 11">
            <a:extLst>
              <a:ext uri="{FF2B5EF4-FFF2-40B4-BE49-F238E27FC236}">
                <a16:creationId xmlns:a16="http://schemas.microsoft.com/office/drawing/2014/main" id="{CED95ADD-8B96-9917-0DDD-8B03A4A3CDC0}"/>
              </a:ext>
            </a:extLst>
          </xdr:cNvPr>
          <xdr:cNvSpPr/>
        </xdr:nvSpPr>
        <xdr:spPr>
          <a:xfrm>
            <a:off x="171465" y="813237"/>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5D2CB379-42BB-42D0-944F-4B7399E3B0EC}"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232.58M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3" name="Rectangle: Rounded Corners 12">
            <a:extLst>
              <a:ext uri="{FF2B5EF4-FFF2-40B4-BE49-F238E27FC236}">
                <a16:creationId xmlns:a16="http://schemas.microsoft.com/office/drawing/2014/main" id="{F8C17245-0704-26C6-2675-8EEAE4AEAB6E}"/>
              </a:ext>
            </a:extLst>
          </xdr:cNvPr>
          <xdr:cNvSpPr/>
        </xdr:nvSpPr>
        <xdr:spPr>
          <a:xfrm>
            <a:off x="98236" y="753963"/>
            <a:ext cx="2308859" cy="548641"/>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Actual</a:t>
            </a:r>
            <a:r>
              <a:rPr lang="en-IN" sz="1400" b="1" baseline="0">
                <a:solidFill>
                  <a:schemeClr val="bg1"/>
                </a:solidFill>
                <a:latin typeface="Times New Roman" panose="02020603050405020304" pitchFamily="18" charset="0"/>
                <a:cs typeface="Times New Roman" panose="02020603050405020304" pitchFamily="18" charset="0"/>
              </a:rPr>
              <a:t> Spend</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502920</xdr:colOff>
      <xdr:row>3</xdr:row>
      <xdr:rowOff>38101</xdr:rowOff>
    </xdr:from>
    <xdr:to>
      <xdr:col>23</xdr:col>
      <xdr:colOff>388620</xdr:colOff>
      <xdr:row>6</xdr:row>
      <xdr:rowOff>30481</xdr:rowOff>
    </xdr:to>
    <xdr:grpSp>
      <xdr:nvGrpSpPr>
        <xdr:cNvPr id="14" name="Group 13">
          <a:extLst>
            <a:ext uri="{FF2B5EF4-FFF2-40B4-BE49-F238E27FC236}">
              <a16:creationId xmlns:a16="http://schemas.microsoft.com/office/drawing/2014/main" id="{9AF40BF6-C8CA-4187-9CA5-52CD5D9DF2CD}"/>
            </a:ext>
          </a:extLst>
        </xdr:cNvPr>
        <xdr:cNvGrpSpPr/>
      </xdr:nvGrpSpPr>
      <xdr:grpSpPr>
        <a:xfrm>
          <a:off x="12085320" y="586741"/>
          <a:ext cx="2324100" cy="541020"/>
          <a:chOff x="35629" y="784383"/>
          <a:chExt cx="2375074" cy="1048144"/>
        </a:xfrm>
        <a:solidFill>
          <a:srgbClr val="001B50"/>
        </a:solidFill>
      </xdr:grpSpPr>
      <xdr:sp macro="" textlink="Clean_Monthly_Costs!AA7">
        <xdr:nvSpPr>
          <xdr:cNvPr id="15" name="Rectangle 14">
            <a:extLst>
              <a:ext uri="{FF2B5EF4-FFF2-40B4-BE49-F238E27FC236}">
                <a16:creationId xmlns:a16="http://schemas.microsoft.com/office/drawing/2014/main" id="{74F3756F-A905-12D3-F7B1-3CE4E27B342C}"/>
              </a:ext>
            </a:extLst>
          </xdr:cNvPr>
          <xdr:cNvSpPr/>
        </xdr:nvSpPr>
        <xdr:spPr>
          <a:xfrm>
            <a:off x="94223" y="811447"/>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1E62E9B-6171-43B2-9090-16BFCD1045D6}"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94.70%</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9" name="Rectangle: Rounded Corners 18">
            <a:extLst>
              <a:ext uri="{FF2B5EF4-FFF2-40B4-BE49-F238E27FC236}">
                <a16:creationId xmlns:a16="http://schemas.microsoft.com/office/drawing/2014/main" id="{C60FB4A4-AACE-EE03-FFDD-E55406C0DA74}"/>
              </a:ext>
            </a:extLst>
          </xdr:cNvPr>
          <xdr:cNvSpPr/>
        </xdr:nvSpPr>
        <xdr:spPr>
          <a:xfrm>
            <a:off x="35629" y="784383"/>
            <a:ext cx="2308859"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  Cost</a:t>
            </a:r>
            <a:r>
              <a:rPr lang="en-IN" sz="1400" b="1" baseline="0">
                <a:solidFill>
                  <a:schemeClr val="bg1"/>
                </a:solidFill>
                <a:latin typeface="Times New Roman" panose="02020603050405020304" pitchFamily="18" charset="0"/>
                <a:cs typeface="Times New Roman" panose="02020603050405020304" pitchFamily="18" charset="0"/>
              </a:rPr>
              <a:t> Varience</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13</xdr:col>
      <xdr:colOff>175260</xdr:colOff>
      <xdr:row>6</xdr:row>
      <xdr:rowOff>60960</xdr:rowOff>
    </xdr:from>
    <xdr:to>
      <xdr:col>18</xdr:col>
      <xdr:colOff>464820</xdr:colOff>
      <xdr:row>22</xdr:row>
      <xdr:rowOff>7620</xdr:rowOff>
    </xdr:to>
    <xdr:graphicFrame macro="">
      <xdr:nvGraphicFramePr>
        <xdr:cNvPr id="20" name="Chart 19">
          <a:extLst>
            <a:ext uri="{FF2B5EF4-FFF2-40B4-BE49-F238E27FC236}">
              <a16:creationId xmlns:a16="http://schemas.microsoft.com/office/drawing/2014/main" id="{70F8E042-172C-4E32-8574-603BF0DC7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144780</xdr:colOff>
      <xdr:row>22</xdr:row>
      <xdr:rowOff>38100</xdr:rowOff>
    </xdr:from>
    <xdr:to>
      <xdr:col>16</xdr:col>
      <xdr:colOff>449580</xdr:colOff>
      <xdr:row>39</xdr:row>
      <xdr:rowOff>160020</xdr:rowOff>
    </xdr:to>
    <xdr:graphicFrame macro="">
      <xdr:nvGraphicFramePr>
        <xdr:cNvPr id="21" name="Chart 20">
          <a:extLst>
            <a:ext uri="{FF2B5EF4-FFF2-40B4-BE49-F238E27FC236}">
              <a16:creationId xmlns:a16="http://schemas.microsoft.com/office/drawing/2014/main" id="{3E476A27-A020-4557-8436-60980BAD1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472440</xdr:colOff>
      <xdr:row>22</xdr:row>
      <xdr:rowOff>38100</xdr:rowOff>
    </xdr:from>
    <xdr:to>
      <xdr:col>23</xdr:col>
      <xdr:colOff>411480</xdr:colOff>
      <xdr:row>39</xdr:row>
      <xdr:rowOff>152400</xdr:rowOff>
    </xdr:to>
    <xdr:graphicFrame macro="">
      <xdr:nvGraphicFramePr>
        <xdr:cNvPr id="35" name="Chart 34">
          <a:extLst>
            <a:ext uri="{FF2B5EF4-FFF2-40B4-BE49-F238E27FC236}">
              <a16:creationId xmlns:a16="http://schemas.microsoft.com/office/drawing/2014/main" id="{FFB27519-AA6E-4A29-B2FA-454293B39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487680</xdr:colOff>
      <xdr:row>6</xdr:row>
      <xdr:rowOff>45720</xdr:rowOff>
    </xdr:from>
    <xdr:to>
      <xdr:col>23</xdr:col>
      <xdr:colOff>396240</xdr:colOff>
      <xdr:row>22</xdr:row>
      <xdr:rowOff>0</xdr:rowOff>
    </xdr:to>
    <xdr:graphicFrame macro="">
      <xdr:nvGraphicFramePr>
        <xdr:cNvPr id="37" name="Chart 36">
          <a:extLst>
            <a:ext uri="{FF2B5EF4-FFF2-40B4-BE49-F238E27FC236}">
              <a16:creationId xmlns:a16="http://schemas.microsoft.com/office/drawing/2014/main" id="{9FA393C7-04DF-459B-9203-ED9FD8D49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22860</xdr:colOff>
      <xdr:row>3</xdr:row>
      <xdr:rowOff>68580</xdr:rowOff>
    </xdr:from>
    <xdr:to>
      <xdr:col>3</xdr:col>
      <xdr:colOff>365760</xdr:colOff>
      <xdr:row>6</xdr:row>
      <xdr:rowOff>38100</xdr:rowOff>
    </xdr:to>
    <xdr:grpSp>
      <xdr:nvGrpSpPr>
        <xdr:cNvPr id="28" name="Group 27">
          <a:extLst>
            <a:ext uri="{FF2B5EF4-FFF2-40B4-BE49-F238E27FC236}">
              <a16:creationId xmlns:a16="http://schemas.microsoft.com/office/drawing/2014/main" id="{A04BFF9A-6C66-4B4F-8B7A-5B90E82BA54A}"/>
            </a:ext>
          </a:extLst>
        </xdr:cNvPr>
        <xdr:cNvGrpSpPr/>
      </xdr:nvGrpSpPr>
      <xdr:grpSpPr>
        <a:xfrm>
          <a:off x="22860" y="617220"/>
          <a:ext cx="2171700" cy="518160"/>
          <a:chOff x="129540" y="769620"/>
          <a:chExt cx="2316480" cy="1033382"/>
        </a:xfrm>
        <a:solidFill>
          <a:srgbClr val="001B50"/>
        </a:solidFill>
      </xdr:grpSpPr>
      <xdr:sp macro="" textlink="Clean_Project_Master!Y10">
        <xdr:nvSpPr>
          <xdr:cNvPr id="38" name="Rectangle 37">
            <a:extLst>
              <a:ext uri="{FF2B5EF4-FFF2-40B4-BE49-F238E27FC236}">
                <a16:creationId xmlns:a16="http://schemas.microsoft.com/office/drawing/2014/main" id="{D2CB2C06-1D34-A84D-45BB-0CAE2413AA87}"/>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5EEA9CC-6698-47DD-B447-4C222B466CC5}"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3.20M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39" name="Rectangle: Rounded Corners 38">
            <a:extLst>
              <a:ext uri="{FF2B5EF4-FFF2-40B4-BE49-F238E27FC236}">
                <a16:creationId xmlns:a16="http://schemas.microsoft.com/office/drawing/2014/main" id="{2EA74C91-F7BD-A8B4-A48A-0E9754CDED2A}"/>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400" b="1">
                <a:solidFill>
                  <a:schemeClr val="bg1"/>
                </a:solidFill>
                <a:latin typeface="Times New Roman" panose="02020603050405020304" pitchFamily="18" charset="0"/>
                <a:cs typeface="Times New Roman" panose="02020603050405020304" pitchFamily="18" charset="0"/>
              </a:rPr>
              <a:t>Total Contarct</a:t>
            </a:r>
            <a:r>
              <a:rPr lang="en-IN" sz="1400" b="1" baseline="0">
                <a:solidFill>
                  <a:schemeClr val="bg1"/>
                </a:solidFill>
                <a:latin typeface="Times New Roman" panose="02020603050405020304" pitchFamily="18" charset="0"/>
                <a:cs typeface="Times New Roman" panose="02020603050405020304" pitchFamily="18" charset="0"/>
              </a:rPr>
              <a:t> Value</a:t>
            </a:r>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editAs="absolute">
    <xdr:from>
      <xdr:col>0</xdr:col>
      <xdr:colOff>7620</xdr:colOff>
      <xdr:row>29</xdr:row>
      <xdr:rowOff>45720</xdr:rowOff>
    </xdr:from>
    <xdr:to>
      <xdr:col>2</xdr:col>
      <xdr:colOff>449580</xdr:colOff>
      <xdr:row>39</xdr:row>
      <xdr:rowOff>182879</xdr:rowOff>
    </xdr:to>
    <mc:AlternateContent xmlns:mc="http://schemas.openxmlformats.org/markup-compatibility/2006" xmlns:sle15="http://schemas.microsoft.com/office/drawing/2012/slicer">
      <mc:Choice Requires="sle15">
        <xdr:graphicFrame macro="">
          <xdr:nvGraphicFramePr>
            <xdr:cNvPr id="25" name="RevenueCategory 1">
              <a:extLst>
                <a:ext uri="{FF2B5EF4-FFF2-40B4-BE49-F238E27FC236}">
                  <a16:creationId xmlns:a16="http://schemas.microsoft.com/office/drawing/2014/main" id="{B186B47F-BC4C-4882-A3D0-7BCC6BF7230B}"/>
                </a:ext>
              </a:extLst>
            </xdr:cNvPr>
            <xdr:cNvGraphicFramePr/>
          </xdr:nvGraphicFramePr>
          <xdr:xfrm>
            <a:off x="0" y="0"/>
            <a:ext cx="0" cy="0"/>
          </xdr:xfrm>
          <a:graphic>
            <a:graphicData uri="http://schemas.microsoft.com/office/drawing/2010/slicer">
              <sle:slicer xmlns:sle="http://schemas.microsoft.com/office/drawing/2010/slicer" name="RevenueCategory 1"/>
            </a:graphicData>
          </a:graphic>
        </xdr:graphicFrame>
      </mc:Choice>
      <mc:Fallback xmlns="">
        <xdr:sp macro="" textlink="">
          <xdr:nvSpPr>
            <xdr:cNvPr id="0" name=""/>
            <xdr:cNvSpPr>
              <a:spLocks noTextEdit="1"/>
            </xdr:cNvSpPr>
          </xdr:nvSpPr>
          <xdr:spPr>
            <a:xfrm>
              <a:off x="7620" y="5349241"/>
              <a:ext cx="1661160" cy="17068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3</xdr:row>
      <xdr:rowOff>129540</xdr:rowOff>
    </xdr:from>
    <xdr:to>
      <xdr:col>2</xdr:col>
      <xdr:colOff>502920</xdr:colOff>
      <xdr:row>38</xdr:row>
      <xdr:rowOff>121920</xdr:rowOff>
    </xdr:to>
    <xdr:pic>
      <xdr:nvPicPr>
        <xdr:cNvPr id="29" name="Picture 28">
          <a:extLst>
            <a:ext uri="{FF2B5EF4-FFF2-40B4-BE49-F238E27FC236}">
              <a16:creationId xmlns:a16="http://schemas.microsoft.com/office/drawing/2014/main" id="{70D3404F-29DE-417A-A381-E8A7F4F2E0D0}"/>
            </a:ext>
          </a:extLst>
        </xdr:cNvPr>
        <xdr:cNvPicPr>
          <a:picLocks noChangeAspect="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0" y="678180"/>
          <a:ext cx="1722120" cy="6393180"/>
        </a:xfrm>
        <a:prstGeom prst="rect">
          <a:avLst/>
        </a:prstGeom>
      </xdr:spPr>
    </xdr:pic>
    <xdr:clientData/>
  </xdr:twoCellAnchor>
  <xdr:twoCellAnchor>
    <xdr:from>
      <xdr:col>0</xdr:col>
      <xdr:colOff>7620</xdr:colOff>
      <xdr:row>0</xdr:row>
      <xdr:rowOff>15240</xdr:rowOff>
    </xdr:from>
    <xdr:to>
      <xdr:col>23</xdr:col>
      <xdr:colOff>381000</xdr:colOff>
      <xdr:row>3</xdr:row>
      <xdr:rowOff>45720</xdr:rowOff>
    </xdr:to>
    <xdr:sp macro="" textlink="">
      <xdr:nvSpPr>
        <xdr:cNvPr id="2" name="Rectangle: Rounded Corners 1">
          <a:extLst>
            <a:ext uri="{FF2B5EF4-FFF2-40B4-BE49-F238E27FC236}">
              <a16:creationId xmlns:a16="http://schemas.microsoft.com/office/drawing/2014/main" id="{14BDF223-C0F5-4FA1-929D-D9BA4A850B74}"/>
            </a:ext>
          </a:extLst>
        </xdr:cNvPr>
        <xdr:cNvSpPr/>
      </xdr:nvSpPr>
      <xdr:spPr>
        <a:xfrm>
          <a:off x="7620" y="15240"/>
          <a:ext cx="14394180" cy="579120"/>
        </a:xfrm>
        <a:prstGeom prst="roundRect">
          <a:avLst/>
        </a:prstGeom>
        <a:solidFill>
          <a:srgbClr val="001B50"/>
        </a:solidFill>
        <a:ln>
          <a:solidFill>
            <a:schemeClr val="bg1">
              <a:lumMod val="95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baseline="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Client Analysis Dashboard</a:t>
          </a:r>
          <a:endPar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99060</xdr:rowOff>
    </xdr:from>
    <xdr:to>
      <xdr:col>3</xdr:col>
      <xdr:colOff>472440</xdr:colOff>
      <xdr:row>7</xdr:row>
      <xdr:rowOff>0</xdr:rowOff>
    </xdr:to>
    <xdr:grpSp>
      <xdr:nvGrpSpPr>
        <xdr:cNvPr id="3" name="Group 2">
          <a:extLst>
            <a:ext uri="{FF2B5EF4-FFF2-40B4-BE49-F238E27FC236}">
              <a16:creationId xmlns:a16="http://schemas.microsoft.com/office/drawing/2014/main" id="{1BDD1B0B-4269-496B-8E36-7BE3F7D08E74}"/>
            </a:ext>
          </a:extLst>
        </xdr:cNvPr>
        <xdr:cNvGrpSpPr/>
      </xdr:nvGrpSpPr>
      <xdr:grpSpPr>
        <a:xfrm>
          <a:off x="0" y="647700"/>
          <a:ext cx="2301240" cy="632460"/>
          <a:chOff x="129540" y="769620"/>
          <a:chExt cx="2316480" cy="1033382"/>
        </a:xfrm>
        <a:solidFill>
          <a:srgbClr val="001B50"/>
        </a:solidFill>
      </xdr:grpSpPr>
      <xdr:sp macro="" textlink="Clean_Client_Master!R4">
        <xdr:nvSpPr>
          <xdr:cNvPr id="4" name="Rectangle 3">
            <a:extLst>
              <a:ext uri="{FF2B5EF4-FFF2-40B4-BE49-F238E27FC236}">
                <a16:creationId xmlns:a16="http://schemas.microsoft.com/office/drawing/2014/main" id="{150E7784-AD17-AEE7-4AC0-A47E29C7B6E7}"/>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E474273-CFB1-4EC0-AFCD-F136A67202FD}"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15</a:t>
            </a:fld>
            <a:endParaRPr lang="en-IN"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5" name="Rectangle: Rounded Corners 4">
            <a:extLst>
              <a:ext uri="{FF2B5EF4-FFF2-40B4-BE49-F238E27FC236}">
                <a16:creationId xmlns:a16="http://schemas.microsoft.com/office/drawing/2014/main" id="{A5E1DF97-6A83-F949-3037-161A43DCFCC1}"/>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Total Clients</a:t>
            </a:r>
          </a:p>
        </xdr:txBody>
      </xdr:sp>
    </xdr:grpSp>
    <xdr:clientData/>
  </xdr:twoCellAnchor>
  <xdr:twoCellAnchor>
    <xdr:from>
      <xdr:col>4</xdr:col>
      <xdr:colOff>0</xdr:colOff>
      <xdr:row>3</xdr:row>
      <xdr:rowOff>91440</xdr:rowOff>
    </xdr:from>
    <xdr:to>
      <xdr:col>7</xdr:col>
      <xdr:colOff>601980</xdr:colOff>
      <xdr:row>6</xdr:row>
      <xdr:rowOff>175260</xdr:rowOff>
    </xdr:to>
    <xdr:grpSp>
      <xdr:nvGrpSpPr>
        <xdr:cNvPr id="6" name="Group 5">
          <a:extLst>
            <a:ext uri="{FF2B5EF4-FFF2-40B4-BE49-F238E27FC236}">
              <a16:creationId xmlns:a16="http://schemas.microsoft.com/office/drawing/2014/main" id="{83E8B8F3-409C-45F4-962C-503893735E63}"/>
            </a:ext>
          </a:extLst>
        </xdr:cNvPr>
        <xdr:cNvGrpSpPr/>
      </xdr:nvGrpSpPr>
      <xdr:grpSpPr>
        <a:xfrm>
          <a:off x="2438400" y="640080"/>
          <a:ext cx="2430780" cy="632460"/>
          <a:chOff x="129540" y="769620"/>
          <a:chExt cx="2316480" cy="1033382"/>
        </a:xfrm>
        <a:solidFill>
          <a:srgbClr val="001B50"/>
        </a:solidFill>
      </xdr:grpSpPr>
      <xdr:sp macro="" textlink="Clean_Client_Master!R5">
        <xdr:nvSpPr>
          <xdr:cNvPr id="7" name="Rectangle 6">
            <a:extLst>
              <a:ext uri="{FF2B5EF4-FFF2-40B4-BE49-F238E27FC236}">
                <a16:creationId xmlns:a16="http://schemas.microsoft.com/office/drawing/2014/main" id="{886D5B02-B83B-6D2A-FA4E-B94029A0FCCB}"/>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598DD85-5A74-4E8C-AE22-EC7DC299A2E1}"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11</a:t>
            </a:fld>
            <a:endParaRPr lang="en-IN"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8" name="Rectangle: Rounded Corners 7">
            <a:extLst>
              <a:ext uri="{FF2B5EF4-FFF2-40B4-BE49-F238E27FC236}">
                <a16:creationId xmlns:a16="http://schemas.microsoft.com/office/drawing/2014/main" id="{A4508C7A-2E21-6544-73FD-8457FA6212A6}"/>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Active Clients</a:t>
            </a:r>
          </a:p>
        </xdr:txBody>
      </xdr:sp>
    </xdr:grpSp>
    <xdr:clientData/>
  </xdr:twoCellAnchor>
  <xdr:twoCellAnchor>
    <xdr:from>
      <xdr:col>8</xdr:col>
      <xdr:colOff>152400</xdr:colOff>
      <xdr:row>3</xdr:row>
      <xdr:rowOff>99060</xdr:rowOff>
    </xdr:from>
    <xdr:to>
      <xdr:col>13</xdr:col>
      <xdr:colOff>15240</xdr:colOff>
      <xdr:row>6</xdr:row>
      <xdr:rowOff>167640</xdr:rowOff>
    </xdr:to>
    <xdr:grpSp>
      <xdr:nvGrpSpPr>
        <xdr:cNvPr id="9" name="Group 8">
          <a:extLst>
            <a:ext uri="{FF2B5EF4-FFF2-40B4-BE49-F238E27FC236}">
              <a16:creationId xmlns:a16="http://schemas.microsoft.com/office/drawing/2014/main" id="{4E1BBFCB-A785-488A-A3A6-5E891FF2464B}"/>
            </a:ext>
          </a:extLst>
        </xdr:cNvPr>
        <xdr:cNvGrpSpPr/>
      </xdr:nvGrpSpPr>
      <xdr:grpSpPr>
        <a:xfrm>
          <a:off x="5029200" y="647700"/>
          <a:ext cx="2910840" cy="617220"/>
          <a:chOff x="129540" y="769620"/>
          <a:chExt cx="2316480" cy="1033382"/>
        </a:xfrm>
        <a:solidFill>
          <a:srgbClr val="001B50"/>
        </a:solidFill>
      </xdr:grpSpPr>
      <xdr:sp macro="" textlink="Clean_Client_Master!R6">
        <xdr:nvSpPr>
          <xdr:cNvPr id="10" name="Rectangle 9">
            <a:extLst>
              <a:ext uri="{FF2B5EF4-FFF2-40B4-BE49-F238E27FC236}">
                <a16:creationId xmlns:a16="http://schemas.microsoft.com/office/drawing/2014/main" id="{1AA209B0-0B03-6768-CD0A-66EA41F408E3}"/>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20E2B9D-18A5-4719-A4B5-0AB26D8032D9}"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2.48M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1" name="Rectangle: Rounded Corners 10">
            <a:extLst>
              <a:ext uri="{FF2B5EF4-FFF2-40B4-BE49-F238E27FC236}">
                <a16:creationId xmlns:a16="http://schemas.microsoft.com/office/drawing/2014/main" id="{ABA4CF48-12EE-694B-F4D1-0FE05E582CC2}"/>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Total Contract</a:t>
            </a:r>
            <a:r>
              <a:rPr lang="en-IN" sz="1600" b="1" baseline="0">
                <a:solidFill>
                  <a:schemeClr val="bg1"/>
                </a:solidFill>
                <a:latin typeface="Times New Roman" panose="02020603050405020304" pitchFamily="18" charset="0"/>
                <a:cs typeface="Times New Roman" panose="02020603050405020304" pitchFamily="18" charset="0"/>
              </a:rPr>
              <a:t> Value</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13</xdr:col>
      <xdr:colOff>182880</xdr:colOff>
      <xdr:row>3</xdr:row>
      <xdr:rowOff>91440</xdr:rowOff>
    </xdr:from>
    <xdr:to>
      <xdr:col>18</xdr:col>
      <xdr:colOff>76200</xdr:colOff>
      <xdr:row>6</xdr:row>
      <xdr:rowOff>175260</xdr:rowOff>
    </xdr:to>
    <xdr:grpSp>
      <xdr:nvGrpSpPr>
        <xdr:cNvPr id="12" name="Group 11">
          <a:extLst>
            <a:ext uri="{FF2B5EF4-FFF2-40B4-BE49-F238E27FC236}">
              <a16:creationId xmlns:a16="http://schemas.microsoft.com/office/drawing/2014/main" id="{B3CFD6DD-5EEA-46A5-B470-AE3D35B369D1}"/>
            </a:ext>
          </a:extLst>
        </xdr:cNvPr>
        <xdr:cNvGrpSpPr/>
      </xdr:nvGrpSpPr>
      <xdr:grpSpPr>
        <a:xfrm>
          <a:off x="8107680" y="640080"/>
          <a:ext cx="2941320" cy="632460"/>
          <a:chOff x="129540" y="781922"/>
          <a:chExt cx="2316480" cy="1021080"/>
        </a:xfrm>
        <a:solidFill>
          <a:srgbClr val="001B50"/>
        </a:solidFill>
      </xdr:grpSpPr>
      <xdr:sp macro="" textlink="Clean_Client_Master!R7">
        <xdr:nvSpPr>
          <xdr:cNvPr id="13" name="Rectangle 12">
            <a:extLst>
              <a:ext uri="{FF2B5EF4-FFF2-40B4-BE49-F238E27FC236}">
                <a16:creationId xmlns:a16="http://schemas.microsoft.com/office/drawing/2014/main" id="{4CDB9413-7238-C1BD-EF27-28D30CAC26B0}"/>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67F1A9C-A8B7-4A34-8236-B0E8BF87F2BB}"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121.4M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4" name="Rectangle: Rounded Corners 13">
            <a:extLst>
              <a:ext uri="{FF2B5EF4-FFF2-40B4-BE49-F238E27FC236}">
                <a16:creationId xmlns:a16="http://schemas.microsoft.com/office/drawing/2014/main" id="{4D3133F6-6A75-A815-2C64-981C227B4834}"/>
              </a:ext>
            </a:extLst>
          </xdr:cNvPr>
          <xdr:cNvSpPr/>
        </xdr:nvSpPr>
        <xdr:spPr>
          <a:xfrm>
            <a:off x="129540" y="781922"/>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Total Outstanding</a:t>
            </a:r>
            <a:r>
              <a:rPr lang="en-IN" sz="1600" b="1" baseline="0">
                <a:solidFill>
                  <a:schemeClr val="bg1"/>
                </a:solidFill>
                <a:latin typeface="Times New Roman" panose="02020603050405020304" pitchFamily="18" charset="0"/>
                <a:cs typeface="Times New Roman" panose="02020603050405020304" pitchFamily="18" charset="0"/>
              </a:rPr>
              <a:t> Balance</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0</xdr:colOff>
      <xdr:row>0</xdr:row>
      <xdr:rowOff>7620</xdr:rowOff>
    </xdr:from>
    <xdr:to>
      <xdr:col>1</xdr:col>
      <xdr:colOff>129540</xdr:colOff>
      <xdr:row>3</xdr:row>
      <xdr:rowOff>68580</xdr:rowOff>
    </xdr:to>
    <xdr:pic>
      <xdr:nvPicPr>
        <xdr:cNvPr id="19" name="Graphic 18" descr="Chevron arrows with solid fill">
          <a:hlinkClick xmlns:r="http://schemas.openxmlformats.org/officeDocument/2006/relationships" r:id="rId2"/>
          <a:extLst>
            <a:ext uri="{FF2B5EF4-FFF2-40B4-BE49-F238E27FC236}">
              <a16:creationId xmlns:a16="http://schemas.microsoft.com/office/drawing/2014/main" id="{90565AE2-DF7E-4A58-9022-C07EEAFB4C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7620"/>
          <a:ext cx="739140" cy="609600"/>
        </a:xfrm>
        <a:prstGeom prst="rect">
          <a:avLst/>
        </a:prstGeom>
      </xdr:spPr>
    </xdr:pic>
    <xdr:clientData/>
  </xdr:twoCellAnchor>
  <xdr:twoCellAnchor editAs="oneCell">
    <xdr:from>
      <xdr:col>22</xdr:col>
      <xdr:colOff>152400</xdr:colOff>
      <xdr:row>0</xdr:row>
      <xdr:rowOff>0</xdr:rowOff>
    </xdr:from>
    <xdr:to>
      <xdr:col>23</xdr:col>
      <xdr:colOff>342900</xdr:colOff>
      <xdr:row>3</xdr:row>
      <xdr:rowOff>38100</xdr:rowOff>
    </xdr:to>
    <xdr:pic>
      <xdr:nvPicPr>
        <xdr:cNvPr id="23" name="Graphic 22" descr="Chevron arrows with solid fill">
          <a:hlinkClick xmlns:r="http://schemas.openxmlformats.org/officeDocument/2006/relationships" r:id="rId5"/>
          <a:extLst>
            <a:ext uri="{FF2B5EF4-FFF2-40B4-BE49-F238E27FC236}">
              <a16:creationId xmlns:a16="http://schemas.microsoft.com/office/drawing/2014/main" id="{42E6A3C7-2AA3-4E53-8E8E-1ED00070B13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563600" y="0"/>
          <a:ext cx="800100" cy="586740"/>
        </a:xfrm>
        <a:prstGeom prst="rect">
          <a:avLst/>
        </a:prstGeom>
      </xdr:spPr>
    </xdr:pic>
    <xdr:clientData/>
  </xdr:twoCellAnchor>
  <xdr:twoCellAnchor>
    <xdr:from>
      <xdr:col>2</xdr:col>
      <xdr:colOff>502920</xdr:colOff>
      <xdr:row>7</xdr:row>
      <xdr:rowOff>15240</xdr:rowOff>
    </xdr:from>
    <xdr:to>
      <xdr:col>9</xdr:col>
      <xdr:colOff>320040</xdr:colOff>
      <xdr:row>22</xdr:row>
      <xdr:rowOff>167640</xdr:rowOff>
    </xdr:to>
    <xdr:graphicFrame macro="">
      <xdr:nvGraphicFramePr>
        <xdr:cNvPr id="15" name="Chart 14">
          <a:extLst>
            <a:ext uri="{FF2B5EF4-FFF2-40B4-BE49-F238E27FC236}">
              <a16:creationId xmlns:a16="http://schemas.microsoft.com/office/drawing/2014/main" id="{C671FF78-4F2A-4C67-B0B9-A9E009BFA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182880</xdr:colOff>
      <xdr:row>23</xdr:row>
      <xdr:rowOff>15240</xdr:rowOff>
    </xdr:from>
    <xdr:to>
      <xdr:col>23</xdr:col>
      <xdr:colOff>396240</xdr:colOff>
      <xdr:row>39</xdr:row>
      <xdr:rowOff>114300</xdr:rowOff>
    </xdr:to>
    <xdr:graphicFrame macro="">
      <xdr:nvGraphicFramePr>
        <xdr:cNvPr id="16" name="Chart 15">
          <a:extLst>
            <a:ext uri="{FF2B5EF4-FFF2-40B4-BE49-F238E27FC236}">
              <a16:creationId xmlns:a16="http://schemas.microsoft.com/office/drawing/2014/main" id="{8F4BF06B-5566-49DB-9BE9-D375EAA2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350520</xdr:colOff>
      <xdr:row>7</xdr:row>
      <xdr:rowOff>15240</xdr:rowOff>
    </xdr:from>
    <xdr:to>
      <xdr:col>15</xdr:col>
      <xdr:colOff>365760</xdr:colOff>
      <xdr:row>22</xdr:row>
      <xdr:rowOff>167640</xdr:rowOff>
    </xdr:to>
    <xdr:graphicFrame macro="">
      <xdr:nvGraphicFramePr>
        <xdr:cNvPr id="17" name="Chart 16">
          <a:extLst>
            <a:ext uri="{FF2B5EF4-FFF2-40B4-BE49-F238E27FC236}">
              <a16:creationId xmlns:a16="http://schemas.microsoft.com/office/drawing/2014/main" id="{14872AAF-E185-41D6-ACF4-8D1F35D6C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518160</xdr:colOff>
      <xdr:row>23</xdr:row>
      <xdr:rowOff>7620</xdr:rowOff>
    </xdr:from>
    <xdr:to>
      <xdr:col>16</xdr:col>
      <xdr:colOff>152400</xdr:colOff>
      <xdr:row>39</xdr:row>
      <xdr:rowOff>129540</xdr:rowOff>
    </xdr:to>
    <xdr:graphicFrame macro="">
      <xdr:nvGraphicFramePr>
        <xdr:cNvPr id="18" name="Chart 17">
          <a:extLst>
            <a:ext uri="{FF2B5EF4-FFF2-40B4-BE49-F238E27FC236}">
              <a16:creationId xmlns:a16="http://schemas.microsoft.com/office/drawing/2014/main" id="{50077574-B937-4C41-A4B0-45898ED68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502920</xdr:colOff>
      <xdr:row>23</xdr:row>
      <xdr:rowOff>7620</xdr:rowOff>
    </xdr:from>
    <xdr:to>
      <xdr:col>9</xdr:col>
      <xdr:colOff>480060</xdr:colOff>
      <xdr:row>39</xdr:row>
      <xdr:rowOff>129540</xdr:rowOff>
    </xdr:to>
    <xdr:graphicFrame macro="">
      <xdr:nvGraphicFramePr>
        <xdr:cNvPr id="24" name="Chart 23">
          <a:extLst>
            <a:ext uri="{FF2B5EF4-FFF2-40B4-BE49-F238E27FC236}">
              <a16:creationId xmlns:a16="http://schemas.microsoft.com/office/drawing/2014/main" id="{F468A8BD-6970-49E3-BF3F-C6EC83B3A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403860</xdr:colOff>
      <xdr:row>7</xdr:row>
      <xdr:rowOff>22860</xdr:rowOff>
    </xdr:from>
    <xdr:to>
      <xdr:col>23</xdr:col>
      <xdr:colOff>388620</xdr:colOff>
      <xdr:row>22</xdr:row>
      <xdr:rowOff>167640</xdr:rowOff>
    </xdr:to>
    <xdr:graphicFrame macro="">
      <xdr:nvGraphicFramePr>
        <xdr:cNvPr id="25" name="Chart 24">
          <a:extLst>
            <a:ext uri="{FF2B5EF4-FFF2-40B4-BE49-F238E27FC236}">
              <a16:creationId xmlns:a16="http://schemas.microsoft.com/office/drawing/2014/main" id="{40658F95-027E-42A8-87F1-C7E3342DC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236220</xdr:colOff>
      <xdr:row>3</xdr:row>
      <xdr:rowOff>106680</xdr:rowOff>
    </xdr:from>
    <xdr:to>
      <xdr:col>23</xdr:col>
      <xdr:colOff>396240</xdr:colOff>
      <xdr:row>6</xdr:row>
      <xdr:rowOff>144780</xdr:rowOff>
    </xdr:to>
    <xdr:grpSp>
      <xdr:nvGrpSpPr>
        <xdr:cNvPr id="26" name="Group 25">
          <a:extLst>
            <a:ext uri="{FF2B5EF4-FFF2-40B4-BE49-F238E27FC236}">
              <a16:creationId xmlns:a16="http://schemas.microsoft.com/office/drawing/2014/main" id="{07234083-14C1-4767-A1F2-92D5C5327FF9}"/>
            </a:ext>
          </a:extLst>
        </xdr:cNvPr>
        <xdr:cNvGrpSpPr/>
      </xdr:nvGrpSpPr>
      <xdr:grpSpPr>
        <a:xfrm>
          <a:off x="11209020" y="655320"/>
          <a:ext cx="3208020" cy="586740"/>
          <a:chOff x="129540" y="781922"/>
          <a:chExt cx="2316480" cy="1021080"/>
        </a:xfrm>
        <a:solidFill>
          <a:srgbClr val="001B50"/>
        </a:solidFill>
      </xdr:grpSpPr>
      <xdr:sp macro="" textlink="Clean_Client_Master!R8">
        <xdr:nvSpPr>
          <xdr:cNvPr id="27" name="Rectangle 26">
            <a:extLst>
              <a:ext uri="{FF2B5EF4-FFF2-40B4-BE49-F238E27FC236}">
                <a16:creationId xmlns:a16="http://schemas.microsoft.com/office/drawing/2014/main" id="{4BE98805-8271-9C20-CF13-10C53D492338}"/>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5466BB6-6B38-4BFD-ACAB-D8E1A9248FEB}"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165.1M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28" name="Rectangle: Rounded Corners 27">
            <a:extLst>
              <a:ext uri="{FF2B5EF4-FFF2-40B4-BE49-F238E27FC236}">
                <a16:creationId xmlns:a16="http://schemas.microsoft.com/office/drawing/2014/main" id="{E0DF151E-9318-DBC5-9208-71733E205CA7}"/>
              </a:ext>
            </a:extLst>
          </xdr:cNvPr>
          <xdr:cNvSpPr/>
        </xdr:nvSpPr>
        <xdr:spPr>
          <a:xfrm>
            <a:off x="129540" y="781922"/>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Avg</a:t>
            </a:r>
            <a:r>
              <a:rPr lang="en-IN" sz="1600" b="1" baseline="0">
                <a:solidFill>
                  <a:schemeClr val="bg1"/>
                </a:solidFill>
                <a:latin typeface="Times New Roman" panose="02020603050405020304" pitchFamily="18" charset="0"/>
                <a:cs typeface="Times New Roman" panose="02020603050405020304" pitchFamily="18" charset="0"/>
              </a:rPr>
              <a:t> Contract Value</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editAs="absolute">
    <xdr:from>
      <xdr:col>0</xdr:col>
      <xdr:colOff>0</xdr:colOff>
      <xdr:row>7</xdr:row>
      <xdr:rowOff>7620</xdr:rowOff>
    </xdr:from>
    <xdr:to>
      <xdr:col>2</xdr:col>
      <xdr:colOff>472440</xdr:colOff>
      <xdr:row>12</xdr:row>
      <xdr:rowOff>99059</xdr:rowOff>
    </xdr:to>
    <mc:AlternateContent xmlns:mc="http://schemas.openxmlformats.org/markup-compatibility/2006" xmlns:sle15="http://schemas.microsoft.com/office/drawing/2012/slicer">
      <mc:Choice Requires="sle15">
        <xdr:graphicFrame macro="">
          <xdr:nvGraphicFramePr>
            <xdr:cNvPr id="32" name="Region 2">
              <a:extLst>
                <a:ext uri="{FF2B5EF4-FFF2-40B4-BE49-F238E27FC236}">
                  <a16:creationId xmlns:a16="http://schemas.microsoft.com/office/drawing/2014/main" id="{421D2C95-DB90-4F94-BF87-42D15894601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1287780"/>
              <a:ext cx="1691640" cy="10058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137160</xdr:rowOff>
    </xdr:from>
    <xdr:to>
      <xdr:col>2</xdr:col>
      <xdr:colOff>464820</xdr:colOff>
      <xdr:row>20</xdr:row>
      <xdr:rowOff>160020</xdr:rowOff>
    </xdr:to>
    <mc:AlternateContent xmlns:mc="http://schemas.openxmlformats.org/markup-compatibility/2006" xmlns:sle15="http://schemas.microsoft.com/office/drawing/2012/slicer">
      <mc:Choice Requires="sle15">
        <xdr:graphicFrame macro="">
          <xdr:nvGraphicFramePr>
            <xdr:cNvPr id="33" name="Industry 2">
              <a:extLst>
                <a:ext uri="{FF2B5EF4-FFF2-40B4-BE49-F238E27FC236}">
                  <a16:creationId xmlns:a16="http://schemas.microsoft.com/office/drawing/2014/main" id="{6E0FC706-08F2-41CA-8C96-860B7539A5DE}"/>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0" y="2331720"/>
              <a:ext cx="1684020" cy="1485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26</xdr:row>
      <xdr:rowOff>53340</xdr:rowOff>
    </xdr:from>
    <xdr:to>
      <xdr:col>2</xdr:col>
      <xdr:colOff>464820</xdr:colOff>
      <xdr:row>39</xdr:row>
      <xdr:rowOff>137160</xdr:rowOff>
    </xdr:to>
    <mc:AlternateContent xmlns:mc="http://schemas.openxmlformats.org/markup-compatibility/2006" xmlns:sle15="http://schemas.microsoft.com/office/drawing/2012/slicer">
      <mc:Choice Requires="sle15">
        <xdr:graphicFrame macro="">
          <xdr:nvGraphicFramePr>
            <xdr:cNvPr id="20" name="ClientName 1">
              <a:extLst>
                <a:ext uri="{FF2B5EF4-FFF2-40B4-BE49-F238E27FC236}">
                  <a16:creationId xmlns:a16="http://schemas.microsoft.com/office/drawing/2014/main" id="{441C373A-2149-4898-87E9-511066DE105F}"/>
                </a:ext>
              </a:extLst>
            </xdr:cNvPr>
            <xdr:cNvGraphicFramePr/>
          </xdr:nvGraphicFramePr>
          <xdr:xfrm>
            <a:off x="0" y="0"/>
            <a:ext cx="0" cy="0"/>
          </xdr:xfrm>
          <a:graphic>
            <a:graphicData uri="http://schemas.microsoft.com/office/drawing/2010/slicer">
              <sle:slicer xmlns:sle="http://schemas.microsoft.com/office/drawing/2010/slicer" name="ClientName 1"/>
            </a:graphicData>
          </a:graphic>
        </xdr:graphicFrame>
      </mc:Choice>
      <mc:Fallback xmlns="">
        <xdr:sp macro="" textlink="">
          <xdr:nvSpPr>
            <xdr:cNvPr id="0" name=""/>
            <xdr:cNvSpPr>
              <a:spLocks noTextEdit="1"/>
            </xdr:cNvSpPr>
          </xdr:nvSpPr>
          <xdr:spPr>
            <a:xfrm>
              <a:off x="0" y="4808221"/>
              <a:ext cx="1684020" cy="22402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21</xdr:row>
      <xdr:rowOff>7621</xdr:rowOff>
    </xdr:from>
    <xdr:to>
      <xdr:col>2</xdr:col>
      <xdr:colOff>464820</xdr:colOff>
      <xdr:row>26</xdr:row>
      <xdr:rowOff>22860</xdr:rowOff>
    </xdr:to>
    <mc:AlternateContent xmlns:mc="http://schemas.openxmlformats.org/markup-compatibility/2006" xmlns:sle15="http://schemas.microsoft.com/office/drawing/2012/slicer">
      <mc:Choice Requires="sle15">
        <xdr:graphicFrame macro="">
          <xdr:nvGraphicFramePr>
            <xdr:cNvPr id="21" name="Country 1">
              <a:extLst>
                <a:ext uri="{FF2B5EF4-FFF2-40B4-BE49-F238E27FC236}">
                  <a16:creationId xmlns:a16="http://schemas.microsoft.com/office/drawing/2014/main" id="{7698F473-9AF7-45FC-8862-E8478DF6148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3848101"/>
              <a:ext cx="1684020" cy="9296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3</xdr:row>
      <xdr:rowOff>45720</xdr:rowOff>
    </xdr:from>
    <xdr:to>
      <xdr:col>2</xdr:col>
      <xdr:colOff>502920</xdr:colOff>
      <xdr:row>37</xdr:row>
      <xdr:rowOff>129540</xdr:rowOff>
    </xdr:to>
    <xdr:pic>
      <xdr:nvPicPr>
        <xdr:cNvPr id="31" name="Picture 30">
          <a:extLst>
            <a:ext uri="{FF2B5EF4-FFF2-40B4-BE49-F238E27FC236}">
              <a16:creationId xmlns:a16="http://schemas.microsoft.com/office/drawing/2014/main" id="{28F859A7-3228-4F15-8961-40F0201DBEC6}"/>
            </a:ext>
          </a:extLst>
        </xdr:cNvPr>
        <xdr:cNvPicPr>
          <a:picLocks noChangeAspect="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0" y="594360"/>
          <a:ext cx="1722120" cy="6301740"/>
        </a:xfrm>
        <a:prstGeom prst="rect">
          <a:avLst/>
        </a:prstGeom>
      </xdr:spPr>
    </xdr:pic>
    <xdr:clientData/>
  </xdr:twoCellAnchor>
  <xdr:twoCellAnchor>
    <xdr:from>
      <xdr:col>0</xdr:col>
      <xdr:colOff>15240</xdr:colOff>
      <xdr:row>0</xdr:row>
      <xdr:rowOff>0</xdr:rowOff>
    </xdr:from>
    <xdr:to>
      <xdr:col>21</xdr:col>
      <xdr:colOff>1104900</xdr:colOff>
      <xdr:row>3</xdr:row>
      <xdr:rowOff>15240</xdr:rowOff>
    </xdr:to>
    <xdr:sp macro="" textlink="">
      <xdr:nvSpPr>
        <xdr:cNvPr id="2" name="Rectangle: Rounded Corners 1">
          <a:extLst>
            <a:ext uri="{FF2B5EF4-FFF2-40B4-BE49-F238E27FC236}">
              <a16:creationId xmlns:a16="http://schemas.microsoft.com/office/drawing/2014/main" id="{5E2FF560-54C0-4823-8203-153D3E65954E}"/>
            </a:ext>
          </a:extLst>
        </xdr:cNvPr>
        <xdr:cNvSpPr/>
      </xdr:nvSpPr>
      <xdr:spPr>
        <a:xfrm>
          <a:off x="15240" y="0"/>
          <a:ext cx="14424660" cy="563880"/>
        </a:xfrm>
        <a:prstGeom prst="roundRect">
          <a:avLst/>
        </a:prstGeom>
        <a:solidFill>
          <a:srgbClr val="001B50"/>
        </a:solidFill>
        <a:ln>
          <a:solidFill>
            <a:schemeClr val="bg1">
              <a:lumMod val="95000"/>
            </a:schemeClr>
          </a:solid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baseline="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Estimator Analysis Dashboard</a:t>
          </a:r>
          <a:endPar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45720</xdr:rowOff>
    </xdr:from>
    <xdr:to>
      <xdr:col>3</xdr:col>
      <xdr:colOff>0</xdr:colOff>
      <xdr:row>6</xdr:row>
      <xdr:rowOff>45720</xdr:rowOff>
    </xdr:to>
    <xdr:grpSp>
      <xdr:nvGrpSpPr>
        <xdr:cNvPr id="3" name="Group 2">
          <a:extLst>
            <a:ext uri="{FF2B5EF4-FFF2-40B4-BE49-F238E27FC236}">
              <a16:creationId xmlns:a16="http://schemas.microsoft.com/office/drawing/2014/main" id="{E9A88B59-E54D-4EC9-A298-7A1477D8E66B}"/>
            </a:ext>
          </a:extLst>
        </xdr:cNvPr>
        <xdr:cNvGrpSpPr/>
      </xdr:nvGrpSpPr>
      <xdr:grpSpPr>
        <a:xfrm>
          <a:off x="0" y="594360"/>
          <a:ext cx="1828800" cy="548640"/>
          <a:chOff x="129540" y="769620"/>
          <a:chExt cx="2316480" cy="1080615"/>
        </a:xfrm>
        <a:solidFill>
          <a:srgbClr val="001B50"/>
        </a:solidFill>
      </xdr:grpSpPr>
      <xdr:sp macro="" textlink="Clean_Estimator_Team!Y3">
        <xdr:nvSpPr>
          <xdr:cNvPr id="4" name="Rectangle 3">
            <a:extLst>
              <a:ext uri="{FF2B5EF4-FFF2-40B4-BE49-F238E27FC236}">
                <a16:creationId xmlns:a16="http://schemas.microsoft.com/office/drawing/2014/main" id="{03A4EA37-D11D-90B6-B052-FF05EB9A162F}"/>
              </a:ext>
            </a:extLst>
          </xdr:cNvPr>
          <xdr:cNvSpPr/>
        </xdr:nvSpPr>
        <xdr:spPr>
          <a:xfrm>
            <a:off x="129540" y="829156"/>
            <a:ext cx="2316480" cy="1021079"/>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8E96F03-CF06-4961-A112-C71C9070DD8F}"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10</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5" name="Rectangle: Rounded Corners 4">
            <a:extLst>
              <a:ext uri="{FF2B5EF4-FFF2-40B4-BE49-F238E27FC236}">
                <a16:creationId xmlns:a16="http://schemas.microsoft.com/office/drawing/2014/main" id="{6B3C038E-9B20-0025-3B51-88E32696E7CB}"/>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Total</a:t>
            </a:r>
            <a:r>
              <a:rPr lang="en-IN" sz="1600" b="1" baseline="0">
                <a:solidFill>
                  <a:schemeClr val="bg1"/>
                </a:solidFill>
                <a:latin typeface="Times New Roman" panose="02020603050405020304" pitchFamily="18" charset="0"/>
                <a:cs typeface="Times New Roman" panose="02020603050405020304" pitchFamily="18" charset="0"/>
              </a:rPr>
              <a:t> Estimators</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2</xdr:col>
      <xdr:colOff>525780</xdr:colOff>
      <xdr:row>6</xdr:row>
      <xdr:rowOff>68580</xdr:rowOff>
    </xdr:from>
    <xdr:to>
      <xdr:col>7</xdr:col>
      <xdr:colOff>579120</xdr:colOff>
      <xdr:row>22</xdr:row>
      <xdr:rowOff>68580</xdr:rowOff>
    </xdr:to>
    <xdr:graphicFrame macro="">
      <xdr:nvGraphicFramePr>
        <xdr:cNvPr id="6" name="Chart 5">
          <a:extLst>
            <a:ext uri="{FF2B5EF4-FFF2-40B4-BE49-F238E27FC236}">
              <a16:creationId xmlns:a16="http://schemas.microsoft.com/office/drawing/2014/main" id="{8886A15A-84AB-42C5-8482-F81E7DFCA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571500</xdr:colOff>
      <xdr:row>22</xdr:row>
      <xdr:rowOff>83820</xdr:rowOff>
    </xdr:from>
    <xdr:to>
      <xdr:col>16</xdr:col>
      <xdr:colOff>22860</xdr:colOff>
      <xdr:row>39</xdr:row>
      <xdr:rowOff>129540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E2FEFC8E-FEB7-4219-8FCF-50C4263B47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48300" y="4107180"/>
              <a:ext cx="4328160" cy="3154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106680</xdr:colOff>
      <xdr:row>6</xdr:row>
      <xdr:rowOff>83820</xdr:rowOff>
    </xdr:from>
    <xdr:to>
      <xdr:col>21</xdr:col>
      <xdr:colOff>1104900</xdr:colOff>
      <xdr:row>22</xdr:row>
      <xdr:rowOff>53340</xdr:rowOff>
    </xdr:to>
    <xdr:graphicFrame macro="">
      <xdr:nvGraphicFramePr>
        <xdr:cNvPr id="8" name="Chart 7">
          <a:extLst>
            <a:ext uri="{FF2B5EF4-FFF2-40B4-BE49-F238E27FC236}">
              <a16:creationId xmlns:a16="http://schemas.microsoft.com/office/drawing/2014/main" id="{F9D2FDBD-CE96-4453-A26E-5D6585CEF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381000</xdr:colOff>
      <xdr:row>6</xdr:row>
      <xdr:rowOff>68580</xdr:rowOff>
    </xdr:from>
    <xdr:to>
      <xdr:col>18</xdr:col>
      <xdr:colOff>91440</xdr:colOff>
      <xdr:row>22</xdr:row>
      <xdr:rowOff>45720</xdr:rowOff>
    </xdr:to>
    <xdr:graphicFrame macro="">
      <xdr:nvGraphicFramePr>
        <xdr:cNvPr id="10" name="Chart 9">
          <a:extLst>
            <a:ext uri="{FF2B5EF4-FFF2-40B4-BE49-F238E27FC236}">
              <a16:creationId xmlns:a16="http://schemas.microsoft.com/office/drawing/2014/main" id="{E88FBFF1-F16A-4F06-AE37-D52664A8D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121920</xdr:colOff>
      <xdr:row>3</xdr:row>
      <xdr:rowOff>53340</xdr:rowOff>
    </xdr:from>
    <xdr:to>
      <xdr:col>6</xdr:col>
      <xdr:colOff>62264</xdr:colOff>
      <xdr:row>6</xdr:row>
      <xdr:rowOff>45720</xdr:rowOff>
    </xdr:to>
    <xdr:grpSp>
      <xdr:nvGrpSpPr>
        <xdr:cNvPr id="11" name="Group 10">
          <a:extLst>
            <a:ext uri="{FF2B5EF4-FFF2-40B4-BE49-F238E27FC236}">
              <a16:creationId xmlns:a16="http://schemas.microsoft.com/office/drawing/2014/main" id="{33A61F2D-5278-4E60-B633-302C5157D4B7}"/>
            </a:ext>
          </a:extLst>
        </xdr:cNvPr>
        <xdr:cNvGrpSpPr/>
      </xdr:nvGrpSpPr>
      <xdr:grpSpPr>
        <a:xfrm>
          <a:off x="1950720" y="601980"/>
          <a:ext cx="1769144" cy="541020"/>
          <a:chOff x="111155" y="769620"/>
          <a:chExt cx="2327245" cy="1065179"/>
        </a:xfrm>
        <a:solidFill>
          <a:srgbClr val="001B50"/>
        </a:solidFill>
      </xdr:grpSpPr>
      <xdr:sp macro="" textlink="Clean_Estimator_Team!Y4">
        <xdr:nvSpPr>
          <xdr:cNvPr id="12" name="Rectangle 11">
            <a:extLst>
              <a:ext uri="{FF2B5EF4-FFF2-40B4-BE49-F238E27FC236}">
                <a16:creationId xmlns:a16="http://schemas.microsoft.com/office/drawing/2014/main" id="{EA50758B-70F2-A49B-036E-EAA166177EFB}"/>
              </a:ext>
            </a:extLst>
          </xdr:cNvPr>
          <xdr:cNvSpPr/>
        </xdr:nvSpPr>
        <xdr:spPr>
          <a:xfrm>
            <a:off x="111155" y="813718"/>
            <a:ext cx="2316480" cy="1021081"/>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4C9FAC2D-D308-4AAA-93AA-2AD567F14532}"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316</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3" name="Rectangle: Rounded Corners 12">
            <a:extLst>
              <a:ext uri="{FF2B5EF4-FFF2-40B4-BE49-F238E27FC236}">
                <a16:creationId xmlns:a16="http://schemas.microsoft.com/office/drawing/2014/main" id="{96417B83-56B5-7CCE-7569-2A260F3B4C45}"/>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Total</a:t>
            </a:r>
            <a:r>
              <a:rPr lang="en-IN" sz="1600" b="1" baseline="0">
                <a:solidFill>
                  <a:schemeClr val="bg1"/>
                </a:solidFill>
                <a:latin typeface="Times New Roman" panose="02020603050405020304" pitchFamily="18" charset="0"/>
                <a:cs typeface="Times New Roman" panose="02020603050405020304" pitchFamily="18" charset="0"/>
              </a:rPr>
              <a:t> Bids</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6</xdr:col>
      <xdr:colOff>175260</xdr:colOff>
      <xdr:row>3</xdr:row>
      <xdr:rowOff>60960</xdr:rowOff>
    </xdr:from>
    <xdr:to>
      <xdr:col>9</xdr:col>
      <xdr:colOff>99060</xdr:colOff>
      <xdr:row>6</xdr:row>
      <xdr:rowOff>30480</xdr:rowOff>
    </xdr:to>
    <xdr:grpSp>
      <xdr:nvGrpSpPr>
        <xdr:cNvPr id="14" name="Group 13">
          <a:extLst>
            <a:ext uri="{FF2B5EF4-FFF2-40B4-BE49-F238E27FC236}">
              <a16:creationId xmlns:a16="http://schemas.microsoft.com/office/drawing/2014/main" id="{B8FFF4AB-290A-4EAF-A969-DA656A9EE036}"/>
            </a:ext>
          </a:extLst>
        </xdr:cNvPr>
        <xdr:cNvGrpSpPr/>
      </xdr:nvGrpSpPr>
      <xdr:grpSpPr>
        <a:xfrm>
          <a:off x="3832860" y="609600"/>
          <a:ext cx="1752600" cy="518160"/>
          <a:chOff x="129540" y="769620"/>
          <a:chExt cx="2355909" cy="1048806"/>
        </a:xfrm>
        <a:solidFill>
          <a:srgbClr val="001B50"/>
        </a:solidFill>
      </xdr:grpSpPr>
      <xdr:sp macro="" textlink="Clean_Estimator_Team!Y5">
        <xdr:nvSpPr>
          <xdr:cNvPr id="15" name="Rectangle 14">
            <a:extLst>
              <a:ext uri="{FF2B5EF4-FFF2-40B4-BE49-F238E27FC236}">
                <a16:creationId xmlns:a16="http://schemas.microsoft.com/office/drawing/2014/main" id="{B0780D71-4151-0F03-F89F-5427062EF617}"/>
              </a:ext>
            </a:extLst>
          </xdr:cNvPr>
          <xdr:cNvSpPr/>
        </xdr:nvSpPr>
        <xdr:spPr>
          <a:xfrm>
            <a:off x="168969" y="797346"/>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3F04403-F33C-4C9A-BF65-CCCBE27A8382}"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227</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6" name="Rectangle: Rounded Corners 15">
            <a:extLst>
              <a:ext uri="{FF2B5EF4-FFF2-40B4-BE49-F238E27FC236}">
                <a16:creationId xmlns:a16="http://schemas.microsoft.com/office/drawing/2014/main" id="{CBF07A55-EA4A-153D-F273-3E12EF04447C}"/>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baseline="0">
                <a:solidFill>
                  <a:schemeClr val="bg1"/>
                </a:solidFill>
                <a:latin typeface="Times New Roman" panose="02020603050405020304" pitchFamily="18" charset="0"/>
                <a:cs typeface="Times New Roman" panose="02020603050405020304" pitchFamily="18" charset="0"/>
              </a:rPr>
              <a:t> Bids Won</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9</xdr:col>
      <xdr:colOff>259080</xdr:colOff>
      <xdr:row>3</xdr:row>
      <xdr:rowOff>45720</xdr:rowOff>
    </xdr:from>
    <xdr:to>
      <xdr:col>12</xdr:col>
      <xdr:colOff>260383</xdr:colOff>
      <xdr:row>6</xdr:row>
      <xdr:rowOff>45720</xdr:rowOff>
    </xdr:to>
    <xdr:grpSp>
      <xdr:nvGrpSpPr>
        <xdr:cNvPr id="17" name="Group 16">
          <a:extLst>
            <a:ext uri="{FF2B5EF4-FFF2-40B4-BE49-F238E27FC236}">
              <a16:creationId xmlns:a16="http://schemas.microsoft.com/office/drawing/2014/main" id="{A42AA1CF-D50F-423B-9552-A01339F6C2D8}"/>
            </a:ext>
          </a:extLst>
        </xdr:cNvPr>
        <xdr:cNvGrpSpPr/>
      </xdr:nvGrpSpPr>
      <xdr:grpSpPr>
        <a:xfrm>
          <a:off x="5745480" y="594360"/>
          <a:ext cx="1830103" cy="548640"/>
          <a:chOff x="101963" y="769620"/>
          <a:chExt cx="2336437" cy="1078311"/>
        </a:xfrm>
        <a:solidFill>
          <a:srgbClr val="001B50"/>
        </a:solidFill>
      </xdr:grpSpPr>
      <xdr:sp macro="" textlink="Clean_Estimator_Team!Y6">
        <xdr:nvSpPr>
          <xdr:cNvPr id="18" name="Rectangle 17">
            <a:extLst>
              <a:ext uri="{FF2B5EF4-FFF2-40B4-BE49-F238E27FC236}">
                <a16:creationId xmlns:a16="http://schemas.microsoft.com/office/drawing/2014/main" id="{67F3C5DF-8C51-01F0-9694-30BF138F037D}"/>
              </a:ext>
            </a:extLst>
          </xdr:cNvPr>
          <xdr:cNvSpPr/>
        </xdr:nvSpPr>
        <xdr:spPr>
          <a:xfrm>
            <a:off x="101963" y="826851"/>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C8A592E-BFA1-42E4-BE00-B2915C151A7A}"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246.8M</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9" name="Rectangle: Rounded Corners 18">
            <a:extLst>
              <a:ext uri="{FF2B5EF4-FFF2-40B4-BE49-F238E27FC236}">
                <a16:creationId xmlns:a16="http://schemas.microsoft.com/office/drawing/2014/main" id="{3D3D8FBC-A151-F872-26D7-9B6811AD1CA6}"/>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Total</a:t>
            </a:r>
            <a:r>
              <a:rPr lang="en-IN" sz="1600" b="1" baseline="0">
                <a:solidFill>
                  <a:schemeClr val="bg1"/>
                </a:solidFill>
                <a:latin typeface="Times New Roman" panose="02020603050405020304" pitchFamily="18" charset="0"/>
                <a:cs typeface="Times New Roman" panose="02020603050405020304" pitchFamily="18" charset="0"/>
              </a:rPr>
              <a:t> Target</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259080</xdr:colOff>
      <xdr:row>3</xdr:row>
      <xdr:rowOff>53340</xdr:rowOff>
    </xdr:from>
    <xdr:to>
      <xdr:col>15</xdr:col>
      <xdr:colOff>419100</xdr:colOff>
      <xdr:row>6</xdr:row>
      <xdr:rowOff>38100</xdr:rowOff>
    </xdr:to>
    <xdr:grpSp>
      <xdr:nvGrpSpPr>
        <xdr:cNvPr id="20" name="Group 19">
          <a:extLst>
            <a:ext uri="{FF2B5EF4-FFF2-40B4-BE49-F238E27FC236}">
              <a16:creationId xmlns:a16="http://schemas.microsoft.com/office/drawing/2014/main" id="{947484FC-89B9-4C34-BD54-FB24626D1F24}"/>
            </a:ext>
          </a:extLst>
        </xdr:cNvPr>
        <xdr:cNvGrpSpPr/>
      </xdr:nvGrpSpPr>
      <xdr:grpSpPr>
        <a:xfrm>
          <a:off x="7574280" y="601980"/>
          <a:ext cx="1988820" cy="533400"/>
          <a:chOff x="129540" y="769620"/>
          <a:chExt cx="2447778" cy="1063776"/>
        </a:xfrm>
        <a:solidFill>
          <a:srgbClr val="001B50"/>
        </a:solidFill>
      </xdr:grpSpPr>
      <xdr:sp macro="" textlink="Clean_Estimator_Team!Y7">
        <xdr:nvSpPr>
          <xdr:cNvPr id="21" name="Rectangle 20">
            <a:extLst>
              <a:ext uri="{FF2B5EF4-FFF2-40B4-BE49-F238E27FC236}">
                <a16:creationId xmlns:a16="http://schemas.microsoft.com/office/drawing/2014/main" id="{F1BC2A46-D37B-7849-1485-ABDDAD4EF6DD}"/>
              </a:ext>
            </a:extLst>
          </xdr:cNvPr>
          <xdr:cNvSpPr/>
        </xdr:nvSpPr>
        <xdr:spPr>
          <a:xfrm>
            <a:off x="260838" y="812315"/>
            <a:ext cx="2316480" cy="1021081"/>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7CEB756-694D-407A-8187-9B4D4BD181E1}"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72%</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22" name="Rectangle: Rounded Corners 21">
            <a:extLst>
              <a:ext uri="{FF2B5EF4-FFF2-40B4-BE49-F238E27FC236}">
                <a16:creationId xmlns:a16="http://schemas.microsoft.com/office/drawing/2014/main" id="{106D3413-51AF-29B0-B751-56398236C244}"/>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baseline="0">
                <a:solidFill>
                  <a:schemeClr val="bg1"/>
                </a:solidFill>
                <a:latin typeface="Times New Roman" panose="02020603050405020304" pitchFamily="18" charset="0"/>
                <a:cs typeface="Times New Roman" panose="02020603050405020304" pitchFamily="18" charset="0"/>
              </a:rPr>
              <a:t> Win Rate</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198120</xdr:colOff>
      <xdr:row>3</xdr:row>
      <xdr:rowOff>53340</xdr:rowOff>
    </xdr:from>
    <xdr:to>
      <xdr:col>21</xdr:col>
      <xdr:colOff>1112520</xdr:colOff>
      <xdr:row>6</xdr:row>
      <xdr:rowOff>30480</xdr:rowOff>
    </xdr:to>
    <xdr:grpSp>
      <xdr:nvGrpSpPr>
        <xdr:cNvPr id="23" name="Group 22">
          <a:extLst>
            <a:ext uri="{FF2B5EF4-FFF2-40B4-BE49-F238E27FC236}">
              <a16:creationId xmlns:a16="http://schemas.microsoft.com/office/drawing/2014/main" id="{CCB9FE81-0B11-4998-BB57-BAEA2CD7DDDB}"/>
            </a:ext>
          </a:extLst>
        </xdr:cNvPr>
        <xdr:cNvGrpSpPr/>
      </xdr:nvGrpSpPr>
      <xdr:grpSpPr>
        <a:xfrm>
          <a:off x="12047220" y="601980"/>
          <a:ext cx="2400300" cy="525780"/>
          <a:chOff x="129540" y="769620"/>
          <a:chExt cx="2316480" cy="1033382"/>
        </a:xfrm>
        <a:solidFill>
          <a:srgbClr val="001B50"/>
        </a:solidFill>
      </xdr:grpSpPr>
      <xdr:sp macro="" textlink="Clean_Estimator_Team!Y9">
        <xdr:nvSpPr>
          <xdr:cNvPr id="24" name="Rectangle 23">
            <a:extLst>
              <a:ext uri="{FF2B5EF4-FFF2-40B4-BE49-F238E27FC236}">
                <a16:creationId xmlns:a16="http://schemas.microsoft.com/office/drawing/2014/main" id="{211728D0-3E0D-9FD3-FE18-4FFE796058F5}"/>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424CC0C-E8B4-47F8-8F7A-49F0F7A615ED}"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31%</a:t>
            </a:fld>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25" name="Rectangle: Rounded Corners 24">
            <a:extLst>
              <a:ext uri="{FF2B5EF4-FFF2-40B4-BE49-F238E27FC236}">
                <a16:creationId xmlns:a16="http://schemas.microsoft.com/office/drawing/2014/main" id="{590F7EAF-2968-0D38-5514-0B0527CDFAC4}"/>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baseline="0">
                <a:solidFill>
                  <a:schemeClr val="bg1"/>
                </a:solidFill>
                <a:latin typeface="Times New Roman" panose="02020603050405020304" pitchFamily="18" charset="0"/>
                <a:cs typeface="Times New Roman" panose="02020603050405020304" pitchFamily="18" charset="0"/>
              </a:rPr>
              <a:t> Target Achievement</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15</xdr:col>
      <xdr:colOff>563880</xdr:colOff>
      <xdr:row>3</xdr:row>
      <xdr:rowOff>68580</xdr:rowOff>
    </xdr:from>
    <xdr:to>
      <xdr:col>19</xdr:col>
      <xdr:colOff>45720</xdr:colOff>
      <xdr:row>6</xdr:row>
      <xdr:rowOff>45720</xdr:rowOff>
    </xdr:to>
    <xdr:grpSp>
      <xdr:nvGrpSpPr>
        <xdr:cNvPr id="26" name="Group 25">
          <a:extLst>
            <a:ext uri="{FF2B5EF4-FFF2-40B4-BE49-F238E27FC236}">
              <a16:creationId xmlns:a16="http://schemas.microsoft.com/office/drawing/2014/main" id="{BE4B088B-8DF7-4406-8D89-F0ABE4939BED}"/>
            </a:ext>
          </a:extLst>
        </xdr:cNvPr>
        <xdr:cNvGrpSpPr/>
      </xdr:nvGrpSpPr>
      <xdr:grpSpPr>
        <a:xfrm>
          <a:off x="9707880" y="617220"/>
          <a:ext cx="2186940" cy="525780"/>
          <a:chOff x="129540" y="769620"/>
          <a:chExt cx="2316480" cy="1033382"/>
        </a:xfrm>
        <a:solidFill>
          <a:srgbClr val="001B50"/>
        </a:solidFill>
      </xdr:grpSpPr>
      <xdr:sp macro="" textlink="Clean_Estimator_Team!Y8">
        <xdr:nvSpPr>
          <xdr:cNvPr id="27" name="Rectangle 26">
            <a:extLst>
              <a:ext uri="{FF2B5EF4-FFF2-40B4-BE49-F238E27FC236}">
                <a16:creationId xmlns:a16="http://schemas.microsoft.com/office/drawing/2014/main" id="{356F667F-879E-2DDB-0962-41B934974F13}"/>
              </a:ext>
            </a:extLst>
          </xdr:cNvPr>
          <xdr:cNvSpPr/>
        </xdr:nvSpPr>
        <xdr:spPr>
          <a:xfrm>
            <a:off x="129540" y="781922"/>
            <a:ext cx="2316480" cy="1021080"/>
          </a:xfrm>
          <a:prstGeom prst="roundRect">
            <a:avLst/>
          </a:prstGeom>
          <a:grpFill/>
          <a:ln>
            <a:noFill/>
          </a:ln>
          <a:scene3d>
            <a:camera prst="orthographicFront"/>
            <a:lightRig rig="threePt" dir="t"/>
          </a:scene3d>
          <a:sp3d/>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E62ED5B-2DE3-4A1D-8FA4-77E0A03D30AC}"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361.47M</a:t>
            </a:fld>
            <a:endParaRPr lang="en-IN" sz="1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sp macro="" textlink="">
        <xdr:nvSpPr>
          <xdr:cNvPr id="28" name="Rectangle: Rounded Corners 27">
            <a:extLst>
              <a:ext uri="{FF2B5EF4-FFF2-40B4-BE49-F238E27FC236}">
                <a16:creationId xmlns:a16="http://schemas.microsoft.com/office/drawing/2014/main" id="{464B5046-9E4C-C903-907A-CCDC078D6224}"/>
              </a:ext>
            </a:extLst>
          </xdr:cNvPr>
          <xdr:cNvSpPr/>
        </xdr:nvSpPr>
        <xdr:spPr>
          <a:xfrm>
            <a:off x="129540" y="769620"/>
            <a:ext cx="23088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600" b="1" baseline="0">
                <a:solidFill>
                  <a:schemeClr val="bg1"/>
                </a:solidFill>
                <a:latin typeface="Times New Roman" panose="02020603050405020304" pitchFamily="18" charset="0"/>
                <a:cs typeface="Times New Roman" panose="02020603050405020304" pitchFamily="18" charset="0"/>
              </a:rPr>
              <a:t> Total Achievement</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7</xdr:col>
      <xdr:colOff>601980</xdr:colOff>
      <xdr:row>6</xdr:row>
      <xdr:rowOff>68580</xdr:rowOff>
    </xdr:from>
    <xdr:to>
      <xdr:col>13</xdr:col>
      <xdr:colOff>350520</xdr:colOff>
      <xdr:row>22</xdr:row>
      <xdr:rowOff>53340</xdr:rowOff>
    </xdr:to>
    <xdr:graphicFrame macro="">
      <xdr:nvGraphicFramePr>
        <xdr:cNvPr id="29" name="Chart 28">
          <a:extLst>
            <a:ext uri="{FF2B5EF4-FFF2-40B4-BE49-F238E27FC236}">
              <a16:creationId xmlns:a16="http://schemas.microsoft.com/office/drawing/2014/main" id="{DB49B37C-5506-41DF-96B6-908422A52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525780</xdr:colOff>
      <xdr:row>22</xdr:row>
      <xdr:rowOff>91440</xdr:rowOff>
    </xdr:from>
    <xdr:to>
      <xdr:col>8</xdr:col>
      <xdr:colOff>548640</xdr:colOff>
      <xdr:row>39</xdr:row>
      <xdr:rowOff>129540</xdr:rowOff>
    </xdr:to>
    <xdr:graphicFrame macro="">
      <xdr:nvGraphicFramePr>
        <xdr:cNvPr id="30" name="Chart 29">
          <a:extLst>
            <a:ext uri="{FF2B5EF4-FFF2-40B4-BE49-F238E27FC236}">
              <a16:creationId xmlns:a16="http://schemas.microsoft.com/office/drawing/2014/main" id="{D4FA2117-ABFA-4CBC-9EB2-C5F56FC68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0</xdr:colOff>
      <xdr:row>6</xdr:row>
      <xdr:rowOff>60961</xdr:rowOff>
    </xdr:from>
    <xdr:to>
      <xdr:col>2</xdr:col>
      <xdr:colOff>472440</xdr:colOff>
      <xdr:row>15</xdr:row>
      <xdr:rowOff>114301</xdr:rowOff>
    </xdr:to>
    <mc:AlternateContent xmlns:mc="http://schemas.openxmlformats.org/markup-compatibility/2006" xmlns:sle15="http://schemas.microsoft.com/office/drawing/2012/slicer">
      <mc:Choice Requires="sle15">
        <xdr:graphicFrame macro="">
          <xdr:nvGraphicFramePr>
            <xdr:cNvPr id="32" name="Region 1">
              <a:extLst>
                <a:ext uri="{FF2B5EF4-FFF2-40B4-BE49-F238E27FC236}">
                  <a16:creationId xmlns:a16="http://schemas.microsoft.com/office/drawing/2014/main" id="{EDD945E7-940B-49A9-8CAD-E26EDB214D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58241"/>
              <a:ext cx="1691640" cy="16992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160020</xdr:rowOff>
    </xdr:from>
    <xdr:to>
      <xdr:col>2</xdr:col>
      <xdr:colOff>464820</xdr:colOff>
      <xdr:row>22</xdr:row>
      <xdr:rowOff>68580</xdr:rowOff>
    </xdr:to>
    <mc:AlternateContent xmlns:mc="http://schemas.openxmlformats.org/markup-compatibility/2006" xmlns:sle15="http://schemas.microsoft.com/office/drawing/2012/slicer">
      <mc:Choice Requires="sle15">
        <xdr:graphicFrame macro="">
          <xdr:nvGraphicFramePr>
            <xdr:cNvPr id="33" name="Designation 1">
              <a:extLst>
                <a:ext uri="{FF2B5EF4-FFF2-40B4-BE49-F238E27FC236}">
                  <a16:creationId xmlns:a16="http://schemas.microsoft.com/office/drawing/2014/main" id="{3046D272-A287-401F-8BBA-405DAF2A6281}"/>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mlns="">
        <xdr:sp macro="" textlink="">
          <xdr:nvSpPr>
            <xdr:cNvPr id="0" name=""/>
            <xdr:cNvSpPr>
              <a:spLocks noTextEdit="1"/>
            </xdr:cNvSpPr>
          </xdr:nvSpPr>
          <xdr:spPr>
            <a:xfrm>
              <a:off x="0" y="2903220"/>
              <a:ext cx="1684020" cy="11887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22</xdr:row>
      <xdr:rowOff>106680</xdr:rowOff>
    </xdr:from>
    <xdr:to>
      <xdr:col>2</xdr:col>
      <xdr:colOff>472440</xdr:colOff>
      <xdr:row>39</xdr:row>
      <xdr:rowOff>129540</xdr:rowOff>
    </xdr:to>
    <mc:AlternateContent xmlns:mc="http://schemas.openxmlformats.org/markup-compatibility/2006" xmlns:sle15="http://schemas.microsoft.com/office/drawing/2012/slicer">
      <mc:Choice Requires="sle15">
        <xdr:graphicFrame macro="">
          <xdr:nvGraphicFramePr>
            <xdr:cNvPr id="34" name="EstimatorName 3">
              <a:extLst>
                <a:ext uri="{FF2B5EF4-FFF2-40B4-BE49-F238E27FC236}">
                  <a16:creationId xmlns:a16="http://schemas.microsoft.com/office/drawing/2014/main" id="{EE96FC5A-52BB-4DD4-9673-38F3190DF6F3}"/>
                </a:ext>
              </a:extLst>
            </xdr:cNvPr>
            <xdr:cNvGraphicFramePr/>
          </xdr:nvGraphicFramePr>
          <xdr:xfrm>
            <a:off x="0" y="0"/>
            <a:ext cx="0" cy="0"/>
          </xdr:xfrm>
          <a:graphic>
            <a:graphicData uri="http://schemas.microsoft.com/office/drawing/2010/slicer">
              <sle:slicer xmlns:sle="http://schemas.microsoft.com/office/drawing/2010/slicer" name="EstimatorName 3"/>
            </a:graphicData>
          </a:graphic>
        </xdr:graphicFrame>
      </mc:Choice>
      <mc:Fallback xmlns="">
        <xdr:sp macro="" textlink="">
          <xdr:nvSpPr>
            <xdr:cNvPr id="0" name=""/>
            <xdr:cNvSpPr>
              <a:spLocks noTextEdit="1"/>
            </xdr:cNvSpPr>
          </xdr:nvSpPr>
          <xdr:spPr>
            <a:xfrm>
              <a:off x="0" y="4373880"/>
              <a:ext cx="1691640" cy="31089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0</xdr:row>
      <xdr:rowOff>0</xdr:rowOff>
    </xdr:from>
    <xdr:to>
      <xdr:col>1</xdr:col>
      <xdr:colOff>129540</xdr:colOff>
      <xdr:row>2</xdr:row>
      <xdr:rowOff>160020</xdr:rowOff>
    </xdr:to>
    <xdr:pic>
      <xdr:nvPicPr>
        <xdr:cNvPr id="36" name="Graphic 35" descr="Chevron arrows with solid fill">
          <a:hlinkClick xmlns:r="http://schemas.openxmlformats.org/officeDocument/2006/relationships" r:id="rId8"/>
          <a:extLst>
            <a:ext uri="{FF2B5EF4-FFF2-40B4-BE49-F238E27FC236}">
              <a16:creationId xmlns:a16="http://schemas.microsoft.com/office/drawing/2014/main" id="{1F260D34-C345-4CDD-8398-AB5A9BE357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0"/>
          <a:ext cx="739140" cy="525780"/>
        </a:xfrm>
        <a:prstGeom prst="rect">
          <a:avLst/>
        </a:prstGeom>
      </xdr:spPr>
    </xdr:pic>
    <xdr:clientData/>
  </xdr:twoCellAnchor>
  <xdr:twoCellAnchor editAs="oneCell">
    <xdr:from>
      <xdr:col>21</xdr:col>
      <xdr:colOff>259080</xdr:colOff>
      <xdr:row>0</xdr:row>
      <xdr:rowOff>0</xdr:rowOff>
    </xdr:from>
    <xdr:to>
      <xdr:col>21</xdr:col>
      <xdr:colOff>1059180</xdr:colOff>
      <xdr:row>3</xdr:row>
      <xdr:rowOff>38100</xdr:rowOff>
    </xdr:to>
    <xdr:pic>
      <xdr:nvPicPr>
        <xdr:cNvPr id="40" name="Graphic 39" descr="Chevron arrows with solid fill">
          <a:hlinkClick xmlns:r="http://schemas.openxmlformats.org/officeDocument/2006/relationships" r:id="rId11"/>
          <a:extLst>
            <a:ext uri="{FF2B5EF4-FFF2-40B4-BE49-F238E27FC236}">
              <a16:creationId xmlns:a16="http://schemas.microsoft.com/office/drawing/2014/main" id="{044A26BB-D409-491D-83DE-578F4EEF12E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594080" y="0"/>
          <a:ext cx="800100" cy="586740"/>
        </a:xfrm>
        <a:prstGeom prst="rect">
          <a:avLst/>
        </a:prstGeom>
      </xdr:spPr>
    </xdr:pic>
    <xdr:clientData/>
  </xdr:twoCellAnchor>
  <xdr:twoCellAnchor editAs="oneCell">
    <xdr:from>
      <xdr:col>16</xdr:col>
      <xdr:colOff>60960</xdr:colOff>
      <xdr:row>22</xdr:row>
      <xdr:rowOff>76200</xdr:rowOff>
    </xdr:from>
    <xdr:to>
      <xdr:col>21</xdr:col>
      <xdr:colOff>1112520</xdr:colOff>
      <xdr:row>39</xdr:row>
      <xdr:rowOff>137160</xdr:rowOff>
    </xdr:to>
    <xdr:pic>
      <xdr:nvPicPr>
        <xdr:cNvPr id="46" name="Picture 45">
          <a:extLst>
            <a:ext uri="{FF2B5EF4-FFF2-40B4-BE49-F238E27FC236}">
              <a16:creationId xmlns:a16="http://schemas.microsoft.com/office/drawing/2014/main" id="{AE17CC9D-BF4B-6955-F021-F92C1B9DFDF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814560" y="4099560"/>
          <a:ext cx="4632960" cy="3169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464820</xdr:colOff>
      <xdr:row>3</xdr:row>
      <xdr:rowOff>60960</xdr:rowOff>
    </xdr:to>
    <xdr:sp macro="" textlink="">
      <xdr:nvSpPr>
        <xdr:cNvPr id="2" name="Rectangle: Rounded Corners 1">
          <a:extLst>
            <a:ext uri="{FF2B5EF4-FFF2-40B4-BE49-F238E27FC236}">
              <a16:creationId xmlns:a16="http://schemas.microsoft.com/office/drawing/2014/main" id="{0BB6157B-5C8C-4B09-A968-3154BDF72EE0}"/>
            </a:ext>
          </a:extLst>
        </xdr:cNvPr>
        <xdr:cNvSpPr/>
      </xdr:nvSpPr>
      <xdr:spPr>
        <a:xfrm>
          <a:off x="0" y="0"/>
          <a:ext cx="14485620" cy="609600"/>
        </a:xfrm>
        <a:prstGeom prst="roundRect">
          <a:avLst/>
        </a:prstGeom>
        <a:solidFill>
          <a:srgbClr val="001B50"/>
        </a:solidFill>
        <a:ln>
          <a:solidFill>
            <a:schemeClr val="bg1">
              <a:lumMod val="95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Report</a:t>
          </a:r>
        </a:p>
      </xdr:txBody>
    </xdr:sp>
    <xdr:clientData/>
  </xdr:twoCellAnchor>
  <xdr:twoCellAnchor editAs="oneCell">
    <xdr:from>
      <xdr:col>0</xdr:col>
      <xdr:colOff>0</xdr:colOff>
      <xdr:row>0</xdr:row>
      <xdr:rowOff>0</xdr:rowOff>
    </xdr:from>
    <xdr:to>
      <xdr:col>1</xdr:col>
      <xdr:colOff>129540</xdr:colOff>
      <xdr:row>3</xdr:row>
      <xdr:rowOff>60960</xdr:rowOff>
    </xdr:to>
    <xdr:pic>
      <xdr:nvPicPr>
        <xdr:cNvPr id="15" name="Graphic 14" descr="Chevron arrows with solid fill">
          <a:hlinkClick xmlns:r="http://schemas.openxmlformats.org/officeDocument/2006/relationships" r:id="rId1"/>
          <a:extLst>
            <a:ext uri="{FF2B5EF4-FFF2-40B4-BE49-F238E27FC236}">
              <a16:creationId xmlns:a16="http://schemas.microsoft.com/office/drawing/2014/main" id="{BDA6378D-89BD-421B-88BB-83BB7661CBF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739140" cy="609600"/>
        </a:xfrm>
        <a:prstGeom prst="rect">
          <a:avLst/>
        </a:prstGeom>
      </xdr:spPr>
    </xdr:pic>
    <xdr:clientData/>
  </xdr:twoCellAnchor>
  <xdr:twoCellAnchor>
    <xdr:from>
      <xdr:col>0</xdr:col>
      <xdr:colOff>83820</xdr:colOff>
      <xdr:row>4</xdr:row>
      <xdr:rowOff>53340</xdr:rowOff>
    </xdr:from>
    <xdr:to>
      <xdr:col>23</xdr:col>
      <xdr:colOff>449580</xdr:colOff>
      <xdr:row>39</xdr:row>
      <xdr:rowOff>129540</xdr:rowOff>
    </xdr:to>
    <xdr:sp macro="" textlink="">
      <xdr:nvSpPr>
        <xdr:cNvPr id="16" name="TextBox 15">
          <a:extLst>
            <a:ext uri="{FF2B5EF4-FFF2-40B4-BE49-F238E27FC236}">
              <a16:creationId xmlns:a16="http://schemas.microsoft.com/office/drawing/2014/main" id="{7D92FDB9-F1AD-C44E-7A05-DEEC4CC09E59}"/>
            </a:ext>
          </a:extLst>
        </xdr:cNvPr>
        <xdr:cNvSpPr txBox="1"/>
      </xdr:nvSpPr>
      <xdr:spPr>
        <a:xfrm>
          <a:off x="83820" y="784860"/>
          <a:ext cx="14386560" cy="6477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u="sng">
              <a:solidFill>
                <a:srgbClr val="001B50"/>
              </a:solidFill>
              <a:effectLst/>
              <a:latin typeface="Times New Roman" panose="02020603050405020304" pitchFamily="18" charset="0"/>
              <a:ea typeface="+mn-ea"/>
              <a:cs typeface="Times New Roman" panose="02020603050405020304" pitchFamily="18" charset="0"/>
            </a:rPr>
            <a:t>KEY INSIGHTS</a:t>
          </a:r>
        </a:p>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1. Contract Value: </a:t>
          </a:r>
          <a:r>
            <a:rPr lang="en-IN" sz="1400">
              <a:solidFill>
                <a:schemeClr val="dk1"/>
              </a:solidFill>
              <a:effectLst/>
              <a:latin typeface="Times New Roman" panose="02020603050405020304" pitchFamily="18" charset="0"/>
              <a:ea typeface="+mn-ea"/>
              <a:cs typeface="Times New Roman" panose="02020603050405020304" pitchFamily="18" charset="0"/>
            </a:rPr>
            <a:t>$14.65 billion in total contract value indicates strong overall sales volume.</a:t>
          </a:r>
        </a:p>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2. Average Project Size: </a:t>
          </a:r>
          <a:r>
            <a:rPr lang="en-IN" sz="1400">
              <a:solidFill>
                <a:schemeClr val="dk1"/>
              </a:solidFill>
              <a:effectLst/>
              <a:latin typeface="Times New Roman" panose="02020603050405020304" pitchFamily="18" charset="0"/>
              <a:ea typeface="+mn-ea"/>
              <a:cs typeface="Times New Roman" panose="02020603050405020304" pitchFamily="18" charset="0"/>
            </a:rPr>
            <a:t>Average contract value per project is approximately $287 million, reflecting large-scale, high-value construction work.</a:t>
          </a:r>
        </a:p>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3. Top Regions: </a:t>
          </a:r>
          <a:r>
            <a:rPr lang="en-IN" sz="1400">
              <a:solidFill>
                <a:schemeClr val="dk1"/>
              </a:solidFill>
              <a:effectLst/>
              <a:latin typeface="Times New Roman" panose="02020603050405020304" pitchFamily="18" charset="0"/>
              <a:ea typeface="+mn-ea"/>
              <a:cs typeface="Times New Roman" panose="02020603050405020304" pitchFamily="18" charset="0"/>
            </a:rPr>
            <a:t>GCC and Africa are driving almost all of the business, together contributing over 45% of total contract value.</a:t>
          </a:r>
        </a:p>
        <a:p>
          <a:r>
            <a:rPr lang="en-IN" sz="1400" b="1">
              <a:solidFill>
                <a:schemeClr val="dk1"/>
              </a:solidFill>
              <a:effectLst/>
              <a:latin typeface="Times New Roman" panose="02020603050405020304" pitchFamily="18" charset="0"/>
              <a:ea typeface="+mn-ea"/>
              <a:cs typeface="Times New Roman" panose="02020603050405020304" pitchFamily="18" charset="0"/>
            </a:rPr>
            <a:t>4. Profitability: </a:t>
          </a:r>
          <a:r>
            <a:rPr lang="en-IN" sz="1400">
              <a:solidFill>
                <a:schemeClr val="dk1"/>
              </a:solidFill>
              <a:effectLst/>
              <a:latin typeface="Times New Roman" panose="02020603050405020304" pitchFamily="18" charset="0"/>
              <a:ea typeface="+mn-ea"/>
              <a:cs typeface="Times New Roman" panose="02020603050405020304" pitchFamily="18" charset="0"/>
            </a:rPr>
            <a:t>Portfolio net profit is $354.5 million against a $2.97 billion budget, an estimated margin of approximately 11.9%.</a:t>
          </a:r>
        </a:p>
        <a:p>
          <a:r>
            <a:rPr lang="en-IN" sz="1400" b="1">
              <a:solidFill>
                <a:schemeClr val="dk1"/>
              </a:solidFill>
              <a:effectLst/>
              <a:latin typeface="Times New Roman" panose="02020603050405020304" pitchFamily="18" charset="0"/>
              <a:ea typeface="+mn-ea"/>
              <a:cs typeface="Times New Roman" panose="02020603050405020304" pitchFamily="18" charset="0"/>
            </a:rPr>
            <a:t>5. Collections: </a:t>
          </a:r>
          <a:r>
            <a:rPr lang="en-IN" sz="1400">
              <a:solidFill>
                <a:schemeClr val="dk1"/>
              </a:solidFill>
              <a:effectLst/>
              <a:latin typeface="Times New Roman" panose="02020603050405020304" pitchFamily="18" charset="0"/>
              <a:ea typeface="+mn-ea"/>
              <a:cs typeface="Times New Roman" panose="02020603050405020304" pitchFamily="18" charset="0"/>
            </a:rPr>
            <a:t>$2.07 billion remains outstanding (invoiced but uncollected), requiring active follow-up to improve cash flow.</a:t>
          </a:r>
        </a:p>
        <a:p>
          <a:r>
            <a:rPr lang="en-IN" sz="1400" b="1">
              <a:solidFill>
                <a:schemeClr val="dk1"/>
              </a:solidFill>
              <a:effectLst/>
              <a:latin typeface="Times New Roman" panose="02020603050405020304" pitchFamily="18" charset="0"/>
              <a:ea typeface="+mn-ea"/>
              <a:cs typeface="Times New Roman" panose="02020603050405020304" pitchFamily="18" charset="0"/>
            </a:rPr>
            <a:t>6. Regional Strength: </a:t>
          </a:r>
          <a:r>
            <a:rPr lang="en-IN" sz="1400">
              <a:solidFill>
                <a:schemeClr val="dk1"/>
              </a:solidFill>
              <a:effectLst/>
              <a:latin typeface="Times New Roman" panose="02020603050405020304" pitchFamily="18" charset="0"/>
              <a:ea typeface="+mn-ea"/>
              <a:cs typeface="Times New Roman" panose="02020603050405020304" pitchFamily="18" charset="0"/>
            </a:rPr>
            <a:t>GCC ($3.37 billion) and Africa ($3.23 billion) generate the highest contract values of all regions.</a:t>
          </a:r>
        </a:p>
        <a:p>
          <a:r>
            <a:rPr lang="en-IN" sz="1400" b="1">
              <a:solidFill>
                <a:schemeClr val="dk1"/>
              </a:solidFill>
              <a:effectLst/>
              <a:latin typeface="Times New Roman" panose="02020603050405020304" pitchFamily="18" charset="0"/>
              <a:ea typeface="+mn-ea"/>
              <a:cs typeface="Times New Roman" panose="02020603050405020304" pitchFamily="18" charset="0"/>
            </a:rPr>
            <a:t>7. Estimator: </a:t>
          </a:r>
          <a:r>
            <a:rPr lang="en-IN" sz="1400">
              <a:solidFill>
                <a:schemeClr val="dk1"/>
              </a:solidFill>
              <a:effectLst/>
              <a:latin typeface="Times New Roman" panose="02020603050405020304" pitchFamily="18" charset="0"/>
              <a:ea typeface="+mn-ea"/>
              <a:cs typeface="Times New Roman" panose="02020603050405020304" pitchFamily="18" charset="0"/>
            </a:rPr>
            <a:t>Fatima has the highest reported win rate at 73%, while Ali carries the largest bid volume but the lowest win rate at 24%.</a:t>
          </a:r>
        </a:p>
        <a:p>
          <a:r>
            <a:rPr lang="en-IN" sz="1400" b="1">
              <a:solidFill>
                <a:schemeClr val="dk1"/>
              </a:solidFill>
              <a:effectLst/>
              <a:latin typeface="Times New Roman" panose="02020603050405020304" pitchFamily="18" charset="0"/>
              <a:ea typeface="+mn-ea"/>
              <a:cs typeface="Times New Roman" panose="02020603050405020304" pitchFamily="18" charset="0"/>
            </a:rPr>
            <a:t>8. Cost Control: </a:t>
          </a:r>
          <a:r>
            <a:rPr lang="en-IN" sz="1400">
              <a:solidFill>
                <a:schemeClr val="dk1"/>
              </a:solidFill>
              <a:effectLst/>
              <a:latin typeface="Times New Roman" panose="02020603050405020304" pitchFamily="18" charset="0"/>
              <a:ea typeface="+mn-ea"/>
              <a:cs typeface="Times New Roman" panose="02020603050405020304" pitchFamily="18" charset="0"/>
            </a:rPr>
            <a:t>Six projects are running over budget, with Metro Line Extension, HQ Tower and Industrial Park showing the most significant overruns.</a:t>
          </a:r>
        </a:p>
        <a:p>
          <a:r>
            <a:rPr lang="en-IN" sz="1400" b="1">
              <a:solidFill>
                <a:schemeClr val="dk1"/>
              </a:solidFill>
              <a:effectLst/>
              <a:latin typeface="Times New Roman" panose="02020603050405020304" pitchFamily="18" charset="0"/>
              <a:ea typeface="+mn-ea"/>
              <a:cs typeface="Times New Roman" panose="02020603050405020304" pitchFamily="18" charset="0"/>
            </a:rPr>
            <a:t>9. Data Quality: </a:t>
          </a:r>
          <a:r>
            <a:rPr lang="en-IN" sz="1400">
              <a:solidFill>
                <a:schemeClr val="dk1"/>
              </a:solidFill>
              <a:effectLst/>
              <a:latin typeface="Times New Roman" panose="02020603050405020304" pitchFamily="18" charset="0"/>
              <a:ea typeface="+mn-ea"/>
              <a:cs typeface="Times New Roman" panose="02020603050405020304" pitchFamily="18" charset="0"/>
            </a:rPr>
            <a:t>Standardize dates, regions, project status, contract types, and missing values (Region 13.6% null, Client Tier 33% unclassified, Priority 43% unclassified) before final dashboard creation.</a:t>
          </a:r>
        </a:p>
        <a:p>
          <a:endParaRPr lang="en-IN" sz="1400">
            <a:latin typeface="Times New Roman" panose="02020603050405020304" pitchFamily="18" charset="0"/>
            <a:cs typeface="Times New Roman" panose="02020603050405020304" pitchFamily="18" charset="0"/>
          </a:endParaRPr>
        </a:p>
        <a:p>
          <a:r>
            <a:rPr lang="en-IN" sz="1600" b="1" u="sng">
              <a:solidFill>
                <a:srgbClr val="001B50"/>
              </a:solidFill>
              <a:effectLst/>
              <a:latin typeface="Times New Roman" panose="02020603050405020304" pitchFamily="18" charset="0"/>
              <a:ea typeface="+mn-ea"/>
              <a:cs typeface="Times New Roman" panose="02020603050405020304" pitchFamily="18" charset="0"/>
            </a:rPr>
            <a:t>CONCLUSION</a:t>
          </a:r>
        </a:p>
        <a:p>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IN" sz="1400">
              <a:solidFill>
                <a:schemeClr val="dk1"/>
              </a:solidFill>
              <a:effectLst/>
              <a:latin typeface="Times New Roman" panose="02020603050405020304" pitchFamily="18" charset="0"/>
              <a:ea typeface="+mn-ea"/>
              <a:cs typeface="Times New Roman" panose="02020603050405020304" pitchFamily="18" charset="0"/>
            </a:rPr>
            <a:t>The dataset shows a large and diverse construction sales portfolio, with strong contract value concentrated mainly in GCC and Africa. Overall estimated profitability is healthy at approximately 11.9%, but the gap between invoiced ($6.99 billion) and collected ($4.92 billion) value — $2.07 billion outstanding — indicates a significant cash-flow management opportunity.</a:t>
          </a:r>
        </a:p>
        <a:p>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IN" sz="1400">
              <a:solidFill>
                <a:schemeClr val="dk1"/>
              </a:solidFill>
              <a:effectLst/>
              <a:latin typeface="Times New Roman" panose="02020603050405020304" pitchFamily="18" charset="0"/>
              <a:ea typeface="+mn-ea"/>
              <a:cs typeface="Times New Roman" panose="02020603050405020304" pitchFamily="18" charset="0"/>
            </a:rPr>
            <a:t>Cost control is another important concern, since a small number of large projects — HQ Tower, Industrial Park and Metro Line Extension — are driving most of the portfolio's losses, even though overall spend looks favorable against budget at the portfolio level.</a:t>
          </a:r>
        </a:p>
        <a:p>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IN" sz="1400">
              <a:solidFill>
                <a:schemeClr val="dk1"/>
              </a:solidFill>
              <a:effectLst/>
              <a:latin typeface="Times New Roman" panose="02020603050405020304" pitchFamily="18" charset="0"/>
              <a:ea typeface="+mn-ea"/>
              <a:cs typeface="Times New Roman" panose="02020603050405020304" pitchFamily="18" charset="0"/>
            </a:rPr>
            <a:t>Overall, the analysis shows strong sales and project activity, with GCC and Africa as the leading regions and Real Estate and Energy as the leading client industries. The company has a large tender ($16.41 billion) and contract value ($14.65 billion), but there is a gap between the two due to factors such as discounts and negotiations. Around 70% of invoiced value has been collected, leaving $2.07 billion outstanding. Estimator and project performance also varies significantly, with Fatima leading on win rate and Ali representing the clearest coaching opportunity given bid volume.</a:t>
          </a:r>
        </a:p>
        <a:p>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03819447" createdVersion="5" refreshedVersion="8" minRefreshableVersion="3" recordCount="0" supportSubquery="1" supportAdvancedDrill="1" xr:uid="{C870253F-20B3-4096-8D4E-E2E92D247D52}">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Client_Master].[ClientRating].[ClientRating]" caption="ClientRating" numFmtId="0" hierarchy="10" level="1">
      <sharedItems count="5">
        <s v="A"/>
        <s v="AA"/>
        <s v="B"/>
        <s v="C"/>
        <s v="Unknown"/>
      </sharedItems>
    </cacheField>
    <cacheField name="[Measures].[Sum of TotalContractValue]" caption="Sum of TotalContractValue" numFmtId="0" hierarchy="169"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2" memberValueDatatype="130" unbalanced="0">
      <fieldsUsage count="2">
        <fieldUsage x="-1"/>
        <fieldUsage x="1"/>
      </fieldsUsage>
    </cacheHierarchy>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04976855" createdVersion="5" refreshedVersion="8" minRefreshableVersion="3" recordCount="0" supportSubquery="1" supportAdvancedDrill="1" xr:uid="{B645A841-F611-4AB7-8479-31B529CB76E5}">
  <cacheSource type="external" connectionId="6"/>
  <cacheFields count="2">
    <cacheField name="[Client_Master].[ClientName].[ClientName]" caption="ClientName" numFmtId="0" level="1">
      <sharedItems count="15">
        <s v="ABB Group"/>
        <s v="ADNOC"/>
        <s v="Aramco"/>
        <s v="Bechtel"/>
        <s v="China State"/>
        <s v="ClientX"/>
        <s v="Fluor"/>
        <s v="GE Infrastructure"/>
        <s v="L&amp;T"/>
        <s v="Larsen"/>
        <s v="NEOM"/>
        <s v="QatarEnergy"/>
        <s v="Samsung C&amp;T"/>
        <s v="Siemens"/>
        <s v="Vinci Construction"/>
      </sharedItems>
    </cacheField>
    <cacheField name="[Measures].[Sum of TotalContractValue]" caption="Sum of TotalContractValue" numFmtId="0" hierarchy="169"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07523149" createdVersion="5" refreshedVersion="8" minRefreshableVersion="3" recordCount="0" supportSubquery="1" supportAdvancedDrill="1" xr:uid="{4661CCAF-5A75-4CCA-8DB4-11F314D31F87}">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Client_Master].[Country].[Country]" caption="Country" numFmtId="0" hierarchy="3" level="1">
      <sharedItems count="4">
        <s v="Germany"/>
        <s v="Saudi Arabia"/>
        <s v="UAE"/>
        <s v="USA"/>
      </sharedItems>
    </cacheField>
    <cacheField name="[Measures].[Sum of TotalContractValue]" caption="Sum of TotalContractValue" numFmtId="0" hierarchy="169"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2" memberValueDatatype="130" unbalanced="0">
      <fieldsUsage count="2">
        <fieldUsage x="-1"/>
        <fieldUsage x="1"/>
      </fieldsUsage>
    </cacheHierarchy>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08912035" createdVersion="5" refreshedVersion="8" minRefreshableVersion="3" recordCount="0" supportSubquery="1" supportAdvancedDrill="1" xr:uid="{DFA22525-FB38-424F-AD21-12F26C213144}">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Client_Master].[Region].[Region]" caption="Region" numFmtId="0" hierarchy="4" level="1">
      <sharedItems count="5">
        <s v="Africa"/>
        <s v="Americas"/>
        <s v="Europe"/>
        <s v="GCC"/>
        <s v="Middle East"/>
      </sharedItems>
    </cacheField>
    <cacheField name="[Measures].[Sum of TotalContractValue]" caption="Sum of TotalContractValue" numFmtId="0" hierarchy="169"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1"/>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10185182" createdVersion="5" refreshedVersion="8" minRefreshableVersion="3" recordCount="0" supportSubquery="1" supportAdvancedDrill="1" xr:uid="{30EB7658-47DA-4B86-9CDE-83B80A6F9025}">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Client_Master].[Industry].[Industry]" caption="Industry" numFmtId="0" hierarchy="2" level="1">
      <sharedItems count="4">
        <s v="Energy"/>
        <s v="Infrastructure"/>
        <s v="Oil &amp; Gas"/>
        <s v="Real Estate"/>
      </sharedItems>
    </cacheField>
    <cacheField name="[Measures].[Sum of TotalContractValue]" caption="Sum of TotalContractValue" numFmtId="0" hierarchy="169"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2" memberValueDatatype="130" unbalanced="0">
      <fieldsUsage count="2">
        <fieldUsage x="-1"/>
        <fieldUsage x="1"/>
      </fieldsUsage>
    </cacheHierarchy>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11458336" createdVersion="5" refreshedVersion="8" minRefreshableVersion="3" recordCount="0" supportSubquery="1" supportAdvancedDrill="1" xr:uid="{0EDE9078-068F-4F61-ABC9-8B2ECA13DD94}">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Client_Master].[PaymentTerms].[PaymentTerms]" caption="PaymentTerms" numFmtId="0" hierarchy="9" level="1">
      <sharedItems containsSemiMixedTypes="0" containsString="0" containsNumber="1" containsInteger="1" minValue="30" maxValue="90" count="4">
        <n v="30"/>
        <n v="45"/>
        <n v="60"/>
        <n v="90"/>
      </sharedItems>
      <extLst>
        <ext xmlns:x15="http://schemas.microsoft.com/office/spreadsheetml/2010/11/main" uri="{4F2E5C28-24EA-4eb8-9CBF-B6C8F9C3D259}">
          <x15:cachedUniqueNames>
            <x15:cachedUniqueName index="0" name="[Client_Master].[PaymentTerms].&amp;[30]"/>
            <x15:cachedUniqueName index="1" name="[Client_Master].[PaymentTerms].&amp;[45]"/>
            <x15:cachedUniqueName index="2" name="[Client_Master].[PaymentTerms].&amp;[60]"/>
            <x15:cachedUniqueName index="3" name="[Client_Master].[PaymentTerms].&amp;[90]"/>
          </x15:cachedUniqueNames>
        </ext>
      </extLst>
    </cacheField>
    <cacheField name="[Measures].[Sum of OutstandingBalance]" caption="Sum of OutstandingBalance" numFmtId="0" hierarchy="175"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2" memberValueDatatype="20" unbalanced="0">
      <fieldsUsage count="2">
        <fieldUsage x="-1"/>
        <fieldUsage x="1"/>
      </fieldsUsage>
    </cacheHierarchy>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17939818" createdVersion="5" refreshedVersion="8" minRefreshableVersion="3" recordCount="0" supportSubquery="1" supportAdvancedDrill="1" xr:uid="{69B02E67-1F08-49B7-B7C7-2860D8AB8B13}">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Estimator_Team].[JoiningDate (Quarter)].[JoiningDate (Quarter)]" caption="JoiningDate (Quarter)" numFmtId="0" hierarchy="36" level="1">
      <sharedItems count="4">
        <s v="Qtr1"/>
        <s v="Qtr2"/>
        <s v="Qtr3"/>
        <s v="Qtr4"/>
      </sharedItems>
    </cacheField>
    <cacheField name="[Measures].[Sum of Total Achievements]" caption="Sum of Total Achievements" numFmtId="0" hierarchy="210"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2" memberValueDatatype="130" unbalanced="0">
      <fieldsUsage count="2">
        <fieldUsage x="-1"/>
        <fieldUsage x="1"/>
      </fieldsUsage>
    </cacheHierarchy>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19444442" createdVersion="5" refreshedVersion="8" minRefreshableVersion="3" recordCount="0" supportSubquery="1" supportAdvancedDrill="1" xr:uid="{840CD8F8-F3E1-49E9-ACA8-4B57AE69FC26}">
  <cacheSource type="external" connectionId="6"/>
  <cacheFields count="5">
    <cacheField name="[Client_Master].[ClientName].[ClientName]" caption="ClientName" numFmtId="0" level="1">
      <sharedItems count="10">
        <s v="ABB Group"/>
        <s v="ADNOC"/>
        <s v="Aramco"/>
        <s v="Fluor"/>
        <s v="GE Infrastructure"/>
        <s v="L&amp;T"/>
        <s v="NEOM"/>
        <s v="QatarEnergy"/>
        <s v="Samsung C&amp;T"/>
        <s v="Siemens"/>
      </sharedItems>
    </cacheField>
    <cacheField name="[Estimator_Team].[EstimatorName].[EstimatorName]" caption="EstimatorName" numFmtId="0" hierarchy="16" level="1">
      <sharedItems count="10">
        <s v="Ali"/>
        <s v="Carlos"/>
        <s v="Fatima"/>
        <s v="Hana"/>
        <s v="James"/>
        <s v="John"/>
        <s v="Mohamed"/>
        <s v="Priya"/>
        <s v="Sarah"/>
        <s v="Wei"/>
      </sharedItems>
    </cacheField>
    <cacheField name="[Measures].[Sum of WinRate]" caption="Sum of WinRate" numFmtId="0" hierarchy="204" level="32767"/>
    <cacheField name="[Measures].[Sum of BidsWon]" caption="Sum of BidsWon" numFmtId="0" hierarchy="206" level="32767"/>
    <cacheField name="[Measures].[Sum of TotalBids]" caption="Sum of TotalBids" numFmtId="0" hierarchy="208"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2" memberValueDatatype="130" unbalanced="0">
      <fieldsUsage count="2">
        <fieldUsage x="-1"/>
        <fieldUsage x="1"/>
      </fieldsUsage>
    </cacheHierarchy>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oneField="1" hidden="1">
      <fieldsUsage count="1">
        <fieldUsage x="4"/>
      </fieldsUsage>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2060185" createdVersion="5" refreshedVersion="8" minRefreshableVersion="3" recordCount="0" supportSubquery="1" supportAdvancedDrill="1" xr:uid="{DCBDF391-80F2-4D57-80DF-D2073A43E44A}">
  <cacheSource type="external" connectionId="6"/>
  <cacheFields count="4">
    <cacheField name="[Client_Master].[ClientName].[ClientName]" caption="ClientName" numFmtId="0" level="1">
      <sharedItems count="10">
        <s v="ABB Group"/>
        <s v="ADNOC"/>
        <s v="Aramco"/>
        <s v="Fluor"/>
        <s v="GE Infrastructure"/>
        <s v="L&amp;T"/>
        <s v="NEOM"/>
        <s v="QatarEnergy"/>
        <s v="Samsung C&amp;T"/>
        <s v="Siemens"/>
      </sharedItems>
    </cacheField>
    <cacheField name="[Estimator_Team].[EstimatorName].[EstimatorName]" caption="EstimatorName" numFmtId="0" hierarchy="16" level="1">
      <sharedItems count="10">
        <s v="Ali"/>
        <s v="Carlos"/>
        <s v="Fatima"/>
        <s v="Hana"/>
        <s v="James"/>
        <s v="John"/>
        <s v="Mohamed"/>
        <s v="Priya"/>
        <s v="Sarah"/>
        <s v="Wei"/>
      </sharedItems>
    </cacheField>
    <cacheField name="[Measures].[Sum of AnnualTarget]" caption="Sum of AnnualTarget" numFmtId="0" hierarchy="209" level="32767"/>
    <cacheField name="[Measures].[Sum of Total Achievements]" caption="Sum of Total Achievements" numFmtId="0" hierarchy="210"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2" memberValueDatatype="130" unbalanced="0">
      <fieldsUsage count="2">
        <fieldUsage x="-1"/>
        <fieldUsage x="1"/>
      </fieldsUsage>
    </cacheHierarchy>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21874998" createdVersion="5" refreshedVersion="8" minRefreshableVersion="3" recordCount="0" supportSubquery="1" supportAdvancedDrill="1" xr:uid="{C8EE334A-313B-4824-8D54-AC7D9EC28E98}">
  <cacheSource type="external" connectionId="6"/>
  <cacheFields count="7">
    <cacheField name="[Client_Master].[ClientName].[ClientName]" caption="ClientName" numFmtId="0" level="1">
      <sharedItems count="10">
        <s v="ABB Group"/>
        <s v="ADNOC"/>
        <s v="Aramco"/>
        <s v="Fluor"/>
        <s v="GE Infrastructure"/>
        <s v="L&amp;T"/>
        <s v="NEOM"/>
        <s v="QatarEnergy"/>
        <s v="Samsung C&amp;T"/>
        <s v="Siemens"/>
      </sharedItems>
    </cacheField>
    <cacheField name="[Estimator_Team].[EstimatorName].[EstimatorName]" caption="EstimatorName" numFmtId="0" hierarchy="16" level="1">
      <sharedItems count="10">
        <s v="Ali"/>
        <s v="Carlos"/>
        <s v="Fatima"/>
        <s v="Hana"/>
        <s v="James"/>
        <s v="John"/>
        <s v="Mohamed"/>
        <s v="Priya"/>
        <s v="Sarah"/>
        <s v="Wei"/>
      </sharedItems>
    </cacheField>
    <cacheField name="[Measures].[Sum of TotalBids]" caption="Sum of TotalBids" numFmtId="0" hierarchy="208" level="32767"/>
    <cacheField name="[Measures].[Sum of BidsWon]" caption="Sum of BidsWon" numFmtId="0" hierarchy="206" level="32767"/>
    <cacheField name="[Measures].[Sum of AnnualTarget]" caption="Sum of AnnualTarget" numFmtId="0" hierarchy="209" level="32767"/>
    <cacheField name="[Measures].[Sum of Total Achievements]" caption="Sum of Total Achievements" numFmtId="0" hierarchy="210" level="32767"/>
    <cacheField name="[Measures].[Average of WinRate]" caption="Average of WinRate" numFmtId="0" hierarchy="214"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2" memberValueDatatype="130" unbalanced="0">
      <fieldsUsage count="2">
        <fieldUsage x="-1"/>
        <fieldUsage x="1"/>
      </fieldsUsage>
    </cacheHierarchy>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oneField="1" hidden="1">
      <fieldsUsage count="1">
        <fieldUsage x="5"/>
      </fieldsUsage>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oneField="1" hidden="1">
      <fieldsUsage count="1">
        <fieldUsage x="6"/>
      </fieldsUsage>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23148145" createdVersion="5" refreshedVersion="8" minRefreshableVersion="3" recordCount="0" supportSubquery="1" supportAdvancedDrill="1" xr:uid="{0358837A-2152-4E14-B010-536C7B727FB8}">
  <cacheSource type="external" connectionId="6"/>
  <cacheFields count="7">
    <cacheField name="[Client_Master].[ClientName].[ClientName]" caption="ClientName" numFmtId="0" level="1">
      <sharedItems count="10">
        <s v="ABB Group"/>
        <s v="ADNOC"/>
        <s v="Aramco"/>
        <s v="Fluor"/>
        <s v="GE Infrastructure"/>
        <s v="L&amp;T"/>
        <s v="NEOM"/>
        <s v="QatarEnergy"/>
        <s v="Samsung C&amp;T"/>
        <s v="Siemens"/>
      </sharedItems>
    </cacheField>
    <cacheField name="[Estimator_Team].[EstimatorName].[EstimatorName]" caption="EstimatorName" numFmtId="0" hierarchy="16" level="1">
      <sharedItems count="10">
        <s v="Ali"/>
        <s v="Carlos"/>
        <s v="Fatima"/>
        <s v="Hana"/>
        <s v="James"/>
        <s v="John"/>
        <s v="Mohamed"/>
        <s v="Priya"/>
        <s v="Sarah"/>
        <s v="Wei"/>
      </sharedItems>
    </cacheField>
    <cacheField name="[Measures].[Sum of Q1_2025_Achieved]" caption="Sum of Q1_2025_Achieved" numFmtId="0" hierarchy="207" level="32767"/>
    <cacheField name="[Measures].[Sum of Q2_2025_Achieved]" caption="Sum of Q2_2025_Achieved" numFmtId="0" hierarchy="215" level="32767"/>
    <cacheField name="[Measures].[Sum of Q3_2025_Achieved]" caption="Sum of Q3_2025_Achieved" numFmtId="0" hierarchy="216" level="32767"/>
    <cacheField name="[Measures].[Sum of Q4_2025_Achieved]" caption="Sum of Q4_2025_Achieved" numFmtId="0" hierarchy="217" level="32767"/>
    <cacheField name="[Measures].[Sum of Q1_2026_Achieved]" caption="Sum of Q1_2026_Achieved" numFmtId="0" hierarchy="185"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2" memberValueDatatype="130" unbalanced="0">
      <fieldsUsage count="2">
        <fieldUsage x="-1"/>
        <fieldUsage x="1"/>
      </fieldsUsage>
    </cacheHierarchy>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oneField="1" hidden="1">
      <fieldsUsage count="1">
        <fieldUsage x="6"/>
      </fieldsUsage>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oneField="1" hidden="1">
      <fieldsUsage count="1">
        <fieldUsage x="4"/>
      </fieldsUsage>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oneField="1" hidden="1">
      <fieldsUsage count="1">
        <fieldUsage x="5"/>
      </fieldsUsage>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24421299" createdVersion="5" refreshedVersion="8" minRefreshableVersion="3" recordCount="0" supportSubquery="1" supportAdvancedDrill="1" xr:uid="{3522A3E2-D3C4-4C0D-B761-A58909AA9F4E}">
  <cacheSource type="external" connectionId="6"/>
  <cacheFields count="6">
    <cacheField name="[Client_Master].[ClientName].[ClientName]" caption="ClientName" numFmtId="0" level="1">
      <sharedItems count="10">
        <s v="ABB Group"/>
        <s v="ADNOC"/>
        <s v="Aramco"/>
        <s v="Fluor"/>
        <s v="GE Infrastructure"/>
        <s v="L&amp;T"/>
        <s v="NEOM"/>
        <s v="QatarEnergy"/>
        <s v="Samsung C&amp;T"/>
        <s v="Siemens"/>
      </sharedItems>
    </cacheField>
    <cacheField name="[Estimator_Team].[EstimatorName].[EstimatorName]" caption="EstimatorName" numFmtId="0" hierarchy="16" level="1">
      <sharedItems count="10">
        <s v="Ali"/>
        <s v="Carlos"/>
        <s v="Fatima"/>
        <s v="Hana"/>
        <s v="James"/>
        <s v="John"/>
        <s v="Mohamed"/>
        <s v="Priya"/>
        <s v="Sarah"/>
        <s v="Wei"/>
      </sharedItems>
    </cacheField>
    <cacheField name="[Measures].[Sum of WinRate]" caption="Sum of WinRate" numFmtId="0" hierarchy="204" level="32767"/>
    <cacheField name="[Measures].[Sum of BidsWon]" caption="Sum of BidsWon" numFmtId="0" hierarchy="206" level="32767"/>
    <cacheField name="[Measures].[Sum of TotalBids]" caption="Sum of TotalBids" numFmtId="0" hierarchy="208" level="32767"/>
    <cacheField name="[Estimator_Team].[Region].[Region]" caption="Region" numFmtId="0" hierarchy="20" level="1">
      <sharedItems count="5">
        <s v="Africa"/>
        <s v="Americas"/>
        <s v="Asia"/>
        <s v="Europe"/>
        <s v="GCC"/>
      </sharedItems>
    </cacheField>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2" memberValueDatatype="130" unbalanced="0">
      <fieldsUsage count="2">
        <fieldUsage x="-1"/>
        <fieldUsage x="1"/>
      </fieldsUsage>
    </cacheHierarchy>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2" memberValueDatatype="130" unbalanced="0">
      <fieldsUsage count="2">
        <fieldUsage x="-1"/>
        <fieldUsage x="5"/>
      </fieldsUsage>
    </cacheHierarchy>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oneField="1" hidden="1">
      <fieldsUsage count="1">
        <fieldUsage x="4"/>
      </fieldsUsage>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12847219" createdVersion="5" refreshedVersion="8" minRefreshableVersion="3" recordCount="0" supportSubquery="1" supportAdvancedDrill="1" xr:uid="{5371928B-AD74-40D4-97E1-148AC7ABF079}">
  <cacheSource type="external" connectionId="6"/>
  <cacheFields count="3">
    <cacheField name="[Sales_Transactions].[Client].[Client]" caption="Client" numFmtId="0" hierarchy="99" level="1">
      <sharedItems count="15">
        <s v="ABB Group"/>
        <s v="ADNOC"/>
        <s v="Aramco"/>
        <s v="Bechtel"/>
        <s v="China State"/>
        <s v="ClientX"/>
        <s v="Fluor"/>
        <s v="GE Infrastructure"/>
        <s v="Larsen"/>
        <s v="NEOM"/>
        <s v="QatarEnergy"/>
        <s v="Samsung C&amp;T"/>
        <s v="Siemens"/>
        <s v="Unknown"/>
        <s v="Vinci Construction"/>
      </sharedItems>
    </cacheField>
    <cacheField name="[Measures].[Sum of Contract Value USD]" caption="Sum of Contract Value USD" numFmtId="0" hierarchy="195"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fieldsUsage count="2">
        <fieldUsage x="-1"/>
        <fieldUsage x="0"/>
      </fieldsUsage>
    </cacheHierarchy>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2"/>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oneField="1" hidden="1">
      <fieldsUsage count="1">
        <fieldUsage x="1"/>
      </fieldsUsage>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13657404" createdVersion="5" refreshedVersion="8" minRefreshableVersion="3" recordCount="0" supportSubquery="1" supportAdvancedDrill="1" xr:uid="{7D0F640B-FA46-43E5-83BB-C3C3B97E75E8}">
  <cacheSource type="external" connectionId="6"/>
  <cacheFields count="3">
    <cacheField name="[Sales_Transactions].[Client].[Client]" caption="Client" numFmtId="0" hierarchy="99" level="1">
      <sharedItems count="10">
        <s v="ABB Group"/>
        <s v="ADNOC"/>
        <s v="Aramco"/>
        <s v="Bechtel"/>
        <s v="China State"/>
        <s v="Fluor"/>
        <s v="GE Infrastructure"/>
        <s v="Larsen"/>
        <s v="NEOM"/>
        <s v="Siemens"/>
      </sharedItems>
    </cacheField>
    <cacheField name="[Measures].[Sum of Invoice Value USD]" caption="Sum of Invoice Value USD" numFmtId="0" hierarchy="196"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fieldsUsage count="2">
        <fieldUsage x="-1"/>
        <fieldUsage x="0"/>
      </fieldsUsage>
    </cacheHierarchy>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2"/>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oneField="1" hidden="1">
      <fieldsUsage count="1">
        <fieldUsage x="1"/>
      </fieldsUsage>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06712961" createdVersion="5" refreshedVersion="8" minRefreshableVersion="3" recordCount="0" supportSubquery="1" supportAdvancedDrill="1" xr:uid="{DD5E3131-CFA0-4DE9-BACD-6D6DB2C303A0}">
  <cacheSource type="external" connectionId="6"/>
  <cacheFields count="3">
    <cacheField name="[Sales_Transactions].[Estimator].[Estimator]" caption="Estimator" numFmtId="0" hierarchy="102" level="1">
      <sharedItems count="10">
        <s v="Ali"/>
        <s v="Carlos"/>
        <s v="Fatima"/>
        <s v="Hana"/>
        <s v="James"/>
        <s v="John"/>
        <s v="Mohamed"/>
        <s v="Priya"/>
        <s v="Sarah"/>
        <s v="Wei"/>
      </sharedItems>
    </cacheField>
    <cacheField name="[Measures].[Sum of Contract Value USD]" caption="Sum of Contract Value USD" numFmtId="0" hierarchy="195"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fieldsUsage count="2">
        <fieldUsage x="-1"/>
        <fieldUsage x="0"/>
      </fieldsUsage>
    </cacheHierarchy>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2"/>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oneField="1" hidden="1">
      <fieldsUsage count="1">
        <fieldUsage x="1"/>
      </fieldsUsage>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07638892" createdVersion="5" refreshedVersion="8" minRefreshableVersion="3" recordCount="0" supportSubquery="1" supportAdvancedDrill="1" xr:uid="{9A3C6463-D3CC-4363-9172-692763BC14F5}">
  <cacheSource type="external" connectionId="6"/>
  <cacheFields count="4">
    <cacheField name="[Sales_Transactions].[ProjectName].[ProjectName]" caption="ProjectName" numFmtId="0" hierarchy="96" level="1">
      <sharedItems count="21">
        <s v="Airport Terminal 3"/>
        <s v="Bridge Overhaul"/>
        <s v="Data Center Build"/>
        <s v="Desalination Plant"/>
        <s v="Highway"/>
        <s v="Hospital Complex"/>
        <s v="HQ Tower"/>
        <s v="Industrial Park"/>
        <s v="Marina Development"/>
        <s v="Metro Line Extension"/>
        <s v="Offshore Platform"/>
        <s v="Oil Refinery Unit"/>
        <s v="Plant Upgrade"/>
        <s v="Rail Network Upgrade"/>
        <s v="Residential Complex"/>
        <s v="Smart City Hub"/>
        <s v="Solar Farm Phase 2"/>
        <s v="Stadium Renovation"/>
        <s v="Tunnel Project"/>
        <s v="Unknown"/>
        <s v="Water Treatment Plant"/>
      </sharedItems>
    </cacheField>
    <cacheField name="[Measures].[Sum of Invoice Value USD]" caption="Sum of Invoice Value USD" numFmtId="0" hierarchy="196" level="32767"/>
    <cacheField name="[Measures].[Sum of Collected Amount USD]" caption="Sum of Collected Amount USD" numFmtId="0" hierarchy="197"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2" memberValueDatatype="130" unbalanced="0">
      <fieldsUsage count="2">
        <fieldUsage x="-1"/>
        <fieldUsage x="0"/>
      </fieldsUsage>
    </cacheHierarchy>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oneField="1" hidden="1">
      <fieldsUsage count="1">
        <fieldUsage x="1"/>
      </fieldsUsage>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oneField="1" hidden="1">
      <fieldsUsage count="1">
        <fieldUsage x="2"/>
      </fieldsUsage>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08101854" createdVersion="5" refreshedVersion="8" minRefreshableVersion="3" recordCount="0" supportSubquery="1" supportAdvancedDrill="1" xr:uid="{8A919C6A-D22A-4410-A512-C1277CA670A0}">
  <cacheSource type="external" connectionId="6"/>
  <cacheFields count="3">
    <cacheField name="[Sales_Transactions].[Client].[Client]" caption="Client" numFmtId="0" hierarchy="99" level="1">
      <sharedItems count="15">
        <s v="ABB Group"/>
        <s v="ADNOC"/>
        <s v="Aramco"/>
        <s v="Bechtel"/>
        <s v="China State"/>
        <s v="ClientX"/>
        <s v="Fluor"/>
        <s v="GE Infrastructure"/>
        <s v="Larsen"/>
        <s v="NEOM"/>
        <s v="QatarEnergy"/>
        <s v="Samsung C&amp;T"/>
        <s v="Siemens"/>
        <s v="Unknown"/>
        <s v="Vinci Construction"/>
      </sharedItems>
    </cacheField>
    <cacheField name="[Measures].[Sum of Collected Amount USD]" caption="Sum of Collected Amount USD" numFmtId="0" hierarchy="197"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fieldsUsage count="2">
        <fieldUsage x="-1"/>
        <fieldUsage x="0"/>
      </fieldsUsage>
    </cacheHierarchy>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2"/>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oneField="1" hidden="1">
      <fieldsUsage count="1">
        <fieldUsage x="1"/>
      </fieldsUsage>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10185186" createdVersion="5" refreshedVersion="8" minRefreshableVersion="3" recordCount="0" supportSubquery="1" supportAdvancedDrill="1" xr:uid="{D9E9A575-7DEB-4448-921F-110DDF539401}">
  <cacheSource type="external" connectionId="6"/>
  <cacheFields count="4">
    <cacheField name="[Sales_Transactions].[Client].[Client]" caption="Client" numFmtId="0" hierarchy="99" level="1">
      <sharedItems count="15">
        <s v="ABB Group"/>
        <s v="ADNOC"/>
        <s v="Aramco"/>
        <s v="Bechtel"/>
        <s v="China State"/>
        <s v="ClientX"/>
        <s v="Fluor"/>
        <s v="GE Infrastructure"/>
        <s v="Larsen"/>
        <s v="NEOM"/>
        <s v="QatarEnergy"/>
        <s v="Samsung C&amp;T"/>
        <s v="Siemens"/>
        <s v="Unknown"/>
        <s v="Vinci Construction"/>
      </sharedItems>
    </cacheField>
    <cacheField name="[Measures].[Sum of Tender Value USD]" caption="Sum of Tender Value USD" numFmtId="0" hierarchy="182" level="32767"/>
    <cacheField name="[Measures].[Sum of Contract Value USD]" caption="Sum of Contract Value USD" numFmtId="0" hierarchy="195"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fieldsUsage count="2">
        <fieldUsage x="-1"/>
        <fieldUsage x="0"/>
      </fieldsUsage>
    </cacheHierarchy>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3"/>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oneField="1" hidden="1">
      <fieldsUsage count="1">
        <fieldUsage x="1"/>
      </fieldsUsage>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oneField="1" hidden="1">
      <fieldsUsage count="1">
        <fieldUsage x="2"/>
      </fieldsUsage>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11689818" createdVersion="5" refreshedVersion="8" minRefreshableVersion="3" recordCount="0" supportSubquery="1" supportAdvancedDrill="1" xr:uid="{B93B35E4-841A-4B9E-BEFE-33AA7921E56D}">
  <cacheSource type="external" connectionId="6"/>
  <cacheFields count="3">
    <cacheField name="[Sales_Transactions].[Date (Month)].[Date (Month)]" caption="Date (Month)" numFmtId="0" hierarchy="150" level="1">
      <sharedItems count="12">
        <s v="Jan"/>
        <s v="Feb"/>
        <s v="Mar"/>
        <s v="Apr"/>
        <s v="May"/>
        <s v="Jun"/>
        <s v="Jul"/>
        <s v="Aug"/>
        <s v="Sep"/>
        <s v="Oct"/>
        <s v="Nov"/>
        <s v="Dec"/>
      </sharedItems>
    </cacheField>
    <cacheField name="[Measures].[Sum of Contract Value USD]" caption="Sum of Contract Value USD" numFmtId="0" hierarchy="195"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2"/>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2" memberValueDatatype="130" unbalanced="0">
      <fieldsUsage count="2">
        <fieldUsage x="-1"/>
        <fieldUsage x="0"/>
      </fieldsUsage>
    </cacheHierarchy>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oneField="1" hidden="1">
      <fieldsUsage count="1">
        <fieldUsage x="1"/>
      </fieldsUsage>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12268518" createdVersion="5" refreshedVersion="8" minRefreshableVersion="3" recordCount="0" supportSubquery="1" supportAdvancedDrill="1" xr:uid="{14904AEF-CFDA-4602-BB88-61FA23C4EB62}">
  <cacheSource type="external" connectionId="6"/>
  <cacheFields count="3">
    <cacheField name="[Sales_Transactions].[ProjectName].[ProjectName]" caption="ProjectName" numFmtId="0" hierarchy="96" level="1">
      <sharedItems count="21">
        <s v="Airport Terminal 3"/>
        <s v="Bridge Overhaul"/>
        <s v="Data Center Build"/>
        <s v="Desalination Plant"/>
        <s v="Highway"/>
        <s v="Hospital Complex"/>
        <s v="HQ Tower"/>
        <s v="Industrial Park"/>
        <s v="Marina Development"/>
        <s v="Metro Line Extension"/>
        <s v="Offshore Platform"/>
        <s v="Oil Refinery Unit"/>
        <s v="Plant Upgrade"/>
        <s v="Rail Network Upgrade"/>
        <s v="Residential Complex"/>
        <s v="Smart City Hub"/>
        <s v="Solar Farm Phase 2"/>
        <s v="Stadium Renovation"/>
        <s v="Tunnel Project"/>
        <s v="Unknown"/>
        <s v="Water Treatment Plant"/>
      </sharedItems>
    </cacheField>
    <cacheField name="[Measures].[Sum of Contract Value USD]" caption="Sum of Contract Value USD" numFmtId="0" hierarchy="195" level="32767"/>
    <cacheField name="[Sales_Transactions].[SalesStage].[SalesStage]" caption="SalesStage" numFmtId="0" hierarchy="127"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2" memberValueDatatype="130" unbalanced="0">
      <fieldsUsage count="2">
        <fieldUsage x="-1"/>
        <fieldUsage x="0"/>
      </fieldsUsage>
    </cacheHierarchy>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2"/>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oneField="1" hidden="1">
      <fieldsUsage count="1">
        <fieldUsage x="1"/>
      </fieldsUsage>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5808912039" createdVersion="5" refreshedVersion="8" minRefreshableVersion="3" recordCount="0" supportSubquery="1" supportAdvancedDrill="1" xr:uid="{670791A2-4F11-42D7-9DE6-834201AEB6DA}">
  <cacheSource type="external" connectionId="6"/>
  <cacheFields count="2">
    <cacheField name="[Measures].[Count of ProjectID 2]" caption="Count of ProjectID 2" numFmtId="0" hierarchy="177" level="32767"/>
    <cacheField name="[Sales_Transactions].[SalesStage].[SalesStage]" caption="SalesStage" numFmtId="0" hierarchy="127" level="1">
      <sharedItems count="7">
        <s v="Lost"/>
        <s v="Negotiation"/>
        <s v="On Hold"/>
        <s v="Proposal"/>
        <s v="Prospecting"/>
        <s v="Qualification"/>
        <s v="Won"/>
      </sharedItems>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fieldsUsage count="2">
        <fieldUsage x="-1"/>
        <fieldUsage x="1"/>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oneField="1" hidden="1">
      <fieldsUsage count="1">
        <fieldUsage x="0"/>
      </fieldsUsage>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8120254632" createdVersion="5" refreshedVersion="8" minRefreshableVersion="3" recordCount="0" supportSubquery="1" supportAdvancedDrill="1" xr:uid="{5E4FF52D-633E-4C79-89D7-4212F2DA6F2D}">
  <cacheSource type="external" connectionId="6"/>
  <cacheFields count="4">
    <cacheField name="[Client_Master].[ClientName].[ClientName]" caption="ClientName" numFmtId="0" level="1">
      <sharedItems count="10">
        <s v="ABB Group"/>
        <s v="ADNOC"/>
        <s v="Aramco"/>
        <s v="Fluor"/>
        <s v="GE Infrastructure"/>
        <s v="L&amp;T"/>
        <s v="NEOM"/>
        <s v="QatarEnergy"/>
        <s v="Samsung C&amp;T"/>
        <s v="Siemens"/>
      </sharedItems>
    </cacheField>
    <cacheField name="[Measures].[Sum of ActualSpend USD]" caption="Sum of ActualSpend USD" numFmtId="0" hierarchy="202" level="32767"/>
    <cacheField name="[Monthly_Costs].[Region].[Region]" caption="Region" numFmtId="0" hierarchy="42" level="1">
      <sharedItems count="5">
        <s v="Africa"/>
        <s v="Americas"/>
        <s v="Asia"/>
        <s v="Europe"/>
        <s v="GCC"/>
      </sharedItems>
    </cacheField>
    <cacheField name="[Project_Master].[Region].[Region]" caption="Region" numFmtId="0" hierarchy="71"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2" memberValueDatatype="130" unbalanced="0">
      <fieldsUsage count="2">
        <fieldUsage x="-1"/>
        <fieldUsage x="2"/>
      </fieldsUsage>
    </cacheHierarchy>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3"/>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8120717593" createdVersion="5" refreshedVersion="8" minRefreshableVersion="3" recordCount="0" supportSubquery="1" supportAdvancedDrill="1" xr:uid="{E69B4C80-7EB1-4278-A986-2EC76277C349}">
  <cacheSource type="external" connectionId="6"/>
  <cacheFields count="4">
    <cacheField name="[Client_Master].[ClientName].[ClientName]" caption="ClientName" numFmtId="0" level="1">
      <sharedItems count="10">
        <s v="ABB Group"/>
        <s v="ADNOC"/>
        <s v="Aramco"/>
        <s v="Fluor"/>
        <s v="GE Infrastructure"/>
        <s v="L&amp;T"/>
        <s v="NEOM"/>
        <s v="QatarEnergy"/>
        <s v="Samsung C&amp;T"/>
        <s v="Siemens"/>
      </sharedItems>
    </cacheField>
    <cacheField name="[Monthly_Costs].[Region].[Region]" caption="Region" numFmtId="0" hierarchy="42" level="1">
      <sharedItems count="5">
        <s v="Africa"/>
        <s v="Americas"/>
        <s v="Asia"/>
        <s v="Europe"/>
        <s v="GCC"/>
      </sharedItems>
    </cacheField>
    <cacheField name="[Measures].[Sum of CostVariance]" caption="Sum of CostVariance" numFmtId="0" hierarchy="184" level="32767"/>
    <cacheField name="[Project_Master].[Region].[Region]" caption="Region" numFmtId="0" hierarchy="71"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2" memberValueDatatype="130" unbalanced="0">
      <fieldsUsage count="2">
        <fieldUsage x="-1"/>
        <fieldUsage x="1"/>
      </fieldsUsage>
    </cacheHierarchy>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3"/>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oneField="1" hidden="1">
      <fieldsUsage count="1">
        <fieldUsage x="2"/>
      </fieldsUsage>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8121875002" createdVersion="5" refreshedVersion="8" minRefreshableVersion="3" recordCount="0" supportSubquery="1" supportAdvancedDrill="1" xr:uid="{9A01692D-4057-43D2-BE62-D16D71DABA49}">
  <cacheSource type="external" connectionId="6"/>
  <cacheFields count="5">
    <cacheField name="[Client_Master].[ClientName].[ClientName]" caption="ClientName" numFmtId="0" level="1">
      <sharedItems count="10">
        <s v="ABB Group"/>
        <s v="ADNOC"/>
        <s v="Aramco"/>
        <s v="Fluor"/>
        <s v="GE Infrastructure"/>
        <s v="L&amp;T"/>
        <s v="NEOM"/>
        <s v="QatarEnergy"/>
        <s v="Samsung C&amp;T"/>
        <s v="Siemens"/>
      </sharedItems>
    </cacheField>
    <cacheField name="[Monthly_Costs].[Month (Month)].[Month (Month)]" caption="Month (Month)" numFmtId="0" hierarchy="67" level="1">
      <sharedItems count="12">
        <s v="Jan"/>
        <s v="Feb"/>
        <s v="Mar"/>
        <s v="Apr"/>
        <s v="May"/>
        <s v="Jun"/>
        <s v="Jul"/>
        <s v="Aug"/>
        <s v="Sep"/>
        <s v="Oct"/>
        <s v="Nov"/>
        <s v="Dec"/>
      </sharedItems>
    </cacheField>
    <cacheField name="[Measures].[Sum of PlannedBudget USD]" caption="Sum of PlannedBudget USD" numFmtId="0" hierarchy="201" level="32767"/>
    <cacheField name="[Measures].[Sum of ActualSpend USD]" caption="Sum of ActualSpend USD" numFmtId="0" hierarchy="202" level="32767"/>
    <cacheField name="[Project_Master].[Region].[Region]" caption="Region" numFmtId="0" hierarchy="71"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2" memberValueDatatype="130" unbalanced="0">
      <fieldsUsage count="2">
        <fieldUsage x="-1"/>
        <fieldUsage x="1"/>
      </fieldsUsage>
    </cacheHierarchy>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4"/>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oneField="1" hidden="1">
      <fieldsUsage count="1">
        <fieldUsage x="2"/>
      </fieldsUsage>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oneField="1" hidden="1">
      <fieldsUsage count="1">
        <fieldUsage x="3"/>
      </fieldsUsage>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668124884258" createdVersion="5" refreshedVersion="8" minRefreshableVersion="3" recordCount="0" supportSubquery="1" supportAdvancedDrill="1" xr:uid="{98243559-2D26-4570-8F94-6B177DC88193}">
  <cacheSource type="external" connectionId="6"/>
  <cacheFields count="4">
    <cacheField name="[Project_Master].[ProjectName].[ProjectName]" caption="ProjectName" numFmtId="0" hierarchy="69" level="1">
      <sharedItems count="10">
        <s v="Bridge Overhaul"/>
        <s v="Hospital Complex"/>
        <s v="Industrial Park"/>
        <s v="Marina Development"/>
        <s v="Offshore Platform"/>
        <s v="Oil Refinery Unit"/>
        <s v="Rail Network Upgrade"/>
        <s v="Solar Farm Phase 2"/>
        <s v="Tunnel Project"/>
        <s v="Water Treatment Plant"/>
      </sharedItems>
    </cacheField>
    <cacheField name="[Measures].[Count of ProjectID]" caption="Count of ProjectID" numFmtId="0" hierarchy="167" level="32767"/>
    <cacheField name="[Project_Master].[StartDate (Month)].[StartDate (Month)]" caption="StartDate (Month)" numFmtId="0" hierarchy="88" level="1">
      <sharedItems count="12">
        <s v="Jan"/>
        <s v="Feb"/>
        <s v="Mar"/>
        <s v="Apr"/>
        <s v="May"/>
        <s v="Jun"/>
        <s v="Jul"/>
        <s v="Aug"/>
        <s v="Sep"/>
        <s v="Oct"/>
        <s v="Nov"/>
        <s v="Dec"/>
      </sharedItems>
    </cacheField>
    <cacheField name="[Project_Master].[Region].[Region]" caption="Region" numFmtId="0" hierarchy="71" level="1">
      <sharedItems containsSemiMixedTypes="0" containsNonDate="0" containsString="0"/>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2" memberValueDatatype="130" unbalanced="0">
      <fieldsUsage count="2">
        <fieldUsage x="-1"/>
        <fieldUsage x="0"/>
      </fieldsUsage>
    </cacheHierarchy>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3"/>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2" memberValueDatatype="130" unbalanced="0">
      <fieldsUsage count="2">
        <fieldUsage x="-1"/>
        <fieldUsage x="2"/>
      </fieldsUsage>
    </cacheHierarchy>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08962615738" createdVersion="5" refreshedVersion="8" minRefreshableVersion="3" recordCount="0" supportSubquery="1" supportAdvancedDrill="1" xr:uid="{91B3D9FE-A782-4569-84EC-1D6480B41113}">
  <cacheSource type="external" connectionId="6"/>
  <cacheFields count="2">
    <cacheField name="[Sales_Transactions].[Region].[Region]" caption="Region" numFmtId="0" hierarchy="97" level="1">
      <sharedItems count="6">
        <s v="Africa"/>
        <s v="Americas"/>
        <s v="Asia"/>
        <s v="Europe"/>
        <s v="GCC"/>
        <s v="Unknown"/>
      </sharedItems>
    </cacheField>
    <cacheField name="[Measures].[Sum of Contract Value USD]" caption="Sum of Contract Value USD" numFmtId="0" hierarchy="195" level="32767"/>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fieldsUsage count="2">
        <fieldUsage x="-1"/>
        <fieldUsage x="0"/>
      </fieldsUsage>
    </cacheHierarchy>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oneField="1" hidden="1">
      <fieldsUsage count="1">
        <fieldUsage x="1"/>
      </fieldsUsage>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09394791664" createdVersion="5" refreshedVersion="8" minRefreshableVersion="3" recordCount="0" supportSubquery="1" supportAdvancedDrill="1" xr:uid="{723DB549-42F4-4239-92C9-D6D82DF785A5}">
  <cacheSource type="external" connectionId="6"/>
  <cacheFields count="2">
    <cacheField name="[Measures].[Count of ProjectID]" caption="Count of ProjectID" numFmtId="0" hierarchy="167" level="32767"/>
    <cacheField name="[Project_Master].[ProjectStatus].[ProjectStatus]" caption="ProjectStatus" numFmtId="0" hierarchy="76" level="1">
      <sharedItems count="5">
        <s v="Active"/>
        <s v="Cancelled"/>
        <s v="Completed"/>
        <s v="On Hold"/>
        <s v="Unknown"/>
      </sharedItems>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fieldsUsage count="2">
        <fieldUsage x="-1"/>
        <fieldUsage x="1"/>
      </fieldsUsage>
    </cacheHierarchy>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oneField="1" hidden="1">
      <fieldsUsage count="1">
        <fieldUsage x="0"/>
      </fieldsUsage>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09621064815" createdVersion="5" refreshedVersion="8" minRefreshableVersion="3" recordCount="0" supportSubquery="1" supportAdvancedDrill="1" xr:uid="{F74CD666-D6A9-4853-9854-18B5C338E548}">
  <cacheSource type="external" connectionId="6"/>
  <cacheFields count="5">
    <cacheField name="[Project_Master].[ProjectName].[ProjectName]" caption="ProjectName" numFmtId="0" hierarchy="69" level="1">
      <sharedItems count="19">
        <s v="Airport Terminal 3"/>
        <s v="Bridge Overhaul"/>
        <s v="Desalination Plant"/>
        <s v="Highway"/>
        <s v="Hospital Complex"/>
        <s v="HQ Tower"/>
        <s v="Industrial Park"/>
        <s v="Marina Development"/>
        <s v="Metro Line Extension"/>
        <s v="Offshore Platform"/>
        <s v="Oil Refinery Unit"/>
        <s v="Plant Upgrade"/>
        <s v="Rail Network Upgrade"/>
        <s v="Residential Complex"/>
        <s v="Smart City Hub"/>
        <s v="Solar Farm Phase 2"/>
        <s v="Stadium Renovation"/>
        <s v="Tunnel Project"/>
        <s v="Water Treatment Plant"/>
      </sharedItems>
    </cacheField>
    <cacheField name="[Project_Master].[Client].[Client]" caption="Client" numFmtId="0" hierarchy="70" level="1">
      <sharedItems count="10">
        <s v="ABB Group"/>
        <s v="Bechtel"/>
        <s v="ClientX"/>
        <s v="Fluor"/>
        <s v="GE Infrastructure"/>
        <s v="Larsen"/>
        <s v="NEOM"/>
        <s v="QatarEnergy"/>
        <s v="Samsung C&amp;T"/>
        <s v="Siemens"/>
      </sharedItems>
    </cacheField>
    <cacheField name="[Project_Master].[ProjectID].[ProjectID]" caption="ProjectID" numFmtId="0" hierarchy="68" level="1">
      <sharedItems count="10">
        <s v="P1003"/>
        <s v="P1019"/>
        <s v="P1022"/>
        <s v="P1026"/>
        <s v="P1029"/>
        <s v="P1032"/>
        <s v="P1039"/>
        <s v="P1043"/>
        <s v="P1045"/>
        <s v="P1048"/>
      </sharedItems>
    </cacheField>
    <cacheField name="[Measures].[Sum of Budget]" caption="Sum of Budget" numFmtId="0" hierarchy="173" level="32767"/>
    <cacheField name="[Measures].[Sum of ActualCost]" caption="Sum of ActualCost" numFmtId="0" hierarchy="172" level="32767"/>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2" memberValueDatatype="130" unbalanced="0">
      <fieldsUsage count="2">
        <fieldUsage x="-1"/>
        <fieldUsage x="2"/>
      </fieldsUsage>
    </cacheHierarchy>
    <cacheHierarchy uniqueName="[Project_Master].[ProjectName]" caption="ProjectName" attribute="1" defaultMemberUniqueName="[Project_Master].[ProjectName].[All]" allUniqueName="[Project_Master].[ProjectName].[All]" dimensionUniqueName="[Project_Master]" displayFolder="" count="2" memberValueDatatype="130" unbalanced="0">
      <fieldsUsage count="2">
        <fieldUsage x="-1"/>
        <fieldUsage x="0"/>
      </fieldsUsage>
    </cacheHierarchy>
    <cacheHierarchy uniqueName="[Project_Master].[Client]" caption="Client" attribute="1" defaultMemberUniqueName="[Project_Master].[Client].[All]" allUniqueName="[Project_Master].[Client].[All]" dimensionUniqueName="[Project_Master]" displayFolder="" count="2" memberValueDatatype="130" unbalanced="0">
      <fieldsUsage count="2">
        <fieldUsage x="-1"/>
        <fieldUsage x="1"/>
      </fieldsUsage>
    </cacheHierarchy>
    <cacheHierarchy uniqueName="[Project_Master].[Region]" caption="Region" attribute="1" defaultMemberUniqueName="[Project_Master].[Region].[All]" allUniqueName="[Project_Master].[Region].[All]" dimensionUniqueName="[Project_Master]" displayFolder="" count="2"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oneField="1" hidden="1">
      <fieldsUsage count="1">
        <fieldUsage x="4"/>
      </fieldsUsage>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oneField="1" hidden="1">
      <fieldsUsage count="1">
        <fieldUsage x="3"/>
      </fieldsUsage>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09741319441" createdVersion="5" refreshedVersion="8" minRefreshableVersion="3" recordCount="0" supportSubquery="1" supportAdvancedDrill="1" xr:uid="{A50B532E-59F7-465C-B24F-436963169600}">
  <cacheSource type="external" connectionId="6"/>
  <cacheFields count="2">
    <cacheField name="[Measures].[Count of ProjectID]" caption="Count of ProjectID" numFmtId="0" hierarchy="167" level="32767"/>
    <cacheField name="[Project_Master].[RiskLevel].[RiskLevel]" caption="RiskLevel" numFmtId="0" hierarchy="84" level="1">
      <sharedItems count="4">
        <s v="High"/>
        <s v="Low"/>
        <s v="Medium"/>
        <s v="Unknown"/>
      </sharedItems>
    </cacheField>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fieldsUsage count="2">
        <fieldUsage x="-1"/>
        <fieldUsage x="1"/>
      </fieldsUsage>
    </cacheHierarchy>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oneField="1" hidden="1">
      <fieldsUsage count="1">
        <fieldUsage x="0"/>
      </fieldsUsage>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09815856483" createdVersion="5" refreshedVersion="8" minRefreshableVersion="3" recordCount="0" supportSubquery="1" supportAdvancedDrill="1" xr:uid="{1133664C-6640-402D-9754-556F9489E6E4}">
  <cacheSource type="external" connectionId="6"/>
  <cacheFields count="4">
    <cacheField name="[Project_Master].[ProjectName].[ProjectName]" caption="ProjectName" numFmtId="0" hierarchy="69" level="1">
      <sharedItems count="10">
        <s v="Bridge Overhaul"/>
        <s v="Hospital Complex"/>
        <s v="Industrial Park"/>
        <s v="Marina Development"/>
        <s v="Offshore Platform"/>
        <s v="Oil Refinery Unit"/>
        <s v="Rail Network Upgrade"/>
        <s v="Solar Farm Phase 2"/>
        <s v="Tunnel Project"/>
        <s v="Water Treatment Plant"/>
      </sharedItems>
    </cacheField>
    <cacheField name="[Project_Master].[Client].[Client]" caption="Client" numFmtId="0" hierarchy="70" level="1">
      <sharedItems count="15">
        <s v="L&amp;T"/>
        <s v="Larsen"/>
        <s v="ABB Group"/>
        <s v="Bechtel"/>
        <s v="China State"/>
        <s v="ClientX"/>
        <s v="NEOM"/>
        <s v="QatarEnergy"/>
        <s v="Siemens"/>
        <s v="Fluor"/>
        <s v="Samsung C&amp;T"/>
        <s v="GE Infrastructure"/>
        <s v="Aramco"/>
        <s v="Vinci Construction"/>
        <s v="Unknown"/>
      </sharedItems>
    </cacheField>
    <cacheField name="[Project_Master].[Discipline].[Discipline]" caption="Discipline" numFmtId="0" hierarchy="74" level="1">
      <sharedItems count="8">
        <s v="Civil"/>
        <s v="Electrical"/>
        <s v="HVAC"/>
        <s v="Instrumentation"/>
        <s v="Mechanical"/>
        <s v="Piping"/>
        <s v="Process"/>
        <s v="Structural"/>
      </sharedItems>
    </cacheField>
    <cacheField name="[Measures].[Count of ProjectID]" caption="Count of ProjectID" numFmtId="0" hierarchy="167" level="32767"/>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2" memberValueDatatype="130" unbalanced="0">
      <fieldsUsage count="2">
        <fieldUsage x="-1"/>
        <fieldUsage x="0"/>
      </fieldsUsage>
    </cacheHierarchy>
    <cacheHierarchy uniqueName="[Project_Master].[Client]" caption="Client" attribute="1" defaultMemberUniqueName="[Project_Master].[Client].[All]" allUniqueName="[Project_Master].[Client].[All]" dimensionUniqueName="[Project_Master]" displayFolder="" count="2" memberValueDatatype="130" unbalanced="0">
      <fieldsUsage count="2">
        <fieldUsage x="-1"/>
        <fieldUsage x="1"/>
      </fieldsUsage>
    </cacheHierarchy>
    <cacheHierarchy uniqueName="[Project_Master].[Region]" caption="Region" attribute="1" defaultMemberUniqueName="[Project_Master].[Region].[All]" allUniqueName="[Project_Master].[Region].[All]" dimensionUniqueName="[Project_Master]" displayFolder="" count="2"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2" memberValueDatatype="130" unbalanced="0">
      <fieldsUsage count="2">
        <fieldUsage x="-1"/>
        <fieldUsage x="2"/>
      </fieldsUsage>
    </cacheHierarchy>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oneField="1" hidden="1">
      <fieldsUsage count="1">
        <fieldUsage x="3"/>
      </fieldsUsage>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10567592591" createdVersion="5" refreshedVersion="8" minRefreshableVersion="3" recordCount="0" supportSubquery="1" supportAdvancedDrill="1" xr:uid="{53E895BA-B3EC-4FA3-AC1E-9635C46E8B49}">
  <cacheSource type="external" connectionId="6"/>
  <cacheFields count="3">
    <cacheField name="[Client_Master].[ClientName].[ClientName]" caption="ClientName" numFmtId="0" level="1">
      <sharedItems count="10">
        <s v="ABB Group"/>
        <s v="ADNOC"/>
        <s v="Aramco"/>
        <s v="Fluor"/>
        <s v="GE Infrastructure"/>
        <s v="L&amp;T"/>
        <s v="NEOM"/>
        <s v="QatarEnergy"/>
        <s v="Samsung C&amp;T"/>
        <s v="Siemens"/>
      </sharedItems>
    </cacheField>
    <cacheField name="[Client_Master].[Region].[Region]" caption="Region" numFmtId="0" hierarchy="4" level="1">
      <sharedItems count="5">
        <s v="Africa"/>
        <s v="Americas"/>
        <s v="Europe"/>
        <s v="GCC"/>
        <s v="Middle East"/>
      </sharedItems>
    </cacheField>
    <cacheField name="[Measures].[Count of ClientID]" caption="Count of ClientID" numFmtId="0" hierarchy="170"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2" memberValueDatatype="130" unbalanced="0">
      <fieldsUsage count="2">
        <fieldUsage x="-1"/>
        <fieldUsage x="1"/>
      </fieldsUsage>
    </cacheHierarchy>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58672685186" createdVersion="5" refreshedVersion="8" minRefreshableVersion="3" recordCount="0" supportSubquery="1" supportAdvancedDrill="1" xr:uid="{9A9CA49B-78F0-4826-98C4-4B606DB7942A}">
  <cacheSource type="external" connectionId="6"/>
  <cacheFields count="2">
    <cacheField name="[Project_Master].[ProjectName].[ProjectName]" caption="ProjectName" numFmtId="0" hierarchy="69" level="1">
      <sharedItems count="14">
        <s v="Airport Terminal 3"/>
        <s v="Bridge Overhaul"/>
        <s v="Hospital Complex"/>
        <s v="Metro Line Extension"/>
        <s v="Offshore Platform"/>
        <s v="Oil Refinery Unit"/>
        <s v="Rail Network Upgrade"/>
        <s v="Smart City Hub"/>
        <s v="Tunnel Project"/>
        <s v="Water Treatment Plant"/>
        <s v="HQ Tower" u="1"/>
        <s v="Industrial Park" u="1"/>
        <s v="Marina Development" u="1"/>
        <s v="Stadium Renovation" u="1"/>
      </sharedItems>
    </cacheField>
    <cacheField name="[Measures].[Sum of Profit]" caption="Sum of Profit" numFmtId="0" hierarchy="199" level="32767"/>
  </cacheFields>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2" memberValueDatatype="130" unbalanced="0">
      <fieldsUsage count="2">
        <fieldUsage x="-1"/>
        <fieldUsage x="0"/>
      </fieldsUsage>
    </cacheHierarchy>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oneField="1" hidden="1">
      <fieldsUsage count="1">
        <fieldUsage x="1"/>
      </fieldsUsage>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2.890753009262" createdVersion="5" refreshedVersion="8" minRefreshableVersion="3" recordCount="0" supportSubquery="1" supportAdvancedDrill="1" xr:uid="{464C1316-F70C-45BD-ADC2-32281A9B96A2}">
  <cacheSource type="external" connectionId="6"/>
  <cacheFields count="2">
    <cacheField name="[Client_Master].[ClientName].[ClientName]" caption="ClientName" numFmtId="0" level="1">
      <sharedItems count="10">
        <s v="ABB Group"/>
        <s v="ADNOC"/>
        <s v="Bechtel"/>
        <s v="China State"/>
        <s v="GE Infrastructure"/>
        <s v="L&amp;T"/>
        <s v="NEOM"/>
        <s v="QatarEnergy"/>
        <s v="Samsung C&amp;T"/>
        <s v="Vinci Construction"/>
      </sharedItems>
    </cacheField>
    <cacheField name="[Measures].[Sum of OutstandingBalance]" caption="Sum of OutstandingBalance" numFmtId="0" hierarchy="175" level="32767"/>
  </cacheFields>
  <cacheHierarchies count="218">
    <cacheHierarchy uniqueName="[Client_Master].[ClientName]" caption="ClientName" attribute="1" defaultMemberUniqueName="[Client_Master].[ClientName].[All]" allUniqueName="[Client_Master].[ClientName].[All]" dimensionUniqueName="[Client_Master]" displayFolder="" count="2" memberValueDatatype="130" unbalanced="0">
      <fieldsUsage count="2">
        <fieldUsage x="-1"/>
        <fieldUsage x="0"/>
      </fieldsUsage>
    </cacheHierarchy>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dimensions count="6">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s>
  <measureGroups count="5">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s>
  <maps count="8">
    <map measureGroup="0" dimension="0"/>
    <map measureGroup="1" dimension="1"/>
    <map measureGroup="2" dimension="3"/>
    <map measureGroup="3" dimension="4"/>
    <map measureGroup="4" dimension="0"/>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5991782408" createdVersion="3" refreshedVersion="8" minRefreshableVersion="3" recordCount="0" supportSubquery="1" supportAdvancedDrill="1" xr:uid="{F2E0CF1F-9E4B-442A-878C-CDB81BBA0094}">
  <cacheSource type="external" connectionId="6">
    <extLst>
      <ext xmlns:x14="http://schemas.microsoft.com/office/spreadsheetml/2009/9/main" uri="{F057638F-6D5F-4e77-A914-E7F072B9BCA8}">
        <x14:sourceConnection name="ThisWorkbookDataModel"/>
      </ext>
    </extLst>
  </cacheSource>
  <cacheFields count="0"/>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2"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2"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631761603"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26504631" createdVersion="3" refreshedVersion="8" minRefreshableVersion="3" recordCount="0" supportSubquery="1" supportAdvancedDrill="1" xr:uid="{20DA2FFF-1A34-4636-AAA5-2059CE624700}">
  <cacheSource type="external" connectionId="6">
    <extLst>
      <ext xmlns:x14="http://schemas.microsoft.com/office/spreadsheetml/2009/9/main" uri="{F057638F-6D5F-4e77-A914-E7F072B9BCA8}">
        <x14:sourceConnection name="ThisWorkbookDataModel"/>
      </ext>
    </extLst>
  </cacheSource>
  <cacheFields count="0"/>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2"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688564571"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fana Aslam" refreshedDate="46281.956034143521" createdVersion="3" refreshedVersion="8" minRefreshableVersion="3" recordCount="0" supportSubquery="1" supportAdvancedDrill="1" xr:uid="{51DCFA4E-C4C3-497A-9C65-9582373A2A36}">
  <cacheSource type="external" connectionId="6">
    <extLst>
      <ext xmlns:x14="http://schemas.microsoft.com/office/spreadsheetml/2009/9/main" uri="{F057638F-6D5F-4e77-A914-E7F072B9BCA8}">
        <x14:sourceConnection name="ThisWorkbookDataModel"/>
      </ext>
    </extLst>
  </cacheSource>
  <cacheFields count="0"/>
  <cacheHierarchies count="218">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2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2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2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20" unbalanced="0"/>
    <cacheHierarchy uniqueName="[Estimator_Team].[WinRate]" caption="WinRate" attribute="1" defaultMemberUniqueName="[Estimator_Team].[WinRate].[All]" allUniqueName="[Estimator_Team].[WinRate].[All]" dimensionUniqueName="[Estimator_Team]" displayFolder="" count="0" memberValueDatatype="5"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Estimator_Team].[JoiningDate (Year)]" caption="JoiningDate (Year)" attribute="1" defaultMemberUniqueName="[Estimator_Team].[JoiningDate (Year)].[All]" allUniqueName="[Estimator_Team].[JoiningDate (Year)].[All]" dimensionUniqueName="[Estimator_Team]" displayFolder="" count="0" memberValueDatatype="130" unbalanced="0"/>
    <cacheHierarchy uniqueName="[Estimator_Team].[JoiningDate (Quarter)]" caption="JoiningDate (Quarter)" attribute="1" defaultMemberUniqueName="[Estimator_Team].[JoiningDate (Quarter)].[All]" allUniqueName="[Estimator_Team].[JoiningDate (Quarter)].[All]" dimensionUniqueName="[Estimator_Team]" displayFolder="" count="0" memberValueDatatype="130" unbalanced="0"/>
    <cacheHierarchy uniqueName="[Estimator_Team].[JoiningDate (Month)]" caption="JoiningDate (Month)" attribute="1" defaultMemberUniqueName="[Estimator_Team].[JoiningDate (Month)].[All]" allUniqueName="[Estimator_Team].[JoiningDate (Month)].[All]" dimensionUniqueName="[Estimator_Team]" displayFolder="" count="0" memberValueDatatype="130" unbalanced="0"/>
    <cacheHierarchy uniqueName="[Estimator_Team].[Calculated Win Rate]" caption="Calculated Win Rate" attribute="1" defaultMemberUniqueName="[Estimator_Team].[Calculated Win Rate].[All]" allUniqueName="[Estimator_Team].[Calculated Win Rate].[All]" dimensionUniqueName="[Estimator_Team]" displayFolder="" count="0" memberValueDatatype="5" unbalanced="0"/>
    <cacheHierarchy uniqueName="[Estimator_Team].[Total Achievements]" caption="Total Achievements" attribute="1" defaultMemberUniqueName="[Estimator_Team].[Total Achievements].[All]" allUniqueName="[Estimator_Team].[Total Achievements].[All]" dimensionUniqueName="[Estimator_Team]" displayFolder="" count="0" memberValueDatatype="20" unbalanced="0"/>
    <cacheHierarchy uniqueName="[Estimator_Team].[Target  Achievement %]" caption="Target  Achievement %" attribute="1" defaultMemberUniqueName="[Estimator_Team].[Target  Achievement %].[All]" allUniqueName="[Estimator_Team].[Target  Achievement %].[All]" dimensionUniqueName="[Estimator_Team]" displayFolder="" count="0" memberValueDatatype="5" unbalanced="0"/>
    <cacheHierarchy uniqueName="[Monthly_Costs].[Month]" caption="Month" attribute="1" time="1" defaultMemberUniqueName="[Monthly_Costs].[Month].[All]" allUniqueName="[Monthly_Costs].[Month].[All]" dimensionUniqueName="[Monthly_Costs]" displayFolder="" count="0" memberValueDatatype="7"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20" unbalanced="0"/>
    <cacheHierarchy uniqueName="[Monthly_Costs].[OverHeadCost USD]" caption="OverHeadCost USD" attribute="1" defaultMemberUniqueName="[Monthly_Costs].[OverHeadCost USD].[All]" allUniqueName="[Monthly_Costs].[OverHeadCost USD].[All]" dimensionUniqueName="[Monthly_Costs]" displayFolder="" count="0" memberValueDatatype="5" unbalanced="0"/>
    <cacheHierarchy uniqueName="[Monthly_Costs].[LaborCost]" caption="LaborCost" attribute="1" defaultMemberUniqueName="[Monthly_Costs].[LaborCost].[All]" allUniqueName="[Monthly_Costs].[LaborCost].[All]" dimensionUniqueName="[Monthly_Costs]" displayFolder="" count="0" memberValueDatatype="20" unbalanced="0"/>
    <cacheHierarchy uniqueName="[Monthly_Costs].[LaborCost USD]" caption="LaborCost USD" attribute="1" defaultMemberUniqueName="[Monthly_Costs].[LaborCost USD].[All]" allUniqueName="[Monthly_Costs].[LaborCost USD].[All]" dimensionUniqueName="[Monthly_Costs]" displayFolder="" count="0" memberValueDatatype="5"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MaterialCost USD]" caption="MaterialCost USD" attribute="1" defaultMemberUniqueName="[Monthly_Costs].[MaterialCost USD].[All]" allUniqueName="[Monthly_Costs].[MaterialCost USD].[All]" dimensionUniqueName="[Monthly_Costs]" displayFolder="" count="0" memberValueDatatype="5" unbalanced="0"/>
    <cacheHierarchy uniqueName="[Monthly_Costs].[EquipmentCost]" caption="EquipmentCost" attribute="1" defaultMemberUniqueName="[Monthly_Costs].[EquipmentCost].[All]" allUniqueName="[Monthly_Costs].[EquipmentCost].[All]" dimensionUniqueName="[Monthly_Costs]" displayFolder="" count="0" memberValueDatatype="20" unbalanced="0"/>
    <cacheHierarchy uniqueName="[Monthly_Costs].[EquipmentCost USD]" caption="EquipmentCost USD" attribute="1" defaultMemberUniqueName="[Monthly_Costs].[EquipmentCost USD].[All]" allUniqueName="[Monthly_Costs].[EquipmentCost USD].[All]" dimensionUniqueName="[Monthly_Costs]" displayFolder="" count="0" memberValueDatatype="5"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20" unbalanced="0"/>
    <cacheHierarchy uniqueName="[Monthly_Costs].[SubcontractorCost USD]" caption="SubcontractorCost USD" attribute="1" defaultMemberUniqueName="[Monthly_Costs].[SubcontractorCost USD].[All]" allUniqueName="[Monthly_Costs].[SubcontractorCost USD].[All]" dimensionUniqueName="[Monthly_Costs]" displayFolder="" count="0" memberValueDatatype="5"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TravelCost USD]" caption="TravelCost USD" attribute="1" defaultMemberUniqueName="[Monthly_Costs].[TravelCost USD].[All]" allUniqueName="[Monthly_Costs].[TravelCost USD].[All]" dimensionUniqueName="[Monthly_Costs]" displayFolder="" count="0" memberValueDatatype="5" unbalanced="0"/>
    <cacheHierarchy uniqueName="[Monthly_Costs].[MiscCost]" caption="MiscCost" attribute="1" defaultMemberUniqueName="[Monthly_Costs].[MiscCost].[All]" allUniqueName="[Monthly_Costs].[MiscCost].[All]" dimensionUniqueName="[Monthly_Costs]" displayFolder="" count="0" memberValueDatatype="20" unbalanced="0"/>
    <cacheHierarchy uniqueName="[Monthly_Costs].[MiscCost USD]" caption="MiscCost USD" attribute="1" defaultMemberUniqueName="[Monthly_Costs].[MiscCost USD].[All]" allUniqueName="[Monthly_Costs].[MiscCost USD].[All]" dimensionUniqueName="[Monthly_Costs]" displayFolder="" count="0" memberValueDatatype="5"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PlannedBudget USD]" caption="PlannedBudget USD" attribute="1" defaultMemberUniqueName="[Monthly_Costs].[PlannedBudget USD].[All]" allUniqueName="[Monthly_Costs].[PlannedBudget USD].[All]" dimensionUniqueName="[Monthly_Costs]" displayFolder="" count="0" memberValueDatatype="5" unbalanced="0"/>
    <cacheHierarchy uniqueName="[Monthly_Costs].[ActualSpend]" caption="ActualSpend" attribute="1" defaultMemberUniqueName="[Monthly_Costs].[ActualSpend].[All]" allUniqueName="[Monthly_Costs].[ActualSpend].[All]" dimensionUniqueName="[Monthly_Costs]" displayFolder="" count="0" memberValueDatatype="20" unbalanced="0"/>
    <cacheHierarchy uniqueName="[Monthly_Costs].[ActualSpend USD]" caption="ActualSpend USD" attribute="1" defaultMemberUniqueName="[Monthly_Costs].[ActualSpend USD].[All]" allUniqueName="[Monthly_Costs].[ActualSpend USD].[All]" dimensionUniqueName="[Monthly_Costs]" displayFolder="" count="0" memberValueDatatype="5" unbalanced="0"/>
    <cacheHierarchy uniqueName="[Monthly_Costs].[CostVariance]" caption="CostVariance" attribute="1" defaultMemberUniqueName="[Monthly_Costs].[CostVariance].[All]" allUniqueName="[Monthly_Costs].[CostVariance].[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Monthly_Costs].[Month (Year)]" caption="Month (Year)" attribute="1" defaultMemberUniqueName="[Monthly_Costs].[Month (Year)].[All]" allUniqueName="[Monthly_Costs].[Month (Year)].[All]" dimensionUniqueName="[Monthly_Costs]" displayFolder="" count="0" memberValueDatatype="130" unbalanced="0"/>
    <cacheHierarchy uniqueName="[Monthly_Costs].[Month (Quarter)]" caption="Month (Quarter)" attribute="1" defaultMemberUniqueName="[Monthly_Costs].[Month (Quarter)].[All]" allUniqueName="[Monthly_Costs].[Month (Quarter)].[All]" dimensionUniqueName="[Monthly_Costs]" displayFolder="" count="0" memberValueDatatype="130" unbalanced="0"/>
    <cacheHierarchy uniqueName="[Monthly_Costs].[Month (Month)]" caption="Month (Month)" attribute="1" defaultMemberUniqueName="[Monthly_Costs].[Month (Month)].[All]" allUniqueName="[Monthly_Costs].[Month (Month)].[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Name]" caption="ProjectName" attribute="1" defaultMemberUniqueName="[Project_Master].[ProjectName].[All]" allUniqueName="[Project_Master].[Project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Type]" caption="ContractType" attribute="1" defaultMemberUniqueName="[Project_Master].[ContractType].[All]" allUniqueName="[Project_Master].[Contract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Manager]" caption="ProjectManager" attribute="1" defaultMemberUniqueName="[Project_Master].[ProjectManager].[All]" allUniqueName="[Project_Master].[ProjectManager].[All]" dimensionUniqueName="[Project_Master]" displayFolder="" count="0" memberValueDatatype="130" unbalanced="0"/>
    <cacheHierarchy uniqueName="[Project_Master].[ProjectStatus]" caption="ProjectStatus" attribute="1" defaultMemberUniqueName="[Project_Master].[ProjectStatus].[All]" allUniqueName="[Project_Master].[ProjectStatus].[All]" dimensionUniqueName="[Project_Master]" displayFolder="" count="0" memberValueDatatype="130" unbalanced="0"/>
    <cacheHierarchy uniqueName="[Project_Master].[StartDate]" caption="StartDate" attribute="1" time="1" defaultMemberUniqueName="[Project_Master].[StartDate].[All]" allUniqueName="[Project_Master].[StartDate].[All]" dimensionUniqueName="[Project_Master]" displayFolder="" count="0" memberValueDatatype="7" unbalanced="0"/>
    <cacheHierarchy uniqueName="[Project_Master].[PlannedEndDate]" caption="PlannedEndDate" attribute="1" time="1" defaultMemberUniqueName="[Project_Master].[PlannedEndDate].[All]" allUniqueName="[Project_Master].[PlannedEnd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Cost]" caption="ActualCost" attribute="1" defaultMemberUniqueName="[Project_Master].[ActualCost].[All]" allUniqueName="[Project_Master].[ActualCost].[All]" dimensionUniqueName="[Project_Master]" displayFolder="" count="0" memberValueDatatype="20" unbalanced="0"/>
    <cacheHierarchy uniqueName="[Project_Master].[ContractValue]" caption="ContractValue" attribute="1" defaultMemberUniqueName="[Project_Master].[ContractValue].[All]" allUniqueName="[Project_Master].[ContractValue].[All]" dimensionUniqueName="[Project_Master]" displayFolder="" count="0" memberValueDatatype="20" unbalanced="0"/>
    <cacheHierarchy uniqueName="[Project_Master].[RevenueCategory]" caption="RevenueCategory" attribute="1" defaultMemberUniqueName="[Project_Master].[RevenueCategory].[All]" allUniqueName="[Project_Master].[Revenue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Level]" caption="RiskLevel" attribute="1" defaultMemberUniqueName="[Project_Master].[RiskLevel].[All]" allUniqueName="[Project_Master].[Risk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Project_Master].[StartDate (Year)]" caption="StartDate (Year)" attribute="1" defaultMemberUniqueName="[Project_Master].[StartDate (Year)].[All]" allUniqueName="[Project_Master].[StartDate (Year)].[All]" dimensionUniqueName="[Project_Master]" displayFolder="" count="0" memberValueDatatype="130" unbalanced="0"/>
    <cacheHierarchy uniqueName="[Project_Master].[StartDate (Quarter)]" caption="StartDate (Quarter)" attribute="1" defaultMemberUniqueName="[Project_Master].[StartDate (Quarter)].[All]" allUniqueName="[Project_Master].[StartDate (Quarter)].[All]" dimensionUniqueName="[Project_Master]" displayFolder="" count="0" memberValueDatatype="130" unbalanced="0"/>
    <cacheHierarchy uniqueName="[Project_Master].[StartDate (Month)]" caption="StartDate (Month)" attribute="1" defaultMemberUniqueName="[Project_Master].[StartDate (Month)].[All]" allUniqueName="[Project_Master].[StartDate (Month)].[All]" dimensionUniqueName="[Project_Master]" displayFolder="" count="0" memberValueDatatype="130" unbalanced="0"/>
    <cacheHierarchy uniqueName="[Project_Master].[Profit]" caption="Profit" attribute="1" defaultMemberUniqueName="[Project_Master].[Profit].[All]" allUniqueName="[Project_Master].[Profit].[All]" dimensionUniqueName="[Project_Master]" displayFolder="" count="0" memberValueDatatype="20" unbalanced="0"/>
    <cacheHierarchy uniqueName="[Project_Master].[Budget_Varience]" caption="Budget_Varience" attribute="1" defaultMemberUniqueName="[Project_Master].[Budget_Varience].[All]" allUniqueName="[Project_Master].[Budget_Varience].[All]" dimensionUniqueName="[Project_Master]" displayFolder="" count="0" memberValueDatatype="130" unbalanced="0"/>
    <cacheHierarchy uniqueName="[Project_Master].[Cost_Utilization]" caption="Cost_Utilization" attribute="1" defaultMemberUniqueName="[Project_Master].[Cost_Utilization].[All]" allUniqueName="[Project_Master].[Cost_Utilization].[All]" dimensionUniqueName="[Project_Master]" displayFolder="" count="0" memberValueDatatype="130" unbalanced="0"/>
    <cacheHierarchy uniqueName="[Project_Master].[Over_Budget_Flag]" caption="Over_Budget_Flag" attribute="1" defaultMemberUniqueName="[Project_Master].[Over_Budget_Flag].[All]" allUniqueName="[Project_Master].[Over_Budget_Flag].[All]" dimensionUniqueName="[Project_Master]" displayFolder="" count="0" memberValueDatatype="130" unbalanced="0"/>
    <cacheHierarchy uniqueName="[Sales_Transactions].[TransactionID]" caption="TransactionID" attribute="1" defaultMemberUniqueName="[Sales_Transactions].[TransactionID].[All]" allUniqueName="[Sales_Transactions].[Transaction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ID]" caption="ProjectID" attribute="1" defaultMemberUniqueName="[Sales_Transactions].[ProjectID].[All]" allUniqueName="[Sales_Transactions].[ProjectID].[All]" dimensionUniqueName="[Sales_Transactions]" displayFolder="" count="0" memberValueDatatype="130" unbalanced="0"/>
    <cacheHierarchy uniqueName="[Sales_Transactions].[ProjectName]" caption="ProjectName" attribute="1" defaultMemberUniqueName="[Sales_Transactions].[ProjectName].[All]" allUniqueName="[Sales_Transactions].[Project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2" memberValueDatatype="130" unbalanced="0"/>
    <cacheHierarchy uniqueName="[Sales_Transactions].[ContractType]" caption="ContractType" attribute="1" defaultMemberUniqueName="[Sales_Transactions].[ContractType].[All]" allUniqueName="[Sales_Transactions].[Contract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0" memberValueDatatype="130" unbalanced="0"/>
    <cacheHierarchy uniqueName="[Sales_Transactions].[ProjectManager]" caption="ProjectManager" attribute="1" defaultMemberUniqueName="[Sales_Transactions].[ProjectManager].[All]" allUniqueName="[Sales_Transactions].[ProjectManager].[All]" dimensionUniqueName="[Sales_Transactions]" displayFolder="" count="0" memberValueDatatype="130" unbalanced="0"/>
    <cacheHierarchy uniqueName="[Sales_Transactions].[BidID]" caption="BidID" attribute="1" defaultMemberUniqueName="[Sales_Transactions].[BidID].[All]" allUniqueName="[Sales_Transactions].[BidID].[All]" dimensionUniqueName="[Sales_Transactions]" displayFolder="" count="0" memberValueDatatype="130" unbalanced="0"/>
    <cacheHierarchy uniqueName="[Sales_Transactions].[BidSubmissionDate]" caption="BidSubmissionDate" attribute="1" time="1" defaultMemberUniqueName="[Sales_Transactions].[BidSubmissionDate].[All]" allUniqueName="[Sales_Transactions].[BidSubmissionDate].[All]" dimensionUniqueName="[Sales_Transactions]" displayFolder="" count="0" memberValueDatatype="7" unbalanced="0"/>
    <cacheHierarchy uniqueName="[Sales_Transactions].[AwardDate]" caption="AwardDate" attribute="1" defaultMemberUniqueName="[Sales_Transactions].[AwardDate].[All]" allUniqueName="[Sales_Transactions].[AwardDate].[All]" dimensionUniqueName="[Sales_Transactions]" displayFolder="" count="0" memberValueDatatype="130" unbalanced="0"/>
    <cacheHierarchy uniqueName="[Sales_Transactions].[ProjectStartDate]" caption="ProjectStartDate" attribute="1" time="1" defaultMemberUniqueName="[Sales_Transactions].[ProjectStartDate].[All]" allUniqueName="[Sales_Transactions].[ProjectStartDate].[All]" dimensionUniqueName="[Sales_Transactions]" displayFolder="" count="0" memberValueDatatype="7" unbalanced="0"/>
    <cacheHierarchy uniqueName="[Sales_Transactions].[ProjectDurationMonths]" caption="ProjectDurationMonths" attribute="1" defaultMemberUniqueName="[Sales_Transactions].[ProjectDurationMonths].[All]" allUniqueName="[Sales_Transactions].[ProjectDurationMonths].[All]" dimensionUniqueName="[Sales_Transactions]" displayFolder="" count="0" memberValueDatatype="20" unbalanced="0"/>
    <cacheHierarchy uniqueName="[Sales_Transactions].[TenderValue]" caption="TenderValue" attribute="1" defaultMemberUniqueName="[Sales_Transactions].[TenderValue].[All]" allUniqueName="[Sales_Transactions].[TenderValue].[All]" dimensionUniqueName="[Sales_Transactions]" displayFolder="" count="0" memberValueDatatype="20" unbalanced="0"/>
    <cacheHierarchy uniqueName="[Sales_Transactions].[Tender Value USD]" caption="Tender Value USD" attribute="1" defaultMemberUniqueName="[Sales_Transactions].[Tender Value USD].[All]" allUniqueName="[Sales_Transactions].[Tender Value USD].[All]" dimensionUniqueName="[Sales_Transactions]" displayFolder="" count="0" memberValueDatatype="5" unbalanced="0"/>
    <cacheHierarchy uniqueName="[Sales_Transactions].[DiscountPct]" caption="DiscountPct" attribute="1" defaultMemberUniqueName="[Sales_Transactions].[DiscountPct].[All]" allUniqueName="[Sales_Transactions].[DiscountPct].[All]" dimensionUniqueName="[Sales_Transactions]" displayFolder="" count="0" memberValueDatatype="5" unbalanced="0"/>
    <cacheHierarchy uniqueName="[Sales_Transactions].[VariationPct]" caption="VariationPct" attribute="1" defaultMemberUniqueName="[Sales_Transactions].[VariationPct].[All]" allUniqueName="[Sales_Transactions].[VariationPct].[All]" dimensionUniqueName="[Sales_Transactions]" displayFolder="" count="0" memberValueDatatype="5" unbalanced="0"/>
    <cacheHierarchy uniqueName="[Sales_Transactions].[ContractValue]" caption="ContractValue" attribute="1" defaultMemberUniqueName="[Sales_Transactions].[ContractValue].[All]" allUniqueName="[Sales_Transactions].[ContractValue].[All]" dimensionUniqueName="[Sales_Transactions]" displayFolder="" count="0" memberValueDatatype="5"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Estimate]" caption="CostEstimate" attribute="1" defaultMemberUniqueName="[Sales_Transactions].[CostEstimate].[All]" allUniqueName="[Sales_Transactions].[CostEstimate].[All]" dimensionUniqueName="[Sales_Transactions]" displayFolder="" count="0" memberValueDatatype="5" unbalanced="0"/>
    <cacheHierarchy uniqueName="[Sales_Transactions].[Cost Estimate USD]" caption="Cost Estimate USD" attribute="1" defaultMemberUniqueName="[Sales_Transactions].[Cost Estimate USD].[All]" allUniqueName="[Sales_Transactions].[Cost Estimate USD].[All]" dimensionUniqueName="[Sales_Transactions]" displayFolder="" count="0" memberValueDatatype="5" unbalanced="0"/>
    <cacheHierarchy uniqueName="[Sales_Transactions].[GrossMarginPct]" caption="GrossMarginPct" attribute="1" defaultMemberUniqueName="[Sales_Transactions].[GrossMarginPct].[All]" allUniqueName="[Sales_Transactions].[GrossMarginPct].[All]" dimensionUniqueName="[Sales_Transactions]" displayFolder="" count="0" memberValueDatatype="5" unbalanced="0"/>
    <cacheHierarchy uniqueName="[Sales_Transactions].[OverheadPct]" caption="OverheadPct" attribute="1" defaultMemberUniqueName="[Sales_Transactions].[OverheadPct].[All]" allUniqueName="[Sales_Transactions].[OverheadPct].[All]" dimensionUniqueName="[Sales_Transactions]" displayFolder="" count="0" memberValueDatatype="5" unbalanced="0"/>
    <cacheHierarchy uniqueName="[Sales_Transactions].[InvoiceNumber]" caption="InvoiceNumber" attribute="1" defaultMemberUniqueName="[Sales_Transactions].[InvoiceNumber].[All]" allUniqueName="[Sales_Transactions].[InvoiceNumber].[All]" dimensionUniqueName="[Sales_Transactions]" displayFolder="" count="0" memberValueDatatype="130" unbalanced="0"/>
    <cacheHierarchy uniqueName="[Sales_Transactions].[InvoiceValue]" caption="InvoiceValue" attribute="1" defaultMemberUniqueName="[Sales_Transactions].[InvoiceValue].[All]" allUniqueName="[Sales_Transactions].[InvoiceValue].[All]" dimensionUniqueName="[Sales_Transactions]" displayFolder="" count="0" memberValueDatatype="5" unbalanced="0"/>
    <cacheHierarchy uniqueName="[Sales_Transactions].[Invoice Value USD]" caption="Invoice Value USD" attribute="1" defaultMemberUniqueName="[Sales_Transactions].[Invoice Value USD].[All]" allUniqueName="[Sales_Transactions].[Invoice Value USD].[All]" dimensionUniqueName="[Sales_Transactions]" displayFolder="" count="0" memberValueDatatype="5" unbalanced="0"/>
    <cacheHierarchy uniqueName="[Sales_Transactions].[CollectedAmount]" caption="CollectedAmount" attribute="1" defaultMemberUniqueName="[Sales_Transactions].[CollectedAmount].[All]" allUniqueName="[Sales_Transactions].[CollectedAmount].[All]" dimensionUniqueName="[Sales_Transactions]" displayFolder="" count="0" memberValueDatatype="5" unbalanced="0"/>
    <cacheHierarchy uniqueName="[Sales_Transactions].[Collected Amount USD]" caption="Collected Amount USD" attribute="1" defaultMemberUniqueName="[Sales_Transactions].[Collected Amount USD].[All]" allUniqueName="[Sales_Transactions].[Collected Amount USD].[All]" dimensionUniqueName="[Sales_Transactions]" displayFolder="" count="0" memberValueDatatype="5" unbalanced="0"/>
    <cacheHierarchy uniqueName="[Sales_Transactions].[PaymentTermsDays]" caption="PaymentTermsDays" attribute="1" defaultMemberUniqueName="[Sales_Transactions].[PaymentTermsDays].[All]" allUniqueName="[Sales_Transactions].[PaymentTermsDays].[All]" dimensionUniqueName="[Sales_Transactions]" displayFolder="" count="0" memberValueDatatype="20" unbalanced="0"/>
    <cacheHierarchy uniqueName="[Sales_Transactions].[DaysToCollect]" caption="DaysToCollect" attribute="1" defaultMemberUniqueName="[Sales_Transactions].[DaysToCollect].[All]" allUniqueName="[Sales_Transactions].[DaysToCollect].[All]" dimensionUniqueName="[Sales_Transactions]" displayFolder="" count="0" memberValueDatatype="20" unbalanced="0"/>
    <cacheHierarchy uniqueName="[Sales_Transactions].[PaymentMethod]" caption="PaymentMethod" attribute="1" defaultMemberUniqueName="[Sales_Transactions].[PaymentMethod].[All]" allUniqueName="[Sales_Transactions].[PaymentMethod].[All]" dimensionUniqueName="[Sales_Transactions]" displayFolder="" count="0" memberValueDatatype="130" unbalanced="0"/>
    <cacheHierarchy uniqueName="[Sales_Transactions].[SalesStage]" caption="SalesStage" attribute="1" defaultMemberUniqueName="[Sales_Transactions].[SalesStage].[All]" allUniqueName="[Sales_Transactions].[Sales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VATPct]" caption="VATPct" attribute="1" defaultMemberUniqueName="[Sales_Transactions].[VATPct].[All]" allUniqueName="[Sales_Transactions].[VATPct].[All]" dimensionUniqueName="[Sales_Transactions]" displayFolder="" count="0" memberValueDatatype="5" unbalanced="0"/>
    <cacheHierarchy uniqueName="[Sales_Transactions].[RetentionPct]" caption="RetentionPct" attribute="1" defaultMemberUniqueName="[Sales_Transactions].[RetentionPct].[All]" allUniqueName="[Sales_Transactions].[RetentionPct].[All]" dimensionUniqueName="[Sales_Transactions]" displayFolder="" count="0" memberValueDatatype="5" unbalanced="0"/>
    <cacheHierarchy uniqueName="[Sales_Transactions].[ChangeOrdersCount]" caption="ChangeOrdersCount" attribute="1" defaultMemberUniqueName="[Sales_Transactions].[ChangeOrdersCount].[All]" allUniqueName="[Sales_Transactions].[ChangeOrdersCount].[All]" dimensionUniqueName="[Sales_Transactions]" displayFolder="" count="0" memberValueDatatype="20" unbalanced="0"/>
    <cacheHierarchy uniqueName="[Sales_Transactions].[LaborCount]" caption="LaborCount" attribute="1" defaultMemberUniqueName="[Sales_Transactions].[LaborCount].[All]" allUniqueName="[Sales_Transactions].[LaborCount].[All]" dimensionUniqueName="[Sales_Transactions]" displayFolder="" count="0" memberValueDatatype="20" unbalanced="0"/>
    <cacheHierarchy uniqueName="[Sales_Transactions].[EquipmentCost]" caption="EquipmentCost" attribute="1" defaultMemberUniqueName="[Sales_Transactions].[EquipmentCost].[All]" allUniqueName="[Sales_Transactions].[EquipmentCost].[All]" dimensionUniqueName="[Sales_Transactions]" displayFolder="" count="0" memberValueDatatype="5" unbalanced="0"/>
    <cacheHierarchy uniqueName="[Sales_Transactions].[Equipment Cost USD]" caption="Equipment Cost USD" attribute="1" defaultMemberUniqueName="[Sales_Transactions].[Equipment Cost USD].[All]" allUniqueName="[Sales_Transactions].[Equipment Cost USD].[All]" dimensionUniqueName="[Sales_Transactions]" displayFolder="" count="0" memberValueDatatype="5" unbalanced="0"/>
    <cacheHierarchy uniqueName="[Sales_Transactions].[MaterialCost]" caption="MaterialCost" attribute="1" defaultMemberUniqueName="[Sales_Transactions].[MaterialCost].[All]" allUniqueName="[Sales_Transactions].[MaterialCost].[All]" dimensionUniqueName="[Sales_Transactions]" displayFolder="" count="0" memberValueDatatype="5" unbalanced="0"/>
    <cacheHierarchy uniqueName="[Sales_Transactions].[Material Cost USD]" caption="Material Cost USD" attribute="1" defaultMemberUniqueName="[Sales_Transactions].[Material Cost USD].[All]" allUniqueName="[Sales_Transactions].[Material Cost USD].[All]" dimensionUniqueName="[Sales_Transactions]" displayFolder="" count="0" memberValueDatatype="5" unbalanced="0"/>
    <cacheHierarchy uniqueName="[Sales_Transactions].[SubContractor]" caption="SubContractor" attribute="1" defaultMemberUniqueName="[Sales_Transactions].[SubContractor].[All]" allUniqueName="[Sales_Transactions].[Sub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5" unbalanced="0"/>
    <cacheHierarchy uniqueName="[Sales_Transactions].[WarrantyMonths]" caption="WarrantyMonths" attribute="1" defaultMemberUniqueName="[Sales_Transactions].[WarrantyMonths].[All]" allUniqueName="[Sales_Transactions].[WarrantyMonths].[All]" dimensionUniqueName="[Sales_Transactions]" displayFolder="" count="0" memberValueDatatype="20" unbalanced="0"/>
    <cacheHierarchy uniqueName="[Sales_Transactions].[ApprovalStatus]" caption="ApprovalStatus" attribute="1" defaultMemberUniqueName="[Sales_Transactions].[ApprovalStatus].[All]" allUniqueName="[Sales_Transactions].[ApprovalStatus].[All]" dimensionUniqueName="[Sales_Transactions]" displayFolder="" count="0" memberValueDatatype="130" unbalanced="0"/>
    <cacheHierarchy uniqueName="[Sales_Transactions].[RevenueCategory]" caption="RevenueCategory" attribute="1" defaultMemberUniqueName="[Sales_Transactions].[RevenueCategory].[All]" allUniqueName="[Sales_Transactions].[Revenue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Outstanding Amount]" caption="Outstanding Amount" attribute="1" defaultMemberUniqueName="[Sales_Transactions].[Outstanding Amount].[All]" allUniqueName="[Sales_Transactions].[Outstanding Amount].[All]" dimensionUniqueName="[Sales_Transactions]" displayFolder="" count="0" memberValueDatatype="130" unbalanced="0"/>
    <cacheHierarchy uniqueName="[Sales_Transactions].[Gross Profit]" caption="Gross Profit" attribute="1" defaultMemberUniqueName="[Sales_Transactions].[Gross Profit].[All]" allUniqueName="[Sales_Transactions].[Gross Profit].[All]" dimensionUniqueName="[Sales_Transactions]" displayFolder="" count="0" memberValueDatatype="130" unbalanced="0"/>
    <cacheHierarchy uniqueName="[Sales_Transactions].[Estimated Profit]" caption="Estimated Profit" attribute="1" defaultMemberUniqueName="[Sales_Transactions].[Estimated Profit].[All]" allUniqueName="[Sales_Transactions].[Estimated Profit].[All]" dimensionUniqueName="[Sales_Transactions]" displayFolder="" count="0" memberValueDatatype="130" unbalanced="0"/>
    <cacheHierarchy uniqueName="[Sales_Transactions].[Date (Year)]" caption="Date (Year)" attribute="1" defaultMemberUniqueName="[Sales_Transactions].[Date (Year)].[All]" allUniqueName="[Sales_Transactions].[Date (Year)].[All]" dimensionUniqueName="[Sales_Transactions]" displayFolder="" count="0" memberValueDatatype="130" unbalanced="0"/>
    <cacheHierarchy uniqueName="[Sales_Transactions].[Date (Quarter)]" caption="Date (Quarter)" attribute="1" defaultMemberUniqueName="[Sales_Transactions].[Date (Quarter)].[All]" allUniqueName="[Sales_Transactions].[Date (Quarter)].[All]" dimensionUniqueName="[Sales_Transactions]" displayFolder="" count="0" memberValueDatatype="130" unbalanced="0"/>
    <cacheHierarchy uniqueName="[Sales_Transactions].[Date (Month)]" caption="Date (Month)" attribute="1" defaultMemberUniqueName="[Sales_Transactions].[Date (Month)].[All]" allUniqueName="[Sales_Transactions].[Date (Month)].[All]" dimensionUniqueName="[Sales_Transactions]" displayFolder="" count="0" memberValueDatatype="130" unbalanced="0"/>
    <cacheHierarchy uniqueName="[Sales_Transactions].[Collection Rate]" caption="Collection Rate" attribute="1" defaultMemberUniqueName="[Sales_Transactions].[Collection Rate].[All]" allUniqueName="[Sales_Transactions].[Collection Rate].[All]" dimensionUniqueName="[Sales_Transactions]" displayFolder="" count="0" memberValueDatatype="130" unbalanced="0"/>
    <cacheHierarchy uniqueName="[Sales_Transactions].[Win Flag]" caption="Win Flag" attribute="1" defaultMemberUniqueName="[Sales_Transactions].[Win Flag].[All]" allUniqueName="[Sales_Transactions].[Win Flag].[All]" dimensionUniqueName="[Sales_Transactions]" displayFolder="" count="0" memberValueDatatype="20" unbalanced="0"/>
    <cacheHierarchy uniqueName="[Sales_Transactions].[Win/Loss]" caption="Win/Loss" attribute="1" defaultMemberUniqueName="[Sales_Transactions].[Win/Loss].[All]" allUniqueName="[Sales_Transactions].[Win/Loss].[All]" dimensionUniqueName="[Sales_Transactions]" displayFolder="" count="0" memberValueDatatype="130" unbalanced="0"/>
    <cacheHierarchy uniqueName="[Estimator_Team].[JoiningDate (Month Index)]" caption="JoiningDate (Month Index)" attribute="1" defaultMemberUniqueName="[Estimator_Team].[JoiningDate (Month Index)].[All]" allUniqueName="[Estimator_Team].[JoiningDate (Month Index)].[All]" dimensionUniqueName="[Estimator_Team]" displayFolder="" count="0" memberValueDatatype="20" unbalanced="0" hidden="1"/>
    <cacheHierarchy uniqueName="[Monthly_Costs].[Month (Month Index)]" caption="Month (Month Index)" attribute="1" defaultMemberUniqueName="[Monthly_Costs].[Month (Month Index)].[All]" allUniqueName="[Monthly_Costs].[Month (Month Index)].[All]" dimensionUniqueName="[Monthly_Costs]" displayFolder="" count="0" memberValueDatatype="20" unbalanced="0" hidden="1"/>
    <cacheHierarchy uniqueName="[Project_Master].[StartDate (Month Index)]" caption="StartDate (Month Index)" attribute="1" defaultMemberUniqueName="[Project_Master].[StartDate (Month Index)].[All]" allUniqueName="[Project_Master].[StartDate (Month Index)].[All]" dimensionUniqueName="[Project_Master]" displayFolder="" count="0" memberValueDatatype="20" unbalanced="0" hidden="1"/>
    <cacheHierarchy uniqueName="[Sales_Transactions].[Date (Month Index)]" caption="Date (Month Index)" attribute="1" defaultMemberUniqueName="[Sales_Transactions].[Date (Month Index)].[All]" allUniqueName="[Sales_Transactions].[Date (Month Index)].[All]" dimensionUniqueName="[Sales_Transactions]" displayFolder="" count="0" memberValueDatatype="20" unbalanced="0" hidden="1"/>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No measures defined]" caption="__No measures defined" measure="1" displayFolder="" count="0" hidden="1"/>
    <cacheHierarchy uniqueName="[Measures].[Sum of ContractValue]" caption="Sum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Sum of InvoiceValue]" caption="Sum of InvoiceValue" measure="1" displayFolder="" measureGroup="Sales_Transactions" count="0" hidden="1">
      <extLst>
        <ext xmlns:x15="http://schemas.microsoft.com/office/spreadsheetml/2010/11/main" uri="{B97F6D7D-B522-45F9-BDA1-12C45D357490}">
          <x15:cacheHierarchy aggregatedColumn="120"/>
        </ext>
      </extLst>
    </cacheHierarchy>
    <cacheHierarchy uniqueName="[Measures].[Sum of CollectedAmount]" caption="Sum of CollectedAmount" measure="1" displayFolder="" measureGroup="Sales_Transactions" count="0" hidden="1">
      <extLst>
        <ext xmlns:x15="http://schemas.microsoft.com/office/spreadsheetml/2010/11/main" uri="{B97F6D7D-B522-45F9-BDA1-12C45D357490}">
          <x15:cacheHierarchy aggregatedColumn="122"/>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68"/>
        </ext>
      </extLst>
    </cacheHierarchy>
    <cacheHierarchy uniqueName="[Measures].[Sum of ContractValue 2]" caption="Sum of ContractValue 2" measure="1" displayFolder="" measureGroup="Project_Master" count="0" hidden="1">
      <extLst>
        <ext xmlns:x15="http://schemas.microsoft.com/office/spreadsheetml/2010/11/main" uri="{B97F6D7D-B522-45F9-BDA1-12C45D357490}">
          <x15:cacheHierarchy aggregatedColumn="81"/>
        </ext>
      </extLst>
    </cacheHierarchy>
    <cacheHierarchy uniqueName="[Measures].[Sum of TotalContractValue]" caption="Sum of TotalContractValue" measure="1" displayFolder="" measureGroup="Client_Master" count="0" hidden="1">
      <extLst>
        <ext xmlns:x15="http://schemas.microsoft.com/office/spreadsheetml/2010/11/main" uri="{B97F6D7D-B522-45F9-BDA1-12C45D357490}">
          <x15:cacheHierarchy aggregatedColumn="13"/>
        </ext>
      </extLst>
    </cacheHierarchy>
    <cacheHierarchy uniqueName="[Measures].[Count of ClientID]" caption="Count of ClientID" measure="1" displayFolder="" measureGroup="Client_Master" count="0" hidden="1">
      <extLst>
        <ext xmlns:x15="http://schemas.microsoft.com/office/spreadsheetml/2010/11/main" uri="{B97F6D7D-B522-45F9-BDA1-12C45D357490}">
          <x15:cacheHierarchy aggregatedColumn="1"/>
        </ext>
      </extLst>
    </cacheHierarchy>
    <cacheHierarchy uniqueName="[Measures].[Count of TransactionID]" caption="Count of TransactionID" measure="1" displayFolder="" measureGroup="Sales_Transactions" count="0" hidden="1">
      <extLst>
        <ext xmlns:x15="http://schemas.microsoft.com/office/spreadsheetml/2010/11/main" uri="{B97F6D7D-B522-45F9-BDA1-12C45D357490}">
          <x15:cacheHierarchy aggregatedColumn="93"/>
        </ext>
      </extLst>
    </cacheHierarchy>
    <cacheHierarchy uniqueName="[Measures].[Sum of ActualCost]" caption="Sum of ActualCost" measure="1" displayFolder="" measureGroup="Project_Master" count="0" hidden="1">
      <extLst>
        <ext xmlns:x15="http://schemas.microsoft.com/office/spreadsheetml/2010/11/main" uri="{B97F6D7D-B522-45F9-BDA1-12C45D357490}">
          <x15:cacheHierarchy aggregatedColumn="80"/>
        </ext>
      </extLst>
    </cacheHierarchy>
    <cacheHierarchy uniqueName="[Measures].[Sum of Budget]" caption="Sum of Budget" measure="1" displayFolder="" measureGroup="Project_Master" count="0" hidden="1">
      <extLst>
        <ext xmlns:x15="http://schemas.microsoft.com/office/spreadsheetml/2010/11/main" uri="{B97F6D7D-B522-45F9-BDA1-12C45D357490}">
          <x15:cacheHierarchy aggregatedColumn="79"/>
        </ext>
      </extLst>
    </cacheHierarchy>
    <cacheHierarchy uniqueName="[Measures].[Sum of ProjectDurationMonths]" caption="Sum of ProjectDurationMonths" measure="1" displayFolder="" measureGroup="Sales_Transactions" count="0" hidden="1">
      <extLst>
        <ext xmlns:x15="http://schemas.microsoft.com/office/spreadsheetml/2010/11/main" uri="{B97F6D7D-B522-45F9-BDA1-12C45D357490}">
          <x15:cacheHierarchy aggregatedColumn="108"/>
        </ext>
      </extLst>
    </cacheHierarchy>
    <cacheHierarchy uniqueName="[Measures].[Sum of OutstandingBalance]" caption="Sum of OutstandingBalance" measure="1" displayFolder="" measureGroup="Client_Master" count="0" hidden="1">
      <extLst>
        <ext xmlns:x15="http://schemas.microsoft.com/office/spreadsheetml/2010/11/main" uri="{B97F6D7D-B522-45F9-BDA1-12C45D357490}">
          <x15:cacheHierarchy aggregatedColumn="14"/>
        </ext>
      </extLst>
    </cacheHierarchy>
    <cacheHierarchy uniqueName="[Measures].[Count of ClientName]" caption="Count of ClientName" measure="1" displayFolder="" measureGroup="Client_Master" count="0" hidden="1">
      <extLst>
        <ext xmlns:x15="http://schemas.microsoft.com/office/spreadsheetml/2010/11/main" uri="{B97F6D7D-B522-45F9-BDA1-12C45D357490}">
          <x15:cacheHierarchy aggregatedColumn="0"/>
        </ext>
      </extLst>
    </cacheHierarchy>
    <cacheHierarchy uniqueName="[Measures].[Count of ProjectID 2]" caption="Count of ProjectID 2" measure="1" displayFolder="" measureGroup="Sales_Transactions" count="0" hidden="1">
      <extLst>
        <ext xmlns:x15="http://schemas.microsoft.com/office/spreadsheetml/2010/11/main" uri="{B97F6D7D-B522-45F9-BDA1-12C45D357490}">
          <x15:cacheHierarchy aggregatedColumn="95"/>
        </ext>
      </extLst>
    </cacheHierarchy>
    <cacheHierarchy uniqueName="[Measures].[Average of ContractValue]" caption="Average of ContractValue" measure="1" displayFolder="" measureGroup="Sales_Transactions" count="0" hidden="1">
      <extLst>
        <ext xmlns:x15="http://schemas.microsoft.com/office/spreadsheetml/2010/11/main" uri="{B97F6D7D-B522-45F9-BDA1-12C45D357490}">
          <x15:cacheHierarchy aggregatedColumn="113"/>
        </ext>
      </extLst>
    </cacheHierarchy>
    <cacheHierarchy uniqueName="[Measures].[Count of EmployeeID]" caption="Count of EmployeeID" measure="1" displayFolder="" measureGroup="Estimator_Team"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stimator_Team" count="0" hidden="1">
      <extLst>
        <ext xmlns:x15="http://schemas.microsoft.com/office/spreadsheetml/2010/11/main" uri="{B97F6D7D-B522-45F9-BDA1-12C45D357490}">
          <x15:cacheHierarchy aggregatedColumn="33"/>
        </ext>
      </extLst>
    </cacheHierarchy>
    <cacheHierarchy uniqueName="[Measures].[Count of EstimatorName]" caption="Count of EstimatorName" measure="1" displayFolder="" measureGroup="Estimator_Team" count="0" hidden="1">
      <extLst>
        <ext xmlns:x15="http://schemas.microsoft.com/office/spreadsheetml/2010/11/main" uri="{B97F6D7D-B522-45F9-BDA1-12C45D357490}">
          <x15:cacheHierarchy aggregatedColumn="16"/>
        </ext>
      </extLst>
    </cacheHierarchy>
    <cacheHierarchy uniqueName="[Measures].[Sum of Tender Value USD]" caption="Sum of Tender Value USD" measure="1" displayFolder="" measureGroup="Sales_Transactions" count="0" hidden="1">
      <extLst>
        <ext xmlns:x15="http://schemas.microsoft.com/office/spreadsheetml/2010/11/main" uri="{B97F6D7D-B522-45F9-BDA1-12C45D357490}">
          <x15:cacheHierarchy aggregatedColumn="110"/>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59"/>
        </ext>
      </extLst>
    </cacheHierarchy>
    <cacheHierarchy uniqueName="[Measures].[Sum of CostVariance]" caption="Sum of CostVariance" measure="1" displayFolder="" measureGroup="Monthly_Costs" count="0" hidden="1">
      <extLst>
        <ext xmlns:x15="http://schemas.microsoft.com/office/spreadsheetml/2010/11/main" uri="{B97F6D7D-B522-45F9-BDA1-12C45D357490}">
          <x15:cacheHierarchy aggregatedColumn="61"/>
        </ext>
      </extLst>
    </cacheHierarchy>
    <cacheHierarchy uniqueName="[Measures].[Sum of Q1_2026_Achieved]" caption="Sum of Q1_2026_Achieved" measure="1" displayFolder="" measureGroup="Estimator_Team" count="0" hidden="1">
      <extLst>
        <ext xmlns:x15="http://schemas.microsoft.com/office/spreadsheetml/2010/11/main" uri="{B97F6D7D-B522-45F9-BDA1-12C45D357490}">
          <x15:cacheHierarchy aggregatedColumn="27"/>
        </ext>
      </extLst>
    </cacheHierarchy>
    <cacheHierarchy uniqueName="[Measures].[Sum of CostEstimate]" caption="Sum of CostEstimate" measure="1" displayFolder="" measureGroup="Sales_Transactions" count="0" hidden="1">
      <extLst>
        <ext xmlns:x15="http://schemas.microsoft.com/office/spreadsheetml/2010/11/main" uri="{B97F6D7D-B522-45F9-BDA1-12C45D357490}">
          <x15:cacheHierarchy aggregatedColumn="115"/>
        </ext>
      </extLst>
    </cacheHierarchy>
    <cacheHierarchy uniqueName="[Measures].[Sum of LaborCost]" caption="Sum of LaborCost" measure="1" displayFolder="" measureGroup="Monthly_Costs" count="0" hidden="1">
      <extLst>
        <ext xmlns:x15="http://schemas.microsoft.com/office/spreadsheetml/2010/11/main" uri="{B97F6D7D-B522-45F9-BDA1-12C45D357490}">
          <x15:cacheHierarchy aggregatedColumn="45"/>
        </ext>
      </extLst>
    </cacheHierarchy>
    <cacheHierarchy uniqueName="[Measures].[Sum of OverheadCost]" caption="Sum of OverheadCost" measure="1" displayFolder="" measureGroup="Monthly_Costs" count="0" hidden="1">
      <extLst>
        <ext xmlns:x15="http://schemas.microsoft.com/office/spreadsheetml/2010/11/main" uri="{B97F6D7D-B522-45F9-BDA1-12C45D357490}">
          <x15:cacheHierarchy aggregatedColumn="43"/>
        </ext>
      </extLst>
    </cacheHierarchy>
    <cacheHierarchy uniqueName="[Measures].[Sum of Win Flag]" caption="Sum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Average of Win Flag]" caption="Average of Win Flag" measure="1" displayFolder="" measureGroup="Sales_Transactions" count="0" hidden="1">
      <extLst>
        <ext xmlns:x15="http://schemas.microsoft.com/office/spreadsheetml/2010/11/main" uri="{B97F6D7D-B522-45F9-BDA1-12C45D357490}">
          <x15:cacheHierarchy aggregatedColumn="152"/>
        </ext>
      </extLst>
    </cacheHierarchy>
    <cacheHierarchy uniqueName="[Measures].[Count of Win/Loss]" caption="Count of Win/Loss" measure="1" displayFolder="" measureGroup="Sales_Transactions" count="0" hidden="1">
      <extLst>
        <ext xmlns:x15="http://schemas.microsoft.com/office/spreadsheetml/2010/11/main" uri="{B97F6D7D-B522-45F9-BDA1-12C45D357490}">
          <x15:cacheHierarchy aggregatedColumn="153"/>
        </ext>
      </extLst>
    </cacheHierarchy>
    <cacheHierarchy uniqueName="[Measures].[Count of ProjectName]" caption="Count of ProjectName" measure="1" displayFolder="" measureGroup="Sales_Transactions" count="0" hidden="1">
      <extLst>
        <ext xmlns:x15="http://schemas.microsoft.com/office/spreadsheetml/2010/11/main" uri="{B97F6D7D-B522-45F9-BDA1-12C45D357490}">
          <x15:cacheHierarchy aggregatedColumn="96"/>
        </ext>
      </extLst>
    </cacheHierarchy>
    <cacheHierarchy uniqueName="[Measures].[Sum of TenderValue]" caption="Sum of TenderValue" measure="1" displayFolder="" measureGroup="Sales_Transactions" count="0" hidden="1">
      <extLst>
        <ext xmlns:x15="http://schemas.microsoft.com/office/spreadsheetml/2010/11/main" uri="{B97F6D7D-B522-45F9-BDA1-12C45D357490}">
          <x15:cacheHierarchy aggregatedColumn="109"/>
        </ext>
      </extLst>
    </cacheHierarchy>
    <cacheHierarchy uniqueName="[Measures].[Count of Outstanding Amount]" caption="Count of Outstanding Amount" measure="1" displayFolder="" measureGroup="Sales_Transactions" count="0" hidden="1">
      <extLst>
        <ext xmlns:x15="http://schemas.microsoft.com/office/spreadsheetml/2010/11/main" uri="{B97F6D7D-B522-45F9-BDA1-12C45D357490}">
          <x15:cacheHierarchy aggregatedColumn="145"/>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114"/>
        </ext>
      </extLst>
    </cacheHierarchy>
    <cacheHierarchy uniqueName="[Measures].[Sum of Invoice Value USD]" caption="Sum of Invoice Value USD" measure="1" displayFolder="" measureGroup="Sales_Transactions" count="0" hidden="1">
      <extLst>
        <ext xmlns:x15="http://schemas.microsoft.com/office/spreadsheetml/2010/11/main" uri="{B97F6D7D-B522-45F9-BDA1-12C45D357490}">
          <x15:cacheHierarchy aggregatedColumn="121"/>
        </ext>
      </extLst>
    </cacheHierarchy>
    <cacheHierarchy uniqueName="[Measures].[Sum of Collected Amount USD]" caption="Sum of Collected Amount USD" measure="1" displayFolder="" measureGroup="Sales_Transactions" count="0" hidden="1">
      <extLst>
        <ext xmlns:x15="http://schemas.microsoft.com/office/spreadsheetml/2010/11/main" uri="{B97F6D7D-B522-45F9-BDA1-12C45D357490}">
          <x15:cacheHierarchy aggregatedColumn="123"/>
        </ext>
      </extLst>
    </cacheHierarchy>
    <cacheHierarchy uniqueName="[Measures].[Sum of PlannedBudget]" caption="Sum of PlannedBudget" measure="1" displayFolder="" measureGroup="Monthly_Costs" count="0" hidden="1">
      <extLst>
        <ext xmlns:x15="http://schemas.microsoft.com/office/spreadsheetml/2010/11/main" uri="{B97F6D7D-B522-45F9-BDA1-12C45D357490}">
          <x15:cacheHierarchy aggregatedColumn="57"/>
        </ext>
      </extLst>
    </cacheHierarchy>
    <cacheHierarchy uniqueName="[Measures].[Sum of Profit]" caption="Sum of Profit" measure="1" displayFolder="" measureGroup="Project_Master" count="0" hidden="1">
      <extLst>
        <ext xmlns:x15="http://schemas.microsoft.com/office/spreadsheetml/2010/11/main" uri="{B97F6D7D-B522-45F9-BDA1-12C45D357490}">
          <x15:cacheHierarchy aggregatedColumn="89"/>
        </ext>
      </extLst>
    </cacheHierarchy>
    <cacheHierarchy uniqueName="[Measures].[Count of Client]" caption="Count of Client" measure="1" displayFolder="" measureGroup="Project_Master" count="0" hidden="1">
      <extLst>
        <ext xmlns:x15="http://schemas.microsoft.com/office/spreadsheetml/2010/11/main" uri="{B97F6D7D-B522-45F9-BDA1-12C45D357490}">
          <x15:cacheHierarchy aggregatedColumn="70"/>
        </ext>
      </extLst>
    </cacheHierarchy>
    <cacheHierarchy uniqueName="[Measures].[Sum of PlannedBudget USD]" caption="Sum of PlannedBudget USD" measure="1" displayFolder="" measureGroup="Monthly_Costs" count="0" hidden="1">
      <extLst>
        <ext xmlns:x15="http://schemas.microsoft.com/office/spreadsheetml/2010/11/main" uri="{B97F6D7D-B522-45F9-BDA1-12C45D357490}">
          <x15:cacheHierarchy aggregatedColumn="58"/>
        </ext>
      </extLst>
    </cacheHierarchy>
    <cacheHierarchy uniqueName="[Measures].[Sum of ActualSpend USD]" caption="Sum of ActualSpend USD" measure="1" displayFolder="" measureGroup="Monthly_Costs" count="0" hidden="1">
      <extLst>
        <ext xmlns:x15="http://schemas.microsoft.com/office/spreadsheetml/2010/11/main" uri="{B97F6D7D-B522-45F9-BDA1-12C45D357490}">
          <x15:cacheHierarchy aggregatedColumn="60"/>
        </ext>
      </extLst>
    </cacheHierarchy>
    <cacheHierarchy uniqueName="[Measures].[Count of RiskLevel]" caption="Count of RiskLevel" measure="1" displayFolder="" measureGroup="Project_Master" count="0" hidden="1">
      <extLst>
        <ext xmlns:x15="http://schemas.microsoft.com/office/spreadsheetml/2010/11/main" uri="{B97F6D7D-B522-45F9-BDA1-12C45D357490}">
          <x15:cacheHierarchy aggregatedColumn="84"/>
        </ext>
      </extLst>
    </cacheHierarchy>
    <cacheHierarchy uniqueName="[Measures].[Sum of WinRate]" caption="Sum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Target  Achievement %]" caption="Sum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Sum of BidsWon]" caption="Sum of BidsWon" measure="1" displayFolder="" measureGroup="Estimator_Team" count="0" hidden="1">
      <extLst>
        <ext xmlns:x15="http://schemas.microsoft.com/office/spreadsheetml/2010/11/main" uri="{B97F6D7D-B522-45F9-BDA1-12C45D357490}">
          <x15:cacheHierarchy aggregatedColumn="31"/>
        </ext>
      </extLst>
    </cacheHierarchy>
    <cacheHierarchy uniqueName="[Measures].[Sum of Q1_2025_Achieved]" caption="Sum of Q1_2025_Achieved" measure="1" displayFolder="" measureGroup="Estimator_Team" count="0" hidden="1">
      <extLst>
        <ext xmlns:x15="http://schemas.microsoft.com/office/spreadsheetml/2010/11/main" uri="{B97F6D7D-B522-45F9-BDA1-12C45D357490}">
          <x15:cacheHierarchy aggregatedColumn="23"/>
        </ext>
      </extLst>
    </cacheHierarchy>
    <cacheHierarchy uniqueName="[Measures].[Sum of TotalBids]" caption="Sum of TotalBids" measure="1" displayFolder="" measureGroup="Estimator_Team" count="0" hidden="1">
      <extLst>
        <ext xmlns:x15="http://schemas.microsoft.com/office/spreadsheetml/2010/11/main" uri="{B97F6D7D-B522-45F9-BDA1-12C45D357490}">
          <x15:cacheHierarchy aggregatedColumn="30"/>
        </ext>
      </extLst>
    </cacheHierarchy>
    <cacheHierarchy uniqueName="[Measures].[Sum of AnnualTarget]" caption="Sum of AnnualTarget" measure="1" displayFolder="" measureGroup="Estimator_Team" count="0" hidden="1">
      <extLst>
        <ext xmlns:x15="http://schemas.microsoft.com/office/spreadsheetml/2010/11/main" uri="{B97F6D7D-B522-45F9-BDA1-12C45D357490}">
          <x15:cacheHierarchy aggregatedColumn="22"/>
        </ext>
      </extLst>
    </cacheHierarchy>
    <cacheHierarchy uniqueName="[Measures].[Sum of Total Achievements]" caption="Sum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Sum of PaymentTerms]" caption="Sum of PaymentTerms" measure="1" displayFolder="" measureGroup="Client_Master" count="0" hidden="1">
      <extLst>
        <ext xmlns:x15="http://schemas.microsoft.com/office/spreadsheetml/2010/11/main" uri="{B97F6D7D-B522-45F9-BDA1-12C45D357490}">
          <x15:cacheHierarchy aggregatedColumn="9"/>
        </ext>
      </extLst>
    </cacheHierarchy>
    <cacheHierarchy uniqueName="[Measures].[Average of Target  Achievement %]" caption="Average of Target  Achievement %" measure="1" displayFolder="" measureGroup="Estimator_Team" count="0" hidden="1">
      <extLst>
        <ext xmlns:x15="http://schemas.microsoft.com/office/spreadsheetml/2010/11/main" uri="{B97F6D7D-B522-45F9-BDA1-12C45D357490}">
          <x15:cacheHierarchy aggregatedColumn="40"/>
        </ext>
      </extLst>
    </cacheHierarchy>
    <cacheHierarchy uniqueName="[Measures].[Average of Total Achievements]" caption="Average of Total Achievements" measure="1" displayFolder="" measureGroup="Estimator_Team" count="0" hidden="1">
      <extLst>
        <ext xmlns:x15="http://schemas.microsoft.com/office/spreadsheetml/2010/11/main" uri="{B97F6D7D-B522-45F9-BDA1-12C45D357490}">
          <x15:cacheHierarchy aggregatedColumn="39"/>
        </ext>
      </extLst>
    </cacheHierarchy>
    <cacheHierarchy uniqueName="[Measures].[Average of WinRate]" caption="Average of WinRate" measure="1" displayFolder="" measureGroup="Estimator_Team" count="0" hidden="1">
      <extLst>
        <ext xmlns:x15="http://schemas.microsoft.com/office/spreadsheetml/2010/11/main" uri="{B97F6D7D-B522-45F9-BDA1-12C45D357490}">
          <x15:cacheHierarchy aggregatedColumn="28"/>
        </ext>
      </extLst>
    </cacheHierarchy>
    <cacheHierarchy uniqueName="[Measures].[Sum of Q2_2025_Achieved]" caption="Sum of Q2_2025_Achieved" measure="1" displayFolder="" measureGroup="Estimator_Team" count="0" hidden="1">
      <extLst>
        <ext xmlns:x15="http://schemas.microsoft.com/office/spreadsheetml/2010/11/main" uri="{B97F6D7D-B522-45F9-BDA1-12C45D357490}">
          <x15:cacheHierarchy aggregatedColumn="24"/>
        </ext>
      </extLst>
    </cacheHierarchy>
    <cacheHierarchy uniqueName="[Measures].[Sum of Q3_2025_Achieved]" caption="Sum of Q3_2025_Achieved" measure="1" displayFolder="" measureGroup="Estimator_Team" count="0" hidden="1">
      <extLst>
        <ext xmlns:x15="http://schemas.microsoft.com/office/spreadsheetml/2010/11/main" uri="{B97F6D7D-B522-45F9-BDA1-12C45D357490}">
          <x15:cacheHierarchy aggregatedColumn="25"/>
        </ext>
      </extLst>
    </cacheHierarchy>
    <cacheHierarchy uniqueName="[Measures].[Sum of Q4_2025_Achieved]" caption="Sum of Q4_2025_Achieved" measure="1" displayFolder="" measureGroup="Estimator_Team"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9500043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9D1048-8B2C-4866-BEF3-E885EA79D9CA}" name="Invoice Vs Collected" cacheId="15" applyNumberFormats="0" applyBorderFormats="0" applyFontFormats="0" applyPatternFormats="0" applyAlignmentFormats="0" applyWidthHeightFormats="1" dataCaption="Values" tag="22c115f4-a353-4237-a508-5bd03b6c7295" updatedVersion="8" minRefreshableVersion="3" subtotalHiddenItems="1" itemPrintTitles="1" createdVersion="5" indent="0" outline="1" outlineData="1" multipleFieldFilters="0" chartFormat="28">
  <location ref="K3:M25" firstHeaderRow="0" firstDataRow="1" firstDataCol="1"/>
  <pivotFields count="4">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v="8"/>
    </i>
    <i>
      <x v="18"/>
    </i>
    <i>
      <x v="2"/>
    </i>
    <i>
      <x/>
    </i>
    <i>
      <x v="3"/>
    </i>
    <i>
      <x v="16"/>
    </i>
    <i>
      <x v="1"/>
    </i>
    <i>
      <x v="17"/>
    </i>
    <i>
      <x v="5"/>
    </i>
    <i>
      <x v="6"/>
    </i>
    <i>
      <x v="7"/>
    </i>
    <i>
      <x v="10"/>
    </i>
    <i>
      <x v="12"/>
    </i>
    <i>
      <x v="13"/>
    </i>
    <i>
      <x v="19"/>
    </i>
    <i>
      <x v="15"/>
    </i>
    <i>
      <x v="11"/>
    </i>
    <i>
      <x v="20"/>
    </i>
    <i>
      <x v="14"/>
    </i>
    <i>
      <x v="4"/>
    </i>
    <i>
      <x v="9"/>
    </i>
    <i t="grand">
      <x/>
    </i>
  </rowItems>
  <colFields count="1">
    <field x="-2"/>
  </colFields>
  <colItems count="2">
    <i>
      <x/>
    </i>
    <i i="1">
      <x v="1"/>
    </i>
  </colItems>
  <dataFields count="2">
    <dataField name="Sum of Invoice Value USD" fld="1" baseField="0" baseItem="0" numFmtId="169"/>
    <dataField name="Sum of Collected Amount USD" fld="2" baseField="0" baseItem="0" numFmtId="169"/>
  </dataFields>
  <chartFormats count="4">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468822-2BDF-4DBA-ACAC-8AF792EE32F0}" name="Estimator by contract value" cacheId="14" applyNumberFormats="0" applyBorderFormats="0" applyFontFormats="0" applyPatternFormats="0" applyAlignmentFormats="0" applyWidthHeightFormats="1" dataCaption="Values" tag="246f29c8-5a0d-4bc2-b14b-993f598c85ce" updatedVersion="8" minRefreshableVersion="3" useAutoFormatting="1" subtotalHiddenItems="1" itemPrintTitles="1" createdVersion="5" indent="0" outline="1" outlineData="1" multipleFieldFilters="0" chartFormat="23">
  <location ref="H18:I29"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5"/>
    </i>
    <i>
      <x v="4"/>
    </i>
    <i>
      <x v="9"/>
    </i>
    <i>
      <x v="2"/>
    </i>
    <i>
      <x/>
    </i>
    <i>
      <x v="3"/>
    </i>
    <i>
      <x v="7"/>
    </i>
    <i>
      <x v="6"/>
    </i>
    <i>
      <x v="8"/>
    </i>
    <i t="grand">
      <x/>
    </i>
  </rowItems>
  <colItems count="1">
    <i/>
  </colItems>
  <dataFields count="1">
    <dataField name="Sum of Contract Value USD" fld="1" baseField="0" baseItem="0" numFmtId="169"/>
  </dataFields>
  <chartFormats count="7">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0" count="1" selected="0">
            <x v="1"/>
          </reference>
        </references>
      </pivotArea>
    </chartFormat>
    <chartFormat chart="21" format="4">
      <pivotArea type="data" outline="0" fieldPosition="0">
        <references count="2">
          <reference field="4294967294" count="1" selected="0">
            <x v="0"/>
          </reference>
          <reference field="0" count="1" selected="0">
            <x v="2"/>
          </reference>
        </references>
      </pivotArea>
    </chartFormat>
    <chartFormat chart="21" format="5">
      <pivotArea type="data" outline="0" fieldPosition="0">
        <references count="2">
          <reference field="4294967294" count="1" selected="0">
            <x v="0"/>
          </reference>
          <reference field="0" count="1" selected="0">
            <x v="9"/>
          </reference>
        </references>
      </pivotArea>
    </chartFormat>
    <chartFormat chart="21" format="6">
      <pivotArea type="data" outline="0" fieldPosition="0">
        <references count="2">
          <reference field="4294967294" count="1" selected="0">
            <x v="0"/>
          </reference>
          <reference field="0" count="1" selected="0">
            <x v="0"/>
          </reference>
        </references>
      </pivotArea>
    </chartFormat>
    <chartFormat chart="21" format="7">
      <pivotArea type="data" outline="0" fieldPosition="0">
        <references count="2">
          <reference field="4294967294" count="1" selected="0">
            <x v="0"/>
          </reference>
          <reference field="0" count="1" selected="0">
            <x v="3"/>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0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CA818C-66C3-46A4-B3C0-D39AFCFF5AB5}" name="Sales by Region" cacheId="25" applyNumberFormats="0" applyBorderFormats="0" applyFontFormats="0" applyPatternFormats="0" applyAlignmentFormats="0" applyWidthHeightFormats="1" dataCaption="Values" tag="d10ebd08-9cea-4278-b8db-2a36cf4a3b7c" updatedVersion="8" minRefreshableVersion="3" useAutoFormatting="1" subtotalHiddenItems="1" itemPrintTitles="1" createdVersion="5" indent="0" outline="1" outlineData="1" multipleFieldFilters="0" chartFormat="50">
  <location ref="B3:C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i>
    <i>
      <x v="3"/>
    </i>
    <i>
      <x v="2"/>
    </i>
    <i>
      <x v="5"/>
    </i>
    <i>
      <x v="1"/>
    </i>
    <i t="grand">
      <x/>
    </i>
  </rowItems>
  <colItems count="1">
    <i/>
  </colItems>
  <dataFields count="1">
    <dataField name="Sum of Contract Value USD" fld="1" baseField="0" baseItem="0" numFmtId="169"/>
  </dataFields>
  <chartFormats count="5">
    <chartFormat chart="48" format="3" series="1">
      <pivotArea type="data" outline="0" fieldPosition="0">
        <references count="1">
          <reference field="4294967294" count="1" selected="0">
            <x v="0"/>
          </reference>
        </references>
      </pivotArea>
    </chartFormat>
    <chartFormat chart="48" format="4">
      <pivotArea type="data" outline="0" fieldPosition="0">
        <references count="2">
          <reference field="4294967294" count="1" selected="0">
            <x v="0"/>
          </reference>
          <reference field="0" count="1" selected="0">
            <x v="4"/>
          </reference>
        </references>
      </pivotArea>
    </chartFormat>
    <chartFormat chart="48" format="5">
      <pivotArea type="data" outline="0" fieldPosition="0">
        <references count="2">
          <reference field="4294967294" count="1" selected="0">
            <x v="0"/>
          </reference>
          <reference field="0" count="1" selected="0">
            <x v="1"/>
          </reference>
        </references>
      </pivotArea>
    </chartFormat>
    <chartFormat chart="48" format="6">
      <pivotArea type="data" outline="0" fieldPosition="0">
        <references count="2">
          <reference field="4294967294" count="1" selected="0">
            <x v="0"/>
          </reference>
          <reference field="0" count="1" selected="0">
            <x v="5"/>
          </reference>
        </references>
      </pivotArea>
    </chartFormat>
    <chartFormat chart="48" format="7">
      <pivotArea type="data" outline="0" fieldPosition="0">
        <references count="2">
          <reference field="4294967294" count="1" selected="0">
            <x v="0"/>
          </reference>
          <reference field="0"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87AA02-55DF-48CE-9959-20677D2B7D5D}" name="Top Project by Contract value" cacheId="19" applyNumberFormats="0" applyBorderFormats="0" applyFontFormats="0" applyPatternFormats="0" applyAlignmentFormats="0" applyWidthHeightFormats="1" dataCaption="Values" tag="20f650bf-484e-4c22-8f51-d0593d41d61a" updatedVersion="8" minRefreshableVersion="3" useAutoFormatting="1" subtotalHiddenItems="1" itemPrintTitles="1" createdVersion="5" indent="0" outline="1" outlineData="1" multipleFieldFilters="0" chartFormat="12">
  <location ref="B13:C35"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8"/>
    </i>
    <i>
      <x v="8"/>
    </i>
    <i>
      <x v="6"/>
    </i>
    <i>
      <x v="5"/>
    </i>
    <i>
      <x v="16"/>
    </i>
    <i>
      <x v="1"/>
    </i>
    <i>
      <x v="3"/>
    </i>
    <i>
      <x v="17"/>
    </i>
    <i>
      <x v="11"/>
    </i>
    <i>
      <x v="15"/>
    </i>
    <i>
      <x v="7"/>
    </i>
    <i>
      <x v="2"/>
    </i>
    <i>
      <x/>
    </i>
    <i>
      <x v="10"/>
    </i>
    <i>
      <x v="12"/>
    </i>
    <i>
      <x v="19"/>
    </i>
    <i>
      <x v="13"/>
    </i>
    <i>
      <x v="4"/>
    </i>
    <i>
      <x v="9"/>
    </i>
    <i>
      <x v="14"/>
    </i>
    <i>
      <x v="20"/>
    </i>
    <i t="grand">
      <x/>
    </i>
  </rowItems>
  <colItems count="1">
    <i/>
  </colItems>
  <dataFields count="1">
    <dataField name="Sum of Contract Value USD" fld="1" baseField="0" baseItem="0" numFmtId="166"/>
  </dataField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AE19B-F621-4B00-AF96-78474746CD74}" name="PivotTable1" cacheId="16" applyNumberFormats="0" applyBorderFormats="0" applyFontFormats="0" applyPatternFormats="0" applyAlignmentFormats="0" applyWidthHeightFormats="1" dataCaption="Values" tag="1f07c706-b144-4dcc-9314-597ae8e29474" updatedVersion="8" minRefreshableVersion="3" useAutoFormatting="1" subtotalHiddenItems="1" itemPrintTitles="1" createdVersion="5" indent="0" outline="1" outlineData="1" multipleFieldFilters="0" chartFormat="11">
  <location ref="O12:P28"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8"/>
    </i>
    <i>
      <x/>
    </i>
    <i>
      <x v="4"/>
    </i>
    <i>
      <x v="9"/>
    </i>
    <i>
      <x v="3"/>
    </i>
    <i>
      <x v="12"/>
    </i>
    <i>
      <x v="6"/>
    </i>
    <i>
      <x v="10"/>
    </i>
    <i>
      <x v="2"/>
    </i>
    <i>
      <x v="1"/>
    </i>
    <i>
      <x v="11"/>
    </i>
    <i>
      <x v="7"/>
    </i>
    <i>
      <x v="5"/>
    </i>
    <i>
      <x v="13"/>
    </i>
    <i>
      <x v="14"/>
    </i>
    <i t="grand">
      <x/>
    </i>
  </rowItems>
  <colItems count="1">
    <i/>
  </colItems>
  <dataFields count="1">
    <dataField name="Sum of Collected Amount USD" fld="1" baseField="0" baseItem="0" numFmtId="169"/>
  </dataField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553B2D-FD21-4F7E-A675-225513F0F214}" name="Sales Trend" cacheId="18" applyNumberFormats="0" applyBorderFormats="0" applyFontFormats="0" applyPatternFormats="0" applyAlignmentFormats="0" applyWidthHeightFormats="1" dataCaption="Values" tag="1f07c706-b144-4dcc-9314-597ae8e29474" updatedVersion="8" minRefreshableVersion="3" useAutoFormatting="1" subtotalHiddenItems="1" itemPrintTitles="1" createdVersion="5" indent="0" outline="1" outlineData="1" multipleFieldFilters="0" chartFormat="13">
  <location ref="H3:I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ontract Value USD" fld="1" baseField="0" baseItem="0" numFmtId="169"/>
  </dataFields>
  <chartFormats count="1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8"/>
          </reference>
        </references>
      </pivotArea>
    </chartFormat>
    <chartFormat chart="6" format="6">
      <pivotArea type="data" outline="0" fieldPosition="0">
        <references count="2">
          <reference field="4294967294" count="1" selected="0">
            <x v="0"/>
          </reference>
          <reference field="0" count="1" selected="0">
            <x v="1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5"/>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 chart="6" format="11">
      <pivotArea type="data" outline="0" fieldPosition="0">
        <references count="2">
          <reference field="4294967294" count="1" selected="0">
            <x v="0"/>
          </reference>
          <reference field="0" count="1" selected="0">
            <x v="11"/>
          </reference>
        </references>
      </pivotArea>
    </chartFormat>
    <chartFormat chart="6" format="12">
      <pivotArea type="data" outline="0" fieldPosition="0">
        <references count="2">
          <reference field="4294967294" count="1" selected="0">
            <x v="0"/>
          </reference>
          <reference field="0" count="1" selected="0">
            <x v="7"/>
          </reference>
        </references>
      </pivotArea>
    </chartFormat>
    <chartFormat chart="6" format="13">
      <pivotArea type="data" outline="0" fieldPosition="0">
        <references count="2">
          <reference field="4294967294" count="1" selected="0">
            <x v="0"/>
          </reference>
          <reference field="0" count="1" selected="0">
            <x v="6"/>
          </reference>
        </references>
      </pivotArea>
    </chartFormat>
    <chartFormat chart="6" format="14">
      <pivotArea type="data" outline="0" fieldPosition="0">
        <references count="2">
          <reference field="4294967294" count="1" selected="0">
            <x v="0"/>
          </reference>
          <reference field="0" count="1" selected="0">
            <x v="4"/>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0ADF7D-6B43-4D01-AB32-FAAC1C7F9900}" name="Top 10 Clients by Contract Value" cacheId="12" applyNumberFormats="0" applyBorderFormats="0" applyFontFormats="0" applyPatternFormats="0" applyAlignmentFormats="0" applyWidthHeightFormats="1" dataCaption="Values" tag="607aa69d-8d2c-4afe-9184-97a928409c47" updatedVersion="8" minRefreshableVersion="3" useAutoFormatting="1" subtotalHiddenItems="1" itemPrintTitles="1" createdVersion="5" indent="0" outline="1" outlineData="1" multipleFieldFilters="0" chartFormat="13">
  <location ref="E3:F19"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8"/>
    </i>
    <i>
      <x/>
    </i>
    <i>
      <x v="9"/>
    </i>
    <i>
      <x v="3"/>
    </i>
    <i>
      <x v="12"/>
    </i>
    <i>
      <x v="4"/>
    </i>
    <i>
      <x v="1"/>
    </i>
    <i>
      <x v="6"/>
    </i>
    <i>
      <x v="10"/>
    </i>
    <i>
      <x v="11"/>
    </i>
    <i>
      <x v="2"/>
    </i>
    <i>
      <x v="7"/>
    </i>
    <i>
      <x v="13"/>
    </i>
    <i>
      <x v="5"/>
    </i>
    <i>
      <x v="14"/>
    </i>
    <i t="grand">
      <x/>
    </i>
  </rowItems>
  <colItems count="1">
    <i/>
  </colItems>
  <dataFields count="1">
    <dataField name="Sum of Contract Value USD" fld="1" baseField="0" baseItem="0" numFmtId="169"/>
  </dataFields>
  <chartFormats count="2">
    <chartFormat chart="12"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54F848-D67D-4CB2-ACCA-9A61A1310BBC}" name="PivotTable2" cacheId="20" applyNumberFormats="0" applyBorderFormats="0" applyFontFormats="0" applyPatternFormats="0" applyAlignmentFormats="0" applyWidthHeightFormats="1" dataCaption="Values" tag="f2ee04b2-9ada-4308-9276-714640983ea5" updatedVersion="8" minRefreshableVersion="3" useAutoFormatting="1" subtotalHiddenItems="1" itemPrintTitles="1" createdVersion="5" indent="0" outline="1" outlineData="1" multipleFieldFilters="0" chartFormat="70">
  <location ref="E22:F3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ProjectID" fld="0" subtotal="count" baseField="0" baseItem="0"/>
  </dataFields>
  <chartFormats count="8">
    <chartFormat chart="67" format="5" series="1">
      <pivotArea type="data" outline="0" fieldPosition="0">
        <references count="1">
          <reference field="4294967294" count="1" selected="0">
            <x v="0"/>
          </reference>
        </references>
      </pivotArea>
    </chartFormat>
    <chartFormat chart="67" format="6">
      <pivotArea type="data" outline="0" fieldPosition="0">
        <references count="2">
          <reference field="4294967294" count="1" selected="0">
            <x v="0"/>
          </reference>
          <reference field="1" count="1" selected="0">
            <x v="0"/>
          </reference>
        </references>
      </pivotArea>
    </chartFormat>
    <chartFormat chart="67" format="7">
      <pivotArea type="data" outline="0" fieldPosition="0">
        <references count="2">
          <reference field="4294967294" count="1" selected="0">
            <x v="0"/>
          </reference>
          <reference field="1" count="1" selected="0">
            <x v="6"/>
          </reference>
        </references>
      </pivotArea>
    </chartFormat>
    <chartFormat chart="67" format="8">
      <pivotArea type="data" outline="0" fieldPosition="0">
        <references count="2">
          <reference field="4294967294" count="1" selected="0">
            <x v="0"/>
          </reference>
          <reference field="1" count="1" selected="0">
            <x v="1"/>
          </reference>
        </references>
      </pivotArea>
    </chartFormat>
    <chartFormat chart="67" format="9">
      <pivotArea type="data" outline="0" fieldPosition="0">
        <references count="2">
          <reference field="4294967294" count="1" selected="0">
            <x v="0"/>
          </reference>
          <reference field="1" count="1" selected="0">
            <x v="2"/>
          </reference>
        </references>
      </pivotArea>
    </chartFormat>
    <chartFormat chart="67" format="10">
      <pivotArea type="data" outline="0" fieldPosition="0">
        <references count="2">
          <reference field="4294967294" count="1" selected="0">
            <x v="0"/>
          </reference>
          <reference field="1" count="1" selected="0">
            <x v="3"/>
          </reference>
        </references>
      </pivotArea>
    </chartFormat>
    <chartFormat chart="67" format="11">
      <pivotArea type="data" outline="0" fieldPosition="0">
        <references count="2">
          <reference field="4294967294" count="1" selected="0">
            <x v="0"/>
          </reference>
          <reference field="1" count="1" selected="0">
            <x v="4"/>
          </reference>
        </references>
      </pivotArea>
    </chartFormat>
    <chartFormat chart="67" format="12">
      <pivotArea type="data" outline="0" fieldPosition="0">
        <references count="2">
          <reference field="4294967294" count="1" selected="0">
            <x v="0"/>
          </reference>
          <reference field="1" count="1" selected="0">
            <x v="5"/>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B2C213-3933-493A-BD7E-3BB48AC160B3}" name="PivotTable4" cacheId="17" applyNumberFormats="0" applyBorderFormats="0" applyFontFormats="0" applyPatternFormats="0" applyAlignmentFormats="0" applyWidthHeightFormats="1" dataCaption="Values" tag="a216d298-f4b2-4eb0-95e8-ef19778146e6" updatedVersion="8" minRefreshableVersion="3" useAutoFormatting="1" subtotalHiddenItems="1" itemPrintTitles="1" createdVersion="5" indent="0" outline="1" outlineData="1" multipleFieldFilters="0" chartFormat="14">
  <location ref="R3:T19" firstHeaderRow="0" firstDataRow="1" firstDataCol="1"/>
  <pivotFields count="4">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v="8"/>
    </i>
    <i>
      <x/>
    </i>
    <i>
      <x v="9"/>
    </i>
    <i>
      <x v="3"/>
    </i>
    <i>
      <x v="12"/>
    </i>
    <i>
      <x v="4"/>
    </i>
    <i>
      <x v="1"/>
    </i>
    <i>
      <x v="6"/>
    </i>
    <i>
      <x v="10"/>
    </i>
    <i>
      <x v="11"/>
    </i>
    <i>
      <x v="2"/>
    </i>
    <i>
      <x v="7"/>
    </i>
    <i>
      <x v="13"/>
    </i>
    <i>
      <x v="5"/>
    </i>
    <i>
      <x v="14"/>
    </i>
    <i t="grand">
      <x/>
    </i>
  </rowItems>
  <colFields count="1">
    <field x="-2"/>
  </colFields>
  <colItems count="2">
    <i>
      <x/>
    </i>
    <i i="1">
      <x v="1"/>
    </i>
  </colItems>
  <dataFields count="2">
    <dataField name="Sum of Tender Value USD" fld="1" baseField="0" baseItem="0" numFmtId="169"/>
    <dataField name="Sum of Contract Value USD" fld="2" baseField="0" baseItem="0" numFmtId="169"/>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80F808-62E6-46D1-9E9A-642BA04FB3DA}" name="PivotTable3" cacheId="13" applyNumberFormats="0" applyBorderFormats="0" applyFontFormats="0" applyPatternFormats="0" applyAlignmentFormats="0" applyWidthHeightFormats="1" dataCaption="Values" tag="ec35bcc2-9237-474d-ab2e-6c848b28060b" updatedVersion="8" minRefreshableVersion="3" useAutoFormatting="1" subtotalHiddenItems="1" itemPrintTitles="1" createdVersion="5" indent="0" outline="1" outlineData="1" multipleFieldFilters="0" chartFormat="18">
  <location ref="K32:L4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i>
    <i>
      <x v="8"/>
    </i>
    <i>
      <x v="3"/>
    </i>
    <i>
      <x v="4"/>
    </i>
    <i>
      <x v="5"/>
    </i>
    <i>
      <x v="9"/>
    </i>
    <i>
      <x v="1"/>
    </i>
    <i>
      <x v="2"/>
    </i>
    <i>
      <x v="6"/>
    </i>
    <i t="grand">
      <x/>
    </i>
  </rowItems>
  <colItems count="1">
    <i/>
  </colItems>
  <dataFields count="1">
    <dataField name="Sum of Invoice Value USD" fld="1" baseField="0" baseItem="0" numFmtId="169"/>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196">
      <autoFilter ref="A1">
        <filterColumn colId="0">
          <top10 val="10" filterVal="10"/>
        </filterColumn>
      </autoFilter>
    </filter>
  </filters>
  <rowHierarchiesUsage count="1">
    <rowHierarchyUsage hierarchyUsage="9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76F3D4-C9BF-479D-AD01-BA405D1C4E1E}" name="Project Status Distribution" cacheId="26" applyNumberFormats="0" applyBorderFormats="0" applyFontFormats="0" applyPatternFormats="0" applyAlignmentFormats="0" applyWidthHeightFormats="1" dataCaption="Values" tag="1486189c-9433-40b7-8363-7bdeaf98d1b0" updatedVersion="8" minRefreshableVersion="3" subtotalHiddenItems="1" itemPrintTitles="1" createdVersion="5" indent="0" outline="1" outlineData="1" multipleFieldFilters="0" chartFormat="22">
  <location ref="B3:C9"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2"/>
    </i>
    <i>
      <x v="1"/>
    </i>
    <i>
      <x v="3"/>
    </i>
    <i>
      <x v="4"/>
    </i>
    <i t="grand">
      <x/>
    </i>
  </rowItems>
  <colItems count="1">
    <i/>
  </colItems>
  <dataFields count="1">
    <dataField name="Count of ProjectID" fld="0" subtotal="count" baseField="0" baseItem="0"/>
  </dataFields>
  <chartFormats count="7">
    <chartFormat chart="19" format="13"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 chart="8" format="17">
      <pivotArea type="data" outline="0" fieldPosition="0">
        <references count="2">
          <reference field="4294967294" count="1" selected="0">
            <x v="0"/>
          </reference>
          <reference field="1" count="1" selected="0">
            <x v="3"/>
          </reference>
        </references>
      </pivotArea>
    </chartFormat>
    <chartFormat chart="8" format="18">
      <pivotArea type="data" outline="0" fieldPosition="0">
        <references count="2">
          <reference field="4294967294" count="1" selected="0">
            <x v="0"/>
          </reference>
          <reference field="1" count="1" selected="0">
            <x v="4"/>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B6D8BC-C4FB-40D7-8715-4185901ED3D8}" name="Contract vs actual" cacheId="27" applyNumberFormats="0" applyBorderFormats="0" applyFontFormats="0" applyPatternFormats="0" applyAlignmentFormats="0" applyWidthHeightFormats="1" dataCaption="Values" tag="4f878d77-effd-4083-aa6d-801e401c6de0" updatedVersion="8" minRefreshableVersion="3" subtotalHiddenItems="1" itemPrintTitles="1" createdVersion="5" indent="0" outline="1" outlineData="1" multipleFieldFilters="0" chartFormat="14">
  <location ref="E3:G23" firstHeaderRow="0" firstDataRow="1" firstDataCol="1"/>
  <pivotFields count="5">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1"/>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20">
    <i>
      <x v="7"/>
    </i>
    <i>
      <x v="6"/>
    </i>
    <i>
      <x v="5"/>
    </i>
    <i>
      <x v="9"/>
    </i>
    <i>
      <x v="17"/>
    </i>
    <i>
      <x v="11"/>
    </i>
    <i>
      <x v="1"/>
    </i>
    <i>
      <x v="18"/>
    </i>
    <i>
      <x v="2"/>
    </i>
    <i>
      <x v="15"/>
    </i>
    <i>
      <x v="16"/>
    </i>
    <i>
      <x v="14"/>
    </i>
    <i>
      <x v="4"/>
    </i>
    <i>
      <x v="13"/>
    </i>
    <i>
      <x v="12"/>
    </i>
    <i>
      <x v="10"/>
    </i>
    <i>
      <x v="8"/>
    </i>
    <i>
      <x/>
    </i>
    <i>
      <x v="3"/>
    </i>
    <i t="grand">
      <x/>
    </i>
  </rowItems>
  <colFields count="1">
    <field x="-2"/>
  </colFields>
  <colItems count="2">
    <i>
      <x/>
    </i>
    <i i="1">
      <x v="1"/>
    </i>
  </colItems>
  <dataFields count="2">
    <dataField name="Sum of Budget" fld="3" baseField="0" baseItem="0" numFmtId="169"/>
    <dataField name="Sum of ActualCost" fld="4" baseField="0" baseItem="0" numFmtId="169"/>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2">
    <filter fld="1" type="count" id="2" iMeasureHier="168">
      <autoFilter ref="A1">
        <filterColumn colId="0">
          <top10 val="10" filterVal="10"/>
        </filterColumn>
      </autoFilter>
    </filter>
    <filter fld="2" type="count" id="3" iMeasureHier="168">
      <autoFilter ref="A1">
        <filterColumn colId="0">
          <top10 val="10" filterVal="10"/>
        </filterColumn>
      </autoFilter>
    </filter>
  </filters>
  <rowHierarchiesUsage count="1">
    <rowHierarchyUsage hierarchyUsage="6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7CD65C-96CB-4A67-872B-8EE250A3837D}" name="PivotTable2" cacheId="31" applyNumberFormats="0" applyBorderFormats="0" applyFontFormats="0" applyPatternFormats="0" applyAlignmentFormats="0" applyWidthHeightFormats="1" dataCaption="Values" tag="3cbe8804-470d-4329-88eb-91c1bcc9b9e5" updatedVersion="8" minRefreshableVersion="3" useAutoFormatting="1" subtotalHiddenItems="1" itemPrintTitles="1" createdVersion="5" indent="0" outline="1" outlineData="1" multipleFieldFilters="0" chartFormat="11">
  <location ref="B11:C22" firstHeaderRow="1" firstDataRow="1" firstDataCol="1"/>
  <pivotFields count="2">
    <pivotField axis="axisRow" allDrilled="1" subtotalTop="0" showAll="0" measureFilter="1"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4"/>
    </i>
    <i>
      <x v="9"/>
    </i>
    <i>
      <x v="2"/>
    </i>
    <i>
      <x v="3"/>
    </i>
    <i>
      <x/>
    </i>
    <i>
      <x v="5"/>
    </i>
    <i>
      <x v="6"/>
    </i>
    <i>
      <x v="7"/>
    </i>
    <i>
      <x v="8"/>
    </i>
    <i t="grand">
      <x/>
    </i>
  </rowItems>
  <colItems count="1">
    <i/>
  </colItems>
  <dataFields count="1">
    <dataField name="Sum of Profit" fld="1" baseField="0" baseItem="0"/>
  </dataFields>
  <formats count="1">
    <format dxfId="35">
      <pivotArea collapsedLevelsAreSubtotals="1" fieldPosition="0">
        <references count="1">
          <reference field="0" count="0"/>
        </references>
      </pivotArea>
    </format>
  </formats>
  <chartFormats count="5">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13"/>
          </reference>
        </references>
      </pivotArea>
    </chartFormat>
    <chartFormat chart="10" format="4">
      <pivotArea type="data" outline="0" fieldPosition="0">
        <references count="2">
          <reference field="4294967294" count="1" selected="0">
            <x v="0"/>
          </reference>
          <reference field="0" count="1" selected="0">
            <x v="12"/>
          </reference>
        </references>
      </pivotArea>
    </chartFormat>
    <chartFormat chart="10" format="5">
      <pivotArea type="data" outline="0" fieldPosition="0">
        <references count="2">
          <reference field="4294967294" count="1" selected="0">
            <x v="0"/>
          </reference>
          <reference field="0" count="1" selected="0">
            <x v="10"/>
          </reference>
        </references>
      </pivotArea>
    </chartFormat>
    <chartFormat chart="10" format="6">
      <pivotArea type="data" outline="0" fieldPosition="0">
        <references count="2">
          <reference field="4294967294" count="1" selected="0">
            <x v="0"/>
          </reference>
          <reference field="0" count="1" selected="0">
            <x v="1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2" iMeasureHier="199">
      <autoFilter ref="A1">
        <filterColumn colId="0">
          <top10 val="10" filterVal="10"/>
        </filterColumn>
      </autoFilter>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3496A7-03F3-4079-9211-862F15766D17}" name="project by risklevel" cacheId="28" applyNumberFormats="0" applyBorderFormats="0" applyFontFormats="0" applyPatternFormats="0" applyAlignmentFormats="0" applyWidthHeightFormats="1" dataCaption="Values" tag="507609d2-e81d-4d5e-be20-cc88413ba9ac" updatedVersion="8" minRefreshableVersion="3" useAutoFormatting="1" subtotalHiddenItems="1" itemPrintTitles="1" createdVersion="5" indent="0" outline="1" outlineData="1" multipleFieldFilters="0" chartFormat="13">
  <location ref="I18:J23"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i>
    <i>
      <x v="2"/>
    </i>
    <i>
      <x v="1"/>
    </i>
    <i t="grand">
      <x/>
    </i>
  </rowItems>
  <colItems count="1">
    <i/>
  </colItems>
  <dataFields count="1">
    <dataField name="Count of ProjectID" fld="0" subtotal="count" baseField="0" baseItem="0"/>
  </dataField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8680F7-7470-4717-B478-3F18FC638FC4}" name="Top 10 Projects by Contract Value" cacheId="29" applyNumberFormats="0" applyBorderFormats="0" applyFontFormats="0" applyPatternFormats="0" applyAlignmentFormats="0" applyWidthHeightFormats="1" dataCaption="Values" tag="bddbe872-cc41-4824-b32f-7da1bd409a8e" updatedVersion="8" minRefreshableVersion="3" subtotalHiddenItems="1" itemPrintTitles="1" createdVersion="5" indent="0" outline="1" outlineData="1" multipleFieldFilters="0" chartFormat="5">
  <location ref="E25:F3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5">
        <item x="0"/>
        <item x="1"/>
        <item x="2"/>
        <item x="3"/>
        <item x="4"/>
        <item x="5"/>
        <item x="6"/>
        <item x="7"/>
        <item x="8"/>
        <item x="9"/>
        <item x="10"/>
        <item x="11"/>
        <item x="12"/>
        <item x="13"/>
        <item x="14"/>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7"/>
    </i>
    <i>
      <x v="4"/>
    </i>
    <i>
      <x v="1"/>
    </i>
    <i>
      <x v="3"/>
    </i>
    <i>
      <x v="2"/>
    </i>
    <i>
      <x v="6"/>
    </i>
    <i>
      <x/>
    </i>
    <i>
      <x v="5"/>
    </i>
    <i t="grand">
      <x/>
    </i>
  </rowItems>
  <colItems count="1">
    <i/>
  </colItems>
  <dataFields count="1">
    <dataField name="Count of ProjectID" fld="3" subtotal="count" baseField="0" baseItem="0"/>
  </dataField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2">
    <filter fld="0" type="count" id="1" iMeasureHier="168">
      <autoFilter ref="A1">
        <filterColumn colId="0">
          <top10 val="10" filterVal="10"/>
        </filterColumn>
      </autoFilter>
    </filter>
    <filter fld="1" type="count" id="2" iMeasureHier="168">
      <autoFilter ref="A1">
        <filterColumn colId="0">
          <top10 val="10" filterVal="10"/>
        </filterColumn>
      </autoFilter>
    </filter>
  </filters>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153A3C5-29A7-4810-A83A-929FBCD64CD1}" name="Project Trend" cacheId="24" applyNumberFormats="0" applyBorderFormats="0" applyFontFormats="0" applyPatternFormats="0" applyAlignmentFormats="0" applyWidthHeightFormats="1" dataCaption="Values" tag="cc644ba4-dd56-496f-b94b-9fb54d331629" updatedVersion="8" minRefreshableVersion="3" subtotalHiddenItems="1" itemPrintTitles="1" createdVersion="5" indent="0" outline="1" outlineData="1" multipleFieldFilters="0" chartFormat="9">
  <location ref="I3:J1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of Project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168">
      <autoFilter ref="A1">
        <filterColumn colId="0">
          <top10 val="10" filterVal="10"/>
        </filterColumn>
      </autoFilter>
    </filter>
  </filters>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CD768E-2090-4EAC-9991-4F36764F7037}" name="PivotTable4" cacheId="5" applyNumberFormats="0" applyBorderFormats="0" applyFontFormats="0" applyPatternFormats="0" applyAlignmentFormats="0" applyWidthHeightFormats="1" dataCaption="Values" tag="dd869ac3-698a-48f3-9fd2-379114395505" updatedVersion="8" minRefreshableVersion="3" useAutoFormatting="1" subtotalHiddenItems="1" itemPrintTitles="1" createdVersion="5" indent="0" outline="1" outlineData="1" multipleFieldFilters="0" chartFormat="15">
  <location ref="N11:O1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OutstandingBalance" fld="2" baseField="0" baseItem="0" numFmtId="169"/>
  </dataFields>
  <formats count="1">
    <format dxfId="28">
      <pivotArea outline="0" collapsedLevelsAreSubtotals="1" fieldPosition="0"/>
    </format>
  </formats>
  <chartFormats count="1">
    <chartFormat chart="13" format="5"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DA362F9-ABC1-4458-8F4C-FDCD236451D6}" name="count by country" cacheId="2" applyNumberFormats="0" applyBorderFormats="0" applyFontFormats="0" applyPatternFormats="0" applyAlignmentFormats="0" applyWidthHeightFormats="1" dataCaption="Values" tag="9f4e43b4-3a59-4ceb-bd43-b41610c71eaa" updatedVersion="8" minRefreshableVersion="3" useAutoFormatting="1" subtotalHiddenItems="1" itemPrintTitles="1" createdVersion="5" indent="0" outline="1" outlineData="1" multipleFieldFilters="0">
  <location ref="K10:L15"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TotalContractValue" fld="2" baseField="0" baseItem="0" numFmtId="169"/>
  </dataFields>
  <formats count="1">
    <format dxfId="29">
      <pivotArea outline="0" collapsedLevelsAreSubtotals="1" fieldPosition="0"/>
    </format>
  </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A7B0497-0DC7-4D88-AA89-F2C9557DD441}" name="PivotTable3" cacheId="0" applyNumberFormats="0" applyBorderFormats="0" applyFontFormats="0" applyPatternFormats="0" applyAlignmentFormats="0" applyWidthHeightFormats="1" dataCaption="Values" tag="752be11f-72d3-4998-b91a-30396dd53bdf" updatedVersion="8" minRefreshableVersion="3" useAutoFormatting="1" subtotalHiddenItems="1" itemPrintTitles="1" createdVersion="5" indent="0" outline="1" outlineData="1" multipleFieldFilters="0" chartFormat="15">
  <location ref="N3:O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TotalContractValue" fld="2" baseField="0" baseItem="0" numFmtId="169"/>
  </dataFields>
  <formats count="1">
    <format dxfId="30">
      <pivotArea outline="0" collapsedLevelsAreSubtotals="1" fieldPosition="0"/>
    </format>
  </formats>
  <chartFormats count="1">
    <chartFormat chart="10" format="6"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D65370-AE2B-4DE0-987E-91F6365C8B19}" name="PivotTable1" cacheId="32" applyNumberFormats="0" applyBorderFormats="0" applyFontFormats="0" applyPatternFormats="0" applyAlignmentFormats="0" applyWidthHeightFormats="1" dataCaption="Values" tag="8be7229c-470f-4c17-869e-3e678ed1bd22" updatedVersion="8" minRefreshableVersion="3" subtotalHiddenItems="1" itemPrintTitles="1" createdVersion="5" indent="0" outline="1" outlineData="1" multipleFieldFilters="0" chartFormat="9">
  <location ref="E3:F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1"/>
    </i>
    <i>
      <x v="7"/>
    </i>
    <i>
      <x v="2"/>
    </i>
    <i>
      <x v="5"/>
    </i>
    <i>
      <x v="8"/>
    </i>
    <i>
      <x v="9"/>
    </i>
    <i>
      <x v="3"/>
    </i>
    <i>
      <x v="4"/>
    </i>
    <i>
      <x/>
    </i>
    <i t="grand">
      <x/>
    </i>
  </rowItems>
  <colItems count="1">
    <i/>
  </colItems>
  <dataFields count="1">
    <dataField name="Sum of OutstandingBalance" fld="1" baseField="0" baseItem="0" numFmtId="169"/>
  </dataFields>
  <formats count="1">
    <format dxfId="31">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2" iMeasureHier="17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B962D9-FEAF-4F7C-A689-7CD1F7203562}" name="count by industry" cacheId="4" applyNumberFormats="0" applyBorderFormats="0" applyFontFormats="0" applyPatternFormats="0" applyAlignmentFormats="0" applyWidthHeightFormats="1" dataCaption="Values" tag="a351bc50-0f9c-49cb-b7f8-d15732090ea6" updatedVersion="8" minRefreshableVersion="3" useAutoFormatting="1" subtotalHiddenItems="1" itemPrintTitles="1" createdVersion="5" indent="0" outline="1" outlineData="1" multipleFieldFilters="0" chartFormat="8">
  <location ref="K3:L8"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3"/>
    </i>
    <i>
      <x/>
    </i>
    <i>
      <x v="2"/>
    </i>
    <i>
      <x v="1"/>
    </i>
    <i t="grand">
      <x/>
    </i>
  </rowItems>
  <colItems count="1">
    <i/>
  </colItems>
  <dataFields count="1">
    <dataField name="Sum of TotalContractValue" fld="2" baseField="0" baseItem="0" numFmtId="169"/>
  </dataFields>
  <formats count="1">
    <format dxfId="32">
      <pivotArea outline="0" collapsedLevelsAreSubtotals="1" fieldPosition="0"/>
    </format>
  </format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3"/>
          </reference>
        </references>
      </pivotArea>
    </chartFormat>
    <chartFormat chart="7" format="4">
      <pivotArea type="data" outline="0" fieldPosition="0">
        <references count="2">
          <reference field="4294967294" count="1" selected="0">
            <x v="0"/>
          </reference>
          <reference field="1" count="1" selected="0">
            <x v="0"/>
          </reference>
        </references>
      </pivotArea>
    </chartFormat>
    <chartFormat chart="7" format="5">
      <pivotArea type="data" outline="0" fieldPosition="0">
        <references count="2">
          <reference field="4294967294" count="1" selected="0">
            <x v="0"/>
          </reference>
          <reference field="1" count="1" selected="0">
            <x v="2"/>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41C817C-6287-4CC8-86CD-BB5A87E0B53A}" name="count by region" cacheId="3" applyNumberFormats="0" applyBorderFormats="0" applyFontFormats="0" applyPatternFormats="0" applyAlignmentFormats="0" applyWidthHeightFormats="1" dataCaption="Values" tag="7e721190-a21e-4b8c-99ab-6b64d3b68f72" updatedVersion="8" minRefreshableVersion="3" useAutoFormatting="1" subtotalHiddenItems="1" itemPrintTitles="1" createdVersion="5" indent="0" outline="1" outlineData="1" multipleFieldFilters="0" chartFormat="6">
  <location ref="H3:I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1"/>
    </i>
    <i>
      <x v="2"/>
    </i>
    <i>
      <x/>
    </i>
    <i>
      <x v="4"/>
    </i>
    <i t="grand">
      <x/>
    </i>
  </rowItems>
  <colItems count="1">
    <i/>
  </colItems>
  <dataFields count="1">
    <dataField name="Sum of TotalContractValue" fld="2" baseField="0" baseItem="0" numFmtId="169"/>
  </dataFields>
  <formats count="1">
    <format dxfId="3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F894557-A03A-47B4-BB9F-EAABDBBD523F}" name="Top Clients by Contract Value" cacheId="1" applyNumberFormats="0" applyBorderFormats="0" applyFontFormats="0" applyPatternFormats="0" applyAlignmentFormats="0" applyWidthHeightFormats="1" dataCaption="Values" tag="510e2a23-837d-414f-ac41-12ff1d827705" updatedVersion="8" minRefreshableVersion="3" subtotalHiddenItems="1" itemPrintTitles="1" createdVersion="5" indent="0" outline="1" outlineData="1" multipleFieldFilters="0" chartFormat="8">
  <location ref="B3:C19"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10"/>
    </i>
    <i>
      <x v="11"/>
    </i>
    <i>
      <x v="13"/>
    </i>
    <i>
      <x/>
    </i>
    <i>
      <x v="12"/>
    </i>
    <i>
      <x v="2"/>
    </i>
    <i>
      <x v="1"/>
    </i>
    <i>
      <x v="8"/>
    </i>
    <i>
      <x v="6"/>
    </i>
    <i>
      <x v="7"/>
    </i>
    <i>
      <x v="4"/>
    </i>
    <i>
      <x v="9"/>
    </i>
    <i>
      <x v="5"/>
    </i>
    <i>
      <x v="14"/>
    </i>
    <i>
      <x v="3"/>
    </i>
    <i t="grand">
      <x/>
    </i>
  </rowItems>
  <colItems count="1">
    <i/>
  </colItems>
  <dataFields count="1">
    <dataField name="Sum of TotalContractValue" fld="1" baseField="0" baseItem="0" numFmtId="169"/>
  </dataFields>
  <formats count="1">
    <format dxfId="3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AE3CEF5-C822-474F-B451-83B226ED401B}" name="PivotTable2" cacheId="30" applyNumberFormats="0" applyBorderFormats="0" applyFontFormats="0" applyPatternFormats="0" applyAlignmentFormats="0" applyWidthHeightFormats="1" dataCaption="Values" tag="7e721190-a21e-4b8c-99ab-6b64d3b68f72" updatedVersion="8" minRefreshableVersion="3" useAutoFormatting="1" subtotalHiddenItems="1" itemPrintTitles="1" createdVersion="5" indent="0" outline="1" outlineData="1" multipleFieldFilters="0">
  <location ref="H11:I1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1"/>
    </i>
    <i>
      <x/>
    </i>
    <i>
      <x v="2"/>
    </i>
    <i>
      <x v="4"/>
    </i>
    <i t="grand">
      <x/>
    </i>
  </rowItems>
  <colItems count="1">
    <i/>
  </colItems>
  <dataFields count="1">
    <dataField name="Count of ClientID" fld="2" subtotal="count" baseField="0" baseItem="0"/>
  </dataField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01DE0BF-FA7D-445A-8650-035690447EB1}" name="PivotTable5" cacheId="10" applyNumberFormats="0" applyBorderFormats="0" applyFontFormats="0" applyPatternFormats="0" applyAlignmentFormats="0" applyWidthHeightFormats="1" dataCaption="Values" tag="9863c0eb-1172-4d9b-ba03-f35c29843676" updatedVersion="8" minRefreshableVersion="3" useAutoFormatting="1" subtotalHiddenItems="1" itemPrintTitles="1" createdVersion="5" indent="0" outline="1" outlineData="1" multipleFieldFilters="0" chartFormat="11">
  <location ref="G16:L27" firstHeaderRow="0"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Sum of Q1_2025_Achieved" fld="2" baseField="0" baseItem="0"/>
    <dataField name="Sum of Q2_2025_Achieved" fld="3" baseField="0" baseItem="0"/>
    <dataField name="Sum of Q3_2025_Achieved" fld="4" baseField="0" baseItem="0"/>
    <dataField name="Sum of Q4_2025_Achieved" fld="5" baseField="0" baseItem="0"/>
    <dataField name="Sum of Q1_2026_Achieved" fld="6" baseField="0" baseItem="0"/>
  </dataFields>
  <formats count="7">
    <format dxfId="11">
      <pivotArea outline="0" collapsedLevelsAreSubtotals="1" fieldPosition="0"/>
    </format>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fieldPosition="0">
        <references count="1">
          <reference field="4294967294" count="5">
            <x v="0"/>
            <x v="1"/>
            <x v="2"/>
            <x v="3"/>
            <x v="4"/>
          </reference>
        </references>
      </pivotArea>
    </format>
  </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E7903CF-57F5-4F2B-83FF-BC01B5C7DAED}" name="PivotTable6" cacheId="11" applyNumberFormats="0" applyBorderFormats="0" applyFontFormats="0" applyPatternFormats="0" applyAlignmentFormats="0" applyWidthHeightFormats="1" dataCaption="Values" tag="2e3a7cd4-0bf1-4c33-83e3-05252a9151f1" updatedVersion="8" minRefreshableVersion="3" subtotalHiddenItems="1" itemPrintTitles="1" createdVersion="5" indent="0" outline="1" outlineData="1" multipleFieldFilters="0" chartFormat="19">
  <location ref="N16:Q22" firstHeaderRow="0"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2"/>
            </reference>
          </references>
        </pivotArea>
      </autoSortScope>
    </pivotField>
  </pivotFields>
  <rowFields count="1">
    <field x="5"/>
  </rowFields>
  <rowItems count="6">
    <i>
      <x v="4"/>
    </i>
    <i>
      <x v="2"/>
    </i>
    <i>
      <x/>
    </i>
    <i>
      <x v="3"/>
    </i>
    <i>
      <x v="1"/>
    </i>
    <i t="grand">
      <x/>
    </i>
  </rowItems>
  <colFields count="1">
    <field x="-2"/>
  </colFields>
  <colItems count="3">
    <i>
      <x/>
    </i>
    <i i="1">
      <x v="1"/>
    </i>
    <i i="2">
      <x v="2"/>
    </i>
  </colItems>
  <dataFields count="3">
    <dataField name="Sum of BidsWon" fld="3" baseField="0" baseItem="0"/>
    <dataField name="Sum of TotalBids" fld="4" baseField="0" baseItem="0"/>
    <dataField name="Sum of WinRate" fld="2" baseField="0" baseItem="0"/>
  </dataFields>
  <chartFormats count="9">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862B782-C461-4849-AF3E-04148BE3676B}" name="PivotTable12" cacheId="9" applyNumberFormats="0" applyBorderFormats="0" applyFontFormats="0" applyPatternFormats="0" applyAlignmentFormats="0" applyWidthHeightFormats="1" dataCaption="Values" tag="c4c7fc03-0489-4ea0-8080-7c45235139a5" updatedVersion="8" minRefreshableVersion="3" useAutoFormatting="1" subtotalHiddenItems="1" itemPrintTitles="1" createdVersion="5" indent="0" outline="1" outlineData="1" multipleFieldFilters="0" chartFormat="3">
  <location ref="N3:S14" firstHeaderRow="0"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Total Bids" fld="2" baseField="1" baseItem="1"/>
    <dataField name="Bids Won" fld="3" baseField="1" baseItem="1"/>
    <dataField name="Annual Target" fld="4" baseField="1" baseItem="1" numFmtId="170"/>
    <dataField name="Total Achievements" fld="5" baseField="1" baseItem="1" numFmtId="169"/>
    <dataField name="WinRate" fld="6" subtotal="average" baseField="1" baseItem="1"/>
  </dataFields>
  <formats count="14">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3"/>
          </reference>
        </references>
      </pivotArea>
    </format>
    <format dxfId="23">
      <pivotArea field="1" type="button" dataOnly="0" labelOnly="1" outline="0" axis="axisRow" fieldPosition="0"/>
    </format>
    <format dxfId="22">
      <pivotArea dataOnly="0" labelOnly="1" outline="0" fieldPosition="0">
        <references count="1">
          <reference field="4294967294" count="1">
            <x v="0"/>
          </reference>
        </references>
      </pivotArea>
    </format>
    <format dxfId="21">
      <pivotArea dataOnly="0" labelOnly="1" outline="0" fieldPosition="0">
        <references count="1">
          <reference field="4294967294" count="1">
            <x v="1"/>
          </reference>
        </references>
      </pivotArea>
    </format>
    <format dxfId="20">
      <pivotArea dataOnly="0" labelOnly="1" outline="0" fieldPosition="0">
        <references count="1">
          <reference field="4294967294" count="1">
            <x v="2"/>
          </reference>
        </references>
      </pivotArea>
    </format>
    <format dxfId="19">
      <pivotArea dataOnly="0" labelOnly="1" outline="0" fieldPosition="0">
        <references count="1">
          <reference field="4294967294" count="1">
            <x v="3"/>
          </reference>
        </references>
      </pivotArea>
    </format>
    <format dxfId="18">
      <pivotArea dataOnly="0" labelOnly="1" outline="0" fieldPosition="0">
        <references count="1">
          <reference field="4294967294" count="1">
            <x v="4"/>
          </reference>
        </references>
      </pivotArea>
    </format>
    <format dxfId="17">
      <pivotArea dataOnly="0" labelOnly="1" grandRow="1" outline="0" fieldPosition="0"/>
    </format>
    <format dxfId="16">
      <pivotArea field="1" grandRow="1" outline="0" collapsedLevelsAreSubtotals="1" axis="axisRow" fieldPosition="0">
        <references count="1">
          <reference field="4294967294" count="1" selected="0">
            <x v="0"/>
          </reference>
        </references>
      </pivotArea>
    </format>
    <format dxfId="15">
      <pivotArea field="1" grandRow="1" outline="0" collapsedLevelsAreSubtotals="1" axis="axisRow" fieldPosition="0">
        <references count="1">
          <reference field="4294967294" count="1" selected="0">
            <x v="1"/>
          </reference>
        </references>
      </pivotArea>
    </format>
    <format dxfId="14">
      <pivotArea field="1" grandRow="1" outline="0" collapsedLevelsAreSubtotals="1" axis="axisRow" fieldPosition="0">
        <references count="1">
          <reference field="4294967294" count="1" selected="0">
            <x v="2"/>
          </reference>
        </references>
      </pivotArea>
    </format>
    <format dxfId="13">
      <pivotArea field="1" grandRow="1" outline="0" collapsedLevelsAreSubtotals="1" axis="axisRow" fieldPosition="0">
        <references count="1">
          <reference field="4294967294" count="1" selected="0">
            <x v="3"/>
          </reference>
        </references>
      </pivotArea>
    </format>
    <format dxfId="12">
      <pivotArea field="1" grandRow="1" outline="0" collapsedLevelsAreSubtotals="1" axis="axisRow" fieldPosition="0">
        <references count="1">
          <reference field="4294967294" count="1" selected="0">
            <x v="4"/>
          </reference>
        </references>
      </pivotArea>
    </format>
  </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ids Won"/>
    <pivotHierarchy dragToData="1"/>
    <pivotHierarchy dragToData="1" caption="Total Bids"/>
    <pivotHierarchy dragToData="1" caption="Annual Target"/>
    <pivotHierarchy dragToData="1" caption="Total Achievements"/>
    <pivotHierarchy dragToData="1"/>
    <pivotHierarchy dragToData="1"/>
    <pivotHierarchy dragToData="1" caption="Average of Total Achievements"/>
    <pivotHierarchy dragToData="1" caption="WinRate"/>
    <pivotHierarchy dragToData="1"/>
    <pivotHierarchy dragToData="1"/>
    <pivotHierarchy dragToData="1"/>
  </pivotHierarchies>
  <pivotTableStyleInfo name="PivotStyleMedium16"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F5506BD-FC68-47AD-BA3F-E46989F7CECC}" name="PivotTable10" cacheId="8" applyNumberFormats="0" applyBorderFormats="0" applyFontFormats="0" applyPatternFormats="0" applyAlignmentFormats="0" applyWidthHeightFormats="1" dataCaption="Values" tag="4fc8a7eb-393a-423a-9af0-05b7459687ca" updatedVersion="8" minRefreshableVersion="3" useAutoFormatting="1" subtotalHiddenItems="1" itemPrintTitles="1" createdVersion="5" indent="0" outline="1" outlineData="1" multipleFieldFilters="0" chartFormat="11">
  <location ref="G3:I14" firstHeaderRow="0"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11">
    <i>
      <x v="1"/>
    </i>
    <i>
      <x v="4"/>
    </i>
    <i>
      <x v="6"/>
    </i>
    <i>
      <x v="8"/>
    </i>
    <i>
      <x v="2"/>
    </i>
    <i>
      <x v="3"/>
    </i>
    <i>
      <x v="5"/>
    </i>
    <i>
      <x v="9"/>
    </i>
    <i>
      <x/>
    </i>
    <i>
      <x v="7"/>
    </i>
    <i t="grand">
      <x/>
    </i>
  </rowItems>
  <colFields count="1">
    <field x="-2"/>
  </colFields>
  <colItems count="2">
    <i>
      <x/>
    </i>
    <i i="1">
      <x v="1"/>
    </i>
  </colItems>
  <dataFields count="2">
    <dataField name="Sum of AnnualTarget" fld="2" baseField="0" baseItem="0"/>
    <dataField name="Sum of Total Achievements" fld="3" baseField="0" baseItem="0"/>
  </dataFields>
  <formats count="1">
    <format dxfId="26">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B4B6F24-DD03-4B94-BE2E-3842A778A7AF}" name="PivotTable7" cacheId="7" applyNumberFormats="0" applyBorderFormats="0" applyFontFormats="0" applyPatternFormats="0" applyAlignmentFormats="0" applyWidthHeightFormats="1" dataCaption="Values" tag="7c7670fe-3c96-4b5f-8544-670a73bf68ae" updatedVersion="8" minRefreshableVersion="3" subtotalHiddenItems="1" itemPrintTitles="1" createdVersion="5" indent="0" outline="1" outlineData="1" multipleFieldFilters="0" chartFormat="16">
  <location ref="B3:E14"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1"/>
  </rowFields>
  <rowItems count="11">
    <i>
      <x v="2"/>
    </i>
    <i>
      <x v="4"/>
    </i>
    <i>
      <x v="5"/>
    </i>
    <i>
      <x v="7"/>
    </i>
    <i>
      <x v="1"/>
    </i>
    <i>
      <x v="3"/>
    </i>
    <i>
      <x v="6"/>
    </i>
    <i>
      <x v="9"/>
    </i>
    <i>
      <x/>
    </i>
    <i>
      <x v="8"/>
    </i>
    <i t="grand">
      <x/>
    </i>
  </rowItems>
  <colFields count="1">
    <field x="-2"/>
  </colFields>
  <colItems count="3">
    <i>
      <x/>
    </i>
    <i i="1">
      <x v="1"/>
    </i>
    <i i="2">
      <x v="2"/>
    </i>
  </colItems>
  <dataFields count="3">
    <dataField name="Sum of BidsWon" fld="3" baseField="0" baseItem="0"/>
    <dataField name="Sum of TotalBids" fld="4" baseField="0" baseItem="0"/>
    <dataField name="Sum of WinRate" fld="2" baseField="0" baseItem="0"/>
  </dataFields>
  <chartFormats count="3">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9413B2D-9EE0-49A4-AAB8-8D8C5BDDF7A9}" name="PivotTable15" cacheId="6" applyNumberFormats="0" applyBorderFormats="0" applyFontFormats="0" applyPatternFormats="0" applyAlignmentFormats="0" applyWidthHeightFormats="1" dataCaption="Values" tag="9e35c7c9-3bc5-4c7a-b2d1-ff3f18feac75" updatedVersion="8" minRefreshableVersion="3" useAutoFormatting="1" subtotalHiddenItems="1" itemPrintTitles="1" createdVersion="5" indent="0" outline="1" outlineData="1" multipleFieldFilters="0" chartFormat="12">
  <location ref="B16:C2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Total Achievements" fld="2" baseField="0" baseItem="0"/>
  </dataFields>
  <formats count="1">
    <format dxfId="27">
      <pivotArea collapsedLevelsAreSubtotals="1" fieldPosition="0">
        <references count="1">
          <reference field="1" count="0"/>
        </references>
      </pivotArea>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Estimator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F53F371-036F-49CD-9BC0-C7B557DD9330}" name="planned vs actual" cacheId="23" applyNumberFormats="0" applyBorderFormats="0" applyFontFormats="0" applyPatternFormats="0" applyAlignmentFormats="0" applyWidthHeightFormats="1" dataCaption="Values" tag="811c3f8b-7a2b-48c5-95a2-d16758423940" updatedVersion="8" minRefreshableVersion="3" subtotalHiddenItems="1" itemPrintTitles="1" createdVersion="5" indent="0" outline="1" outlineData="1" multipleFieldFilters="0" chartFormat="11">
  <location ref="B4:D17"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PlannedBudget USD" fld="2" baseField="0" baseItem="0"/>
    <dataField name="Sum of ActualSpend USD" fld="3" baseField="0" baseItem="0"/>
  </dataFields>
  <formats count="1">
    <format dxfId="1">
      <pivotArea outline="0" collapsedLevelsAreSubtotals="1" fieldPosition="0"/>
    </format>
  </format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activeTabTopLevelEntity name="[Estimator_Team]"/>
        <x15:activeTabTopLevelEntity name="[Monthly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5C4C319-5261-4582-9503-BBD690957ED7}" name="PivotTable4" cacheId="22" applyNumberFormats="0" applyBorderFormats="0" applyFontFormats="0" applyPatternFormats="0" applyAlignmentFormats="0" applyWidthHeightFormats="1" dataCaption="Values" tag="459a2bb8-a4c4-45c0-8481-18d88aaf915f" updatedVersion="8" minRefreshableVersion="3" subtotalHiddenItems="1" itemPrintTitles="1" createdVersion="5" indent="0" outline="1" outlineData="1" multipleFieldFilters="0" chartFormat="5">
  <location ref="I4:J1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ostVariance" fld="2" baseField="0" baseItem="0"/>
  </dataField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activeTabTopLevelEntity name="[Estimator_Team]"/>
        <x15:activeTabTopLevelEntity name="[Monthly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2331A68-2BB7-43FA-B18E-3494FD1178AE}" name="PivotTable3" cacheId="21" applyNumberFormats="0" applyBorderFormats="0" applyFontFormats="0" applyPatternFormats="0" applyAlignmentFormats="0" applyWidthHeightFormats="1" dataCaption="Values" tag="58d5bff3-8e52-4882-adc5-a486df783bee" updatedVersion="8" minRefreshableVersion="3" subtotalHiddenItems="1" itemPrintTitles="1" createdVersion="5" indent="0" outline="1" outlineData="1" multipleFieldFilters="0" chartFormat="10">
  <location ref="F4:G1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2"/>
    </i>
    <i>
      <x/>
    </i>
    <i>
      <x v="1"/>
    </i>
    <i>
      <x v="3"/>
    </i>
    <i t="grand">
      <x/>
    </i>
  </rowItems>
  <colItems count="1">
    <i/>
  </colItems>
  <dataFields count="1">
    <dataField name="Sum of ActualSpend USD" fld="1" baseField="0" baseItem="0" numFmtId="169"/>
  </dataFields>
  <formats count="3">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0"/>
          </reference>
        </references>
      </pivotArea>
    </format>
    <format dxfId="2">
      <pivotArea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Hierarchies count="2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lient_Master]"/>
        <x15:activeTabTopLevelEntity name="[Project_Master]"/>
        <x15:activeTabTopLevelEntity name="[Estimator_Team]"/>
        <x15:activeTabTopLevelEntity name="[Monthly_Cos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FCBF3F83-AD5E-4C69-87DF-E5D3176F70ED}" autoFormatId="16" applyNumberFormats="0" applyBorderFormats="0" applyFontFormats="0" applyPatternFormats="0" applyAlignmentFormats="0" applyWidthHeightFormats="0">
  <queryTableRefresh nextId="101" unboundColumnsRight="6">
    <queryTableFields count="58">
      <queryTableField id="1" name="TransactionID" tableColumnId="1"/>
      <queryTableField id="2" name="Date" tableColumnId="2"/>
      <queryTableField id="3" name="ProjectID" tableColumnId="3"/>
      <queryTableField id="4" name="ProjectName" tableColumnId="4"/>
      <queryTableField id="5" name="Region" tableColumnId="5"/>
      <queryTableField id="6" name="Country" tableColumnId="6"/>
      <queryTableField id="7" name="Client" tableColumnId="7"/>
      <queryTableField id="8" name="ContractType" tableColumnId="8"/>
      <queryTableField id="9" name="Discipline" tableColumnId="9"/>
      <queryTableField id="10" name="Estimator" tableColumnId="10"/>
      <queryTableField id="11" name="ProjectManager" tableColumnId="11"/>
      <queryTableField id="12" name="BidID" tableColumnId="12"/>
      <queryTableField id="13" name="BidSubmissionDate" tableColumnId="13"/>
      <queryTableField id="14" name="AwardDate" tableColumnId="14"/>
      <queryTableField id="15" name="ProjectStartDate" tableColumnId="15"/>
      <queryTableField id="16" name="ProjectDurationMonths" tableColumnId="16"/>
      <queryTableField id="17" name="TenderValue" tableColumnId="17"/>
      <queryTableField id="89" dataBound="0" tableColumnId="67"/>
      <queryTableField id="18" name="DiscountPct" tableColumnId="18"/>
      <queryTableField id="19" name="VariationPct" tableColumnId="19"/>
      <queryTableField id="20" name="ContractValue" tableColumnId="20"/>
      <queryTableField id="90" dataBound="0" tableColumnId="68"/>
      <queryTableField id="21" name="CostEstimate" tableColumnId="21"/>
      <queryTableField id="91" dataBound="0" tableColumnId="69"/>
      <queryTableField id="22" name="GrossMarginPct" tableColumnId="22"/>
      <queryTableField id="23" name="OverheadPct" tableColumnId="23"/>
      <queryTableField id="24" name="InvoiceNumber" tableColumnId="24"/>
      <queryTableField id="25" name="InvoiceValue" tableColumnId="25"/>
      <queryTableField id="92" dataBound="0" tableColumnId="70"/>
      <queryTableField id="26" name="CollectedAmount" tableColumnId="26"/>
      <queryTableField id="93" dataBound="0" tableColumnId="71"/>
      <queryTableField id="27" name="PaymentTermsDays" tableColumnId="27"/>
      <queryTableField id="28" name="DaysToCollect" tableColumnId="28"/>
      <queryTableField id="29" name="PaymentMethod" tableColumnId="29"/>
      <queryTableField id="30" name="SalesStage" tableColumnId="30"/>
      <queryTableField id="31" name="Probability" tableColumnId="31"/>
      <queryTableField id="32" name="Currency" tableColumnId="32"/>
      <queryTableField id="33" name="VATPct" tableColumnId="33"/>
      <queryTableField id="34" name="RetentionPct" tableColumnId="34"/>
      <queryTableField id="35" name="ChangeOrdersCount" tableColumnId="35"/>
      <queryTableField id="36" name="LaborCount" tableColumnId="36"/>
      <queryTableField id="37" name="EquipmentCost" tableColumnId="37"/>
      <queryTableField id="94" dataBound="0" tableColumnId="72"/>
      <queryTableField id="38" name="MaterialCost" tableColumnId="38"/>
      <queryTableField id="95" dataBound="0" tableColumnId="73"/>
      <queryTableField id="39" name="SubContractor" tableColumnId="39"/>
      <queryTableField id="40" name="Competitor" tableColumnId="40"/>
      <queryTableField id="41" name="BidScore" tableColumnId="41"/>
      <queryTableField id="42" name="WarrantyMonths" tableColumnId="42"/>
      <queryTableField id="43" name="ApprovalStatus" tableColumnId="43"/>
      <queryTableField id="44" name="RevenueCategory" tableColumnId="44"/>
      <queryTableField id="45" name="Notes" tableColumnId="45"/>
      <queryTableField id="97" dataBound="0" tableColumnId="75"/>
      <queryTableField id="98" dataBound="0" tableColumnId="76"/>
      <queryTableField id="99" dataBound="0" tableColumnId="77"/>
      <queryTableField id="100" dataBound="0" tableColumnId="78"/>
      <queryTableField id="75" dataBound="0" tableColumnId="64"/>
      <queryTableField id="80" dataBound="0" tableColumnId="57"/>
    </queryTableFields>
    <queryTableDeletedFields count="15">
      <deletedField name="Outstanding Amount"/>
      <deletedField name="Gross Profit"/>
      <deletedField name="Estimated Profit"/>
      <deletedField name="CollectionRate"/>
      <deletedField name="Gross Profit"/>
      <deletedField name="Outstanding Amount"/>
      <deletedField name="CollectionRate"/>
      <deletedField name="Estimated Profit"/>
      <deletedField name="Tender Value USD"/>
      <deletedField name="Contract Value USD"/>
      <deletedField name="Cost Estimate USD"/>
      <deletedField name="Invoice Value USD"/>
      <deletedField name="Collected Amount USD"/>
      <deletedField name="Equipment Cost USD"/>
      <deletedField name="Material Cost US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1F35ED65-3924-4C05-A688-B1E7D037426A}" autoFormatId="16" applyNumberFormats="0" applyBorderFormats="0" applyFontFormats="0" applyPatternFormats="0" applyAlignmentFormats="0" applyWidthHeightFormats="0">
  <queryTableRefresh nextId="32" unboundColumnsRight="3">
    <queryTableFields count="22">
      <queryTableField id="1" name="ProjectID" tableColumnId="1"/>
      <queryTableField id="2" name="ProjectName" tableColumnId="2"/>
      <queryTableField id="3" name="Client" tableColumnId="3"/>
      <queryTableField id="4" name="Region" tableColumnId="4"/>
      <queryTableField id="5" name="Country" tableColumnId="5"/>
      <queryTableField id="6" name="ContractType" tableColumnId="6"/>
      <queryTableField id="7" name="Discipline" tableColumnId="7"/>
      <queryTableField id="8" name="ProjectManager" tableColumnId="8"/>
      <queryTableField id="9" name="ProjectStatus" tableColumnId="9"/>
      <queryTableField id="10" name="StartDate" tableColumnId="10"/>
      <queryTableField id="11" name="PlannedEndDate" tableColumnId="11"/>
      <queryTableField id="12" name="Budget" tableColumnId="12"/>
      <queryTableField id="13" name="ActualCost" tableColumnId="13"/>
      <queryTableField id="14" name="ContractValue" tableColumnId="14"/>
      <queryTableField id="15" name="RevenueCategory" tableColumnId="15"/>
      <queryTableField id="16" name="Priority" tableColumnId="16"/>
      <queryTableField id="17" name="RiskLevel" tableColumnId="17"/>
      <queryTableField id="18" name="Notes" tableColumnId="18"/>
      <queryTableField id="31" name="Profit" tableColumnId="21"/>
      <queryTableField id="24" dataBound="0" tableColumnId="24"/>
      <queryTableField id="25" dataBound="0" tableColumnId="25"/>
      <queryTableField id="26" dataBound="0"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B8CE9E6A-E2F4-4E89-930B-4A7F0F18F616}" autoFormatId="16" applyNumberFormats="0" applyBorderFormats="0" applyFontFormats="0" applyPatternFormats="0" applyAlignmentFormats="0" applyWidthHeightFormats="0">
  <queryTableRefresh nextId="18">
    <queryTableFields count="16">
      <queryTableField id="1" name="ClientName" tableColumnId="1"/>
      <queryTableField id="2" name="ClientID" tableColumnId="2"/>
      <queryTableField id="3" name="Industry" tableColumnId="3"/>
      <queryTableField id="4" name="Country" tableColumnId="4"/>
      <queryTableField id="5" name="Region" tableColumnId="5"/>
      <queryTableField id="6" name="ContactPerson" tableColumnId="6"/>
      <queryTableField id="7" name="Email" tableColumnId="7"/>
      <queryTableField id="8" name="Phone" tableColumnId="8"/>
      <queryTableField id="9" name="CreditLimit" tableColumnId="9"/>
      <queryTableField id="10" name="PaymentTerms" tableColumnId="10"/>
      <queryTableField id="11" name="ClientRating" tableColumnId="11"/>
      <queryTableField id="12" name="ActiveSince" tableColumnId="12"/>
      <queryTableField id="13" name="LastTransactionDate" tableColumnId="13"/>
      <queryTableField id="14" name="TotalContractValue" tableColumnId="14"/>
      <queryTableField id="15" name="OutstandingBalance" tableColumnId="15"/>
      <queryTableField id="16" name="Note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5335FDDB-7442-4670-A002-95C4A2E040BB}" autoFormatId="16" applyNumberFormats="0" applyBorderFormats="0" applyFontFormats="0" applyPatternFormats="0" applyAlignmentFormats="0" applyWidthHeightFormats="0">
  <queryTableRefresh nextId="26" unboundColumnsRight="3">
    <queryTableFields count="22">
      <queryTableField id="1" name="EstimatorName" tableColumnId="1"/>
      <queryTableField id="2" name="EmployeeID" tableColumnId="2"/>
      <queryTableField id="3" name="Department" tableColumnId="3"/>
      <queryTableField id="4" name="Designation" tableColumnId="4"/>
      <queryTableField id="5" name="Region" tableColumnId="5"/>
      <queryTableField id="6" name="JoiningDate" tableColumnId="6"/>
      <queryTableField id="7" name="AnnualTarget" tableColumnId="7"/>
      <queryTableField id="8" name="Q1_2025_Achieved" tableColumnId="8"/>
      <queryTableField id="9" name="Q2_2025_Achieved" tableColumnId="9"/>
      <queryTableField id="10" name="Q3_2025_Achieved" tableColumnId="10"/>
      <queryTableField id="11" name="Q4_2025_Achieved" tableColumnId="11"/>
      <queryTableField id="12" name="Q1_2026_Achieved" tableColumnId="12"/>
      <queryTableField id="13" name="WinRate" tableColumnId="13"/>
      <queryTableField id="14" name="AvgBidValue" tableColumnId="14"/>
      <queryTableField id="15" name="TotalBids" tableColumnId="15"/>
      <queryTableField id="16" name="BidsWon" tableColumnId="16"/>
      <queryTableField id="17" name="Email" tableColumnId="17"/>
      <queryTableField id="18" name="Salary" tableColumnId="18"/>
      <queryTableField id="19" name="Notes" tableColumnId="19"/>
      <queryTableField id="20" dataBound="0" tableColumnId="20"/>
      <queryTableField id="25" dataBound="0" tableColumnId="24"/>
      <queryTableField id="21" dataBound="0" tableColumnId="2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3" xr16:uid="{6AE49224-BC7F-4D1E-8ADB-D10D6E162EB7}" autoFormatId="16" applyNumberFormats="0" applyBorderFormats="0" applyFontFormats="0" applyPatternFormats="0" applyAlignmentFormats="0" applyWidthHeightFormats="0">
  <queryTableRefresh nextId="56">
    <queryTableFields count="24">
      <queryTableField id="1" name="Month" tableColumnId="1"/>
      <queryTableField id="2" name="Region" tableColumnId="2"/>
      <queryTableField id="3" name="OverheadCost" tableColumnId="3"/>
      <queryTableField id="36" dataBound="0" tableColumnId="36"/>
      <queryTableField id="4" name="LaborCost" tableColumnId="4"/>
      <queryTableField id="35" dataBound="0" tableColumnId="35"/>
      <queryTableField id="5" name="MaterialCost" tableColumnId="5"/>
      <queryTableField id="34" dataBound="0" tableColumnId="34"/>
      <queryTableField id="6" name="EquipmentCost" tableColumnId="6"/>
      <queryTableField id="33" dataBound="0" tableColumnId="33"/>
      <queryTableField id="7" name="SubcontractorCost" tableColumnId="7"/>
      <queryTableField id="32" dataBound="0" tableColumnId="32"/>
      <queryTableField id="8" name="TravelCost" tableColumnId="8"/>
      <queryTableField id="31" dataBound="0" tableColumnId="31"/>
      <queryTableField id="9" name="MiscCost" tableColumnId="9"/>
      <queryTableField id="30" dataBound="0" tableColumnId="30"/>
      <queryTableField id="10" name="PlannedBudget" tableColumnId="10"/>
      <queryTableField id="29" dataBound="0" tableColumnId="29"/>
      <queryTableField id="11" name="ActualSpend" tableColumnId="11"/>
      <queryTableField id="28" dataBound="0" tableColumnId="28"/>
      <queryTableField id="12" name="CostVariance" tableColumnId="12"/>
      <queryTableField id="13" name="Currency" tableColumnId="13"/>
      <queryTableField id="14" name="ApprovedBy" tableColumnId="14"/>
      <queryTableField id="15" name="Notes" tableColumnId="15"/>
    </queryTableFields>
    <queryTableDeletedFields count="27">
      <deletedField name="OverHeadCost USD"/>
      <deletedField name="LaborCost USD"/>
      <deletedField name="MaterialCost USD"/>
      <deletedField name="EquipmentCost USD"/>
      <deletedField name="SubcontractorCost USD"/>
      <deletedField name="TravelCost USD"/>
      <deletedField name="MiscCost USD"/>
      <deletedField name="PlannedBudget USD"/>
      <deletedField name="ActualSpend USD"/>
      <deletedField name="LaborCost USD"/>
      <deletedField name="MaterialCost USD"/>
      <deletedField name="EquipmentCost USD"/>
      <deletedField name="SubcontractorCost USD"/>
      <deletedField name="TravelCost USD"/>
      <deletedField name="MiscCost USD"/>
      <deletedField name="PlannedBudget USD"/>
      <deletedField name="ActualSpend USD"/>
      <deletedField name="OverHeadCost USD"/>
      <deletedField name="OverHeadCost USD"/>
      <deletedField name="LaborCost USD"/>
      <deletedField name="MaterialCost USD"/>
      <deletedField name="EquipmentCost USD"/>
      <deletedField name="SubcontractorCost USD"/>
      <deletedField name="TravelCost USD"/>
      <deletedField name="MiscCost USD"/>
      <deletedField name="PlannedBudget USD"/>
      <deletedField name="ActualSpend US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A9019ABF-8686-4BFD-BC1A-A8F14A87BEE8}" sourceName="[Sales_Transactions].[Region]">
  <pivotTables>
    <pivotTable tabId="15" name="Sales by Region"/>
    <pivotTable tabId="15" name="PivotTable2"/>
    <pivotTable tabId="15" name="Estimator by contract value"/>
    <pivotTable tabId="15" name="Invoice Vs Collected"/>
    <pivotTable tabId="15" name="PivotTable1"/>
    <pivotTable tabId="15" name="PivotTable3"/>
    <pivotTable tabId="15" name="PivotTable4"/>
    <pivotTable tabId="15" name="Sales Trend"/>
    <pivotTable tabId="15" name="Top 10 Clients by Contract Value"/>
    <pivotTable tabId="15" name="Top Project by Contract value"/>
  </pivotTables>
  <data>
    <olap pivotCacheId="1950004305">
      <levels count="2">
        <level uniqueName="[Sales_Transactions].[Region].[(All)]" sourceCaption="(All)" count="0"/>
        <level uniqueName="[Sales_Transactions].[Region].[Region]" sourceCaption="Region" count="6">
          <ranges>
            <range startItem="0">
              <i n="[Sales_Transactions].[Region].&amp;[Africa]" c="Africa"/>
              <i n="[Sales_Transactions].[Region].&amp;[Americas]" c="Americas"/>
              <i n="[Sales_Transactions].[Region].&amp;[Asia]" c="Asia"/>
              <i n="[Sales_Transactions].[Region].&amp;[Europe]" c="Europe"/>
              <i n="[Sales_Transactions].[Region].&amp;[GCC]" c="GCC"/>
              <i n="[Sales_Transactions].[Region].&amp;[Unknown]" c="Unknown"/>
            </range>
          </ranges>
        </level>
      </levels>
      <selections count="1">
        <selection n="[Sales_Transaction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1" xr10:uid="{EA5D8F86-3E57-40FF-A00A-B554AA7043BF}" sourceName="[Sales_Transactions].[Client]">
  <pivotTables>
    <pivotTable tabId="15" name="Sales by Region"/>
    <pivotTable tabId="15" name="PivotTable2"/>
    <pivotTable tabId="15" name="Estimator by contract value"/>
    <pivotTable tabId="15" name="Invoice Vs Collected"/>
    <pivotTable tabId="15" name="PivotTable1"/>
    <pivotTable tabId="15" name="PivotTable3"/>
    <pivotTable tabId="15" name="PivotTable4"/>
    <pivotTable tabId="15" name="Sales Trend"/>
    <pivotTable tabId="15" name="Top 10 Clients by Contract Value"/>
    <pivotTable tabId="15" name="Top Project by Contract value"/>
  </pivotTables>
  <data>
    <olap pivotCacheId="1950004305">
      <levels count="2">
        <level uniqueName="[Sales_Transactions].[Client].[(All)]" sourceCaption="(All)" count="0"/>
        <level uniqueName="[Sales_Transactions].[Client].[Client]" sourceCaption="Client" count="15">
          <ranges>
            <range startItem="0">
              <i n="[Sales_Transactions].[Client].&amp;[ABB Group]" c="ABB Group"/>
              <i n="[Sales_Transactions].[Client].&amp;[ADNOC]" c="ADNOC"/>
              <i n="[Sales_Transactions].[Client].&amp;[Aramco]" c="Aramco"/>
              <i n="[Sales_Transactions].[Client].&amp;[Bechtel]" c="Bechtel"/>
              <i n="[Sales_Transactions].[Client].&amp;[China State]" c="China State"/>
              <i n="[Sales_Transactions].[Client].&amp;[ClientX]" c="ClientX"/>
              <i n="[Sales_Transactions].[Client].&amp;[Fluor]" c="Fluor"/>
              <i n="[Sales_Transactions].[Client].&amp;[GE Infrastructure]" c="GE Infrastructure"/>
              <i n="[Sales_Transactions].[Client].&amp;[Larsen]" c="Larsen"/>
              <i n="[Sales_Transactions].[Client].&amp;[NEOM]" c="NEOM"/>
              <i n="[Sales_Transactions].[Client].&amp;[QatarEnergy]" c="QatarEnergy"/>
              <i n="[Sales_Transactions].[Client].&amp;[Samsung C&amp;T]" c="Samsung C&amp;T"/>
              <i n="[Sales_Transactions].[Client].&amp;[Siemens]" c="Siemens"/>
              <i n="[Sales_Transactions].[Client].&amp;[Unknown]" c="Unknown"/>
              <i n="[Sales_Transactions].[Client].&amp;[Vinci Construction]" c="Vinci Construction"/>
            </range>
          </ranges>
        </level>
      </levels>
      <selections count="1">
        <selection n="[Sales_Transactions].[Cli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Status" xr10:uid="{D04F5F9B-2DB4-46FF-A92A-29A68629BDA0}" sourceName="[Project_Master].[ProjectStatus]">
  <pivotTables>
    <pivotTable tabId="16" name="Project Status Distribution"/>
    <pivotTable tabId="20" name="PivotTable3"/>
    <pivotTable tabId="20" name="PivotTable4"/>
    <pivotTable tabId="20" name="planned vs actual"/>
    <pivotTable tabId="16" name="Contract vs actual"/>
    <pivotTable tabId="16" name="PivotTable2"/>
    <pivotTable tabId="16" name="project by risklevel"/>
    <pivotTable tabId="16" name="Project Trend"/>
    <pivotTable tabId="16" name="Top 10 Projects by Contract Value"/>
  </pivotTables>
  <data>
    <olap pivotCacheId="1631761603">
      <levels count="2">
        <level uniqueName="[Project_Master].[ProjectStatus].[(All)]" sourceCaption="(All)" count="0"/>
        <level uniqueName="[Project_Master].[ProjectStatus].[ProjectStatus]" sourceCaption="ProjectStatus" count="5">
          <ranges>
            <range startItem="0">
              <i n="[Project_Master].[ProjectStatus].&amp;[Active]" c="Active"/>
              <i n="[Project_Master].[ProjectStatus].&amp;[Cancelled]" c="Cancelled"/>
              <i n="[Project_Master].[ProjectStatus].&amp;[Completed]" c="Completed"/>
              <i n="[Project_Master].[ProjectStatus].&amp;[On Hold]" c="On Hold"/>
              <i n="[Project_Master].[ProjectStatus].&amp;[Unknown]" c="Unknown"/>
            </range>
          </ranges>
        </level>
      </levels>
      <selections count="1">
        <selection n="[Project_Master].[Project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Level" xr10:uid="{3BA3A45E-DCE7-4D14-A3E1-12DEEA1BCE94}" sourceName="[Project_Master].[RiskLevel]">
  <pivotTables>
    <pivotTable tabId="16" name="Project Status Distribution"/>
    <pivotTable tabId="20" name="PivotTable3"/>
    <pivotTable tabId="20" name="PivotTable4"/>
    <pivotTable tabId="20" name="planned vs actual"/>
    <pivotTable tabId="16" name="Contract vs actual"/>
    <pivotTable tabId="16" name="PivotTable2"/>
    <pivotTable tabId="16" name="project by risklevel"/>
    <pivotTable tabId="16" name="Project Trend"/>
    <pivotTable tabId="16" name="Top 10 Projects by Contract Value"/>
  </pivotTables>
  <data>
    <olap pivotCacheId="1631761603">
      <levels count="2">
        <level uniqueName="[Project_Master].[RiskLevel].[(All)]" sourceCaption="(All)" count="0"/>
        <level uniqueName="[Project_Master].[RiskLevel].[RiskLevel]" sourceCaption="RiskLevel" count="4">
          <ranges>
            <range startItem="0">
              <i n="[Project_Master].[RiskLevel].&amp;[High]" c="High"/>
              <i n="[Project_Master].[RiskLevel].&amp;[Low]" c="Low"/>
              <i n="[Project_Master].[RiskLevel].&amp;[Medium]" c="Medium"/>
              <i n="[Project_Master].[RiskLevel].&amp;[Unknown]" c="Unknown"/>
            </range>
          </ranges>
        </level>
      </levels>
      <selections count="1">
        <selection n="[Project_Master].[RiskLev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EA286025-F0E4-4AC1-B87D-1460D4069291}" sourceName="[Project_Master].[Region]">
  <pivotTables>
    <pivotTable tabId="16" name="Project Status Distribution"/>
    <pivotTable tabId="20" name="PivotTable3"/>
    <pivotTable tabId="20" name="PivotTable4"/>
    <pivotTable tabId="20" name="planned vs actual"/>
    <pivotTable tabId="16" name="Contract vs actual"/>
    <pivotTable tabId="16" name="PivotTable2"/>
    <pivotTable tabId="16" name="project by risklevel"/>
    <pivotTable tabId="16" name="Project Trend"/>
    <pivotTable tabId="16" name="Top 10 Projects by Contract Value"/>
  </pivotTables>
  <data>
    <olap pivotCacheId="1631761603">
      <levels count="2">
        <level uniqueName="[Project_Master].[Region].[(All)]" sourceCaption="(All)" count="0"/>
        <level uniqueName="[Project_Master].[Region].[Region]" sourceCaption="Region" count="6">
          <ranges>
            <range startItem="0">
              <i n="[Project_Master].[Region].&amp;[Africa]" c="Africa"/>
              <i n="[Project_Master].[Region].&amp;[Americas]" c="Americas"/>
              <i n="[Project_Master].[Region].&amp;[Asia]" c="Asia"/>
              <i n="[Project_Master].[Region].&amp;[Europe]" c="Europe"/>
              <i n="[Project_Master].[Region].&amp;[GCC]" c="GCC"/>
              <i n="[Project_Master].[Region].&amp;[unknown]" c="unknown"/>
            </range>
          </ranges>
        </level>
      </levels>
      <selections count="1">
        <selection n="[Project_Master].[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Stage1" xr10:uid="{3816E863-9767-4671-B13B-7B6A9CB45E5E}" sourceName="[Sales_Transactions].[SalesStage]">
  <pivotTables>
    <pivotTable tabId="15" name="Top 10 Clients by Contract Value"/>
    <pivotTable tabId="15" name="PivotTable3"/>
    <pivotTable tabId="15" name="Estimator by contract value"/>
    <pivotTable tabId="15" name="Invoice Vs Collected"/>
    <pivotTable tabId="15" name="PivotTable1"/>
    <pivotTable tabId="15" name="PivotTable2"/>
    <pivotTable tabId="15" name="PivotTable4"/>
    <pivotTable tabId="15" name="Sales by Region"/>
    <pivotTable tabId="15" name="Sales Trend"/>
    <pivotTable tabId="15" name="Top Project by Contract value"/>
  </pivotTables>
  <data>
    <olap pivotCacheId="688564571">
      <levels count="2">
        <level uniqueName="[Sales_Transactions].[SalesStage].[(All)]" sourceCaption="(All)" count="0"/>
        <level uniqueName="[Sales_Transactions].[SalesStage].[SalesStage]" sourceCaption="SalesStage" count="7">
          <ranges>
            <range startItem="0">
              <i n="[Sales_Transactions].[SalesStage].&amp;[Lost]" c="Lost"/>
              <i n="[Sales_Transactions].[SalesStage].&amp;[Negotiation]" c="Negotiation"/>
              <i n="[Sales_Transactions].[SalesStage].&amp;[On Hold]" c="On Hold"/>
              <i n="[Sales_Transactions].[SalesStage].&amp;[Proposal]" c="Proposal"/>
              <i n="[Sales_Transactions].[SalesStage].&amp;[Prospecting]" c="Prospecting"/>
              <i n="[Sales_Transactions].[SalesStage].&amp;[Qualification]" c="Qualification"/>
              <i n="[Sales_Transactions].[SalesStage].&amp;[Won]" c="Won"/>
            </range>
          </ranges>
        </level>
      </levels>
      <selections count="1">
        <selection n="[Sales_Transactions].[SalesStag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imatorName" xr10:uid="{5DA8FB88-6624-492E-8966-519B497E5024}" sourceName="EstimatorName">
  <extLst>
    <x:ext xmlns:x15="http://schemas.microsoft.com/office/spreadsheetml/2010/11/main" uri="{2F2917AC-EB37-4324-AD4E-5DD8C200BD13}">
      <x15:tableSlicerCache tableId="2"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2F2E49DC-F9E7-4687-8C89-A24F3B01AE67}" sourceName="Industry">
  <extLst>
    <x:ext xmlns:x15="http://schemas.microsoft.com/office/spreadsheetml/2010/11/main" uri="{2F2917AC-EB37-4324-AD4E-5DD8C200BD13}">
      <x15:tableSlicerCache tableId="1" column="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4AD7B8-2F78-475C-90FF-B1934977152E}" sourceName="Region">
  <extLst>
    <x:ext xmlns:x15="http://schemas.microsoft.com/office/spreadsheetml/2010/11/main" uri="{2F2917AC-EB37-4324-AD4E-5DD8C200BD13}">
      <x15:tableSlicerCache tableId="1" column="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FC2F227C-F1B7-45F9-8128-3016257FD45B}" sourceName="Designation">
  <extLst>
    <x:ext xmlns:x15="http://schemas.microsoft.com/office/spreadsheetml/2010/11/main" uri="{2F2917AC-EB37-4324-AD4E-5DD8C200BD13}">
      <x15:tableSlicerCache tableId="2"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22C963-DC3F-4738-A51D-9FC07F0C7CBC}" sourceName="Region">
  <extLst>
    <x:ext xmlns:x15="http://schemas.microsoft.com/office/spreadsheetml/2010/11/main" uri="{2F2917AC-EB37-4324-AD4E-5DD8C200BD13}">
      <x15:tableSlicerCache tableId="2" column="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Category" xr10:uid="{9977F66E-C194-4F62-AAF9-96BD4A4A0640}" sourceName="RevenueCategory">
  <extLst>
    <x:ext xmlns:x15="http://schemas.microsoft.com/office/spreadsheetml/2010/11/main" uri="{2F2917AC-EB37-4324-AD4E-5DD8C200BD13}">
      <x15:tableSlicerCache tableId="4" column="15"/>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Name" xr10:uid="{6ACEB886-7881-4B7E-B688-B206860CB846}" sourceName="ClientName">
  <extLst>
    <x:ext xmlns:x15="http://schemas.microsoft.com/office/spreadsheetml/2010/11/main" uri="{2F2917AC-EB37-4324-AD4E-5DD8C200BD13}">
      <x15:tableSlicerCache tableId="1" column="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C5778B-E2F9-43CC-A456-DC04F6AD9434}" sourceName="Count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BE8695EB-88E9-4EBD-8B93-1CBA7ED5F402}" cache="Slicer_Region3" caption="Region" columnCount="2" level="1" style="Slicer Style 2" rowHeight="252000"/>
  <slicer name="Client 2" xr10:uid="{C4797F0B-9C8B-4E21-9742-EF8773D78DA9}" cache="Slicer_Client1" caption="Client" level="1" style="Slicer Style 2" rowHeight="234950"/>
  <slicer name="SalesStage 1" xr10:uid="{65E7522A-A3E2-460B-B01A-888E714404A5}" cache="Slicer_SalesStage1" caption="SalesStage" level="1"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Status" xr10:uid="{31EA74A8-B8BB-4342-BC1D-DEE087CBAE8C}" cache="Slicer_ProjectStatus" caption="ProjectStatus" columnCount="2" level="1" style="Slicer Style 2" rowHeight="234950"/>
  <slicer name="RiskLevel 1" xr10:uid="{FC882E4A-918F-4EC2-990F-BCEDD5A770DF}" cache="Slicer_RiskLevel" caption="RiskLevel" columnCount="2" level="1" style="Slicer Style 2" rowHeight="234950"/>
  <slicer name="Region 5" xr10:uid="{A8F3CA03-4EE5-48CD-8169-AAAAE9A409C7}" cache="Slicer_Region4" caption="Region" level="1"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Category 1" xr10:uid="{C785172D-87DC-4963-AA30-0586BB04DC82}" cache="Slicer_RevenueCategory" caption="RevenueCategory" style="Slicer Style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2" xr10:uid="{4CA492C5-7413-4CFE-A079-255993147B94}" cache="Slicer_Industry1" caption="Industry" style="Slicer Style 2" rowHeight="234950"/>
  <slicer name="Region 2" xr10:uid="{36BE2200-01A9-4C99-BBE6-3D709BAF080F}" cache="Slicer_Region1" caption="Region" columnCount="2" style="Slicer Style 2" rowHeight="234950"/>
  <slicer name="ClientName 1" xr10:uid="{E352FFC4-A4CB-4C2D-8B37-3D545B6BA6BC}" cache="Slicer_ClientName" caption="ClientName" startItem="2" style="Slicer Style 2" rowHeight="234950"/>
  <slicer name="Country 1" xr10:uid="{CD8793AE-761C-46AE-BE2E-988C0D459533}" cache="Slicer_Country" caption="Country" columnCount="2" style="Slicer Style 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imatorName 3" xr10:uid="{1105F789-E99B-4B5A-A876-908D4C2670AB}" cache="Slicer_EstimatorName" caption="EstimatorName" style="Slicer Style 2" rowHeight="234950"/>
  <slicer name="Designation 1" xr10:uid="{1FB9659D-B173-49C9-B50D-935DED641F3A}" cache="Slicer_Designation" caption="Designation" style="Slicer Style 2" rowHeight="234950"/>
  <slicer name="Region 1" xr10:uid="{DE4AD96B-3C3A-4AA2-927C-5F0D23EC6CA3}" cache="Slicer_Region" caption="Region" style="Slicer Style 2" rowHeight="23495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884840-A7C0-43C7-9BD1-3609FD195D9E}" name="Table6" displayName="Table6" ref="A2:AS1002" totalsRowShown="0" headerRowDxfId="277" dataDxfId="276">
  <autoFilter ref="A2:AS1002" xr:uid="{B9884840-A7C0-43C7-9BD1-3609FD195D9E}"/>
  <tableColumns count="45">
    <tableColumn id="1" xr3:uid="{17FBE6D2-890A-48B8-9BFE-A686087B5A6E}" name="TransactionID" dataDxfId="275"/>
    <tableColumn id="2" xr3:uid="{9E2AA5E2-5C9D-4A27-8200-BB9A4CE34EDD}" name="Date" dataDxfId="274"/>
    <tableColumn id="3" xr3:uid="{6E49AC6D-6577-48B8-9B34-BB21FD2E944E}" name="ProjectID" dataDxfId="273"/>
    <tableColumn id="4" xr3:uid="{2395B20C-2A93-4884-BAF4-EC8EC4EE2B37}" name="ProjectName" dataDxfId="272"/>
    <tableColumn id="5" xr3:uid="{9FA1AE54-7ECB-4A18-B1E7-C99BC79CC3B2}" name="Region" dataDxfId="271"/>
    <tableColumn id="6" xr3:uid="{18DFB378-B599-40DC-87F2-3188669678E5}" name="Country" dataDxfId="270"/>
    <tableColumn id="7" xr3:uid="{ED6E34AA-3D36-4BBF-9206-4798288393B1}" name="Client" dataDxfId="269"/>
    <tableColumn id="8" xr3:uid="{39331874-614F-431B-8751-161E1C182D59}" name="ContractType" dataDxfId="268"/>
    <tableColumn id="9" xr3:uid="{3B3A7581-6E66-4536-B659-5BD5991BA8A4}" name="Discipline" dataDxfId="267"/>
    <tableColumn id="10" xr3:uid="{6521B86F-0EB7-4E6A-8B9A-E3F2C49A0DB1}" name="Estimator" dataDxfId="266"/>
    <tableColumn id="11" xr3:uid="{3B08CDAB-D6AE-436C-A887-2BDF289CA35A}" name="ProjectManager" dataDxfId="265"/>
    <tableColumn id="12" xr3:uid="{4D3F69BA-3ABD-406E-B873-D842B465DE75}" name="BidID" dataDxfId="264"/>
    <tableColumn id="13" xr3:uid="{1D6A68CA-38CA-46E9-87AB-292127BB9C73}" name="BidSubmissionDate" dataDxfId="263"/>
    <tableColumn id="14" xr3:uid="{672A2090-17CC-4928-98CA-3E3CEC0BFFE5}" name="AwardDate" dataDxfId="262"/>
    <tableColumn id="15" xr3:uid="{91F57FC0-4116-475C-A4B5-538BEC586D45}" name="ProjectStartDate" dataDxfId="261"/>
    <tableColumn id="16" xr3:uid="{363FFFB1-995C-4F0C-8C63-EE5682FC843D}" name="ProjectDurationMonths" dataDxfId="260"/>
    <tableColumn id="17" xr3:uid="{721002FC-D0CE-41EC-9494-F64BB108368A}" name="TenderValue" dataDxfId="259"/>
    <tableColumn id="18" xr3:uid="{DB367617-74BC-4819-BDDA-021C2B42C4A5}" name="DiscountPct" dataDxfId="258"/>
    <tableColumn id="19" xr3:uid="{2DC2595C-2CA7-4C4E-A225-7C66C0D4C674}" name="VariationPct" dataDxfId="257"/>
    <tableColumn id="20" xr3:uid="{A345AF96-502E-4F41-A993-8AF9BA34B409}" name="ContractValue" dataDxfId="256"/>
    <tableColumn id="21" xr3:uid="{DFC1FFDA-F974-4665-8D4B-1DB4AECC3866}" name="CostEstimate" dataDxfId="255"/>
    <tableColumn id="22" xr3:uid="{32C49685-1CBC-4E06-A5DF-06DCEC26342B}" name="GrossMarginPct" dataDxfId="254"/>
    <tableColumn id="23" xr3:uid="{63E25041-FB33-468E-B313-A0DB16147872}" name="OverheadPct" dataDxfId="253"/>
    <tableColumn id="24" xr3:uid="{AC29549D-BF66-4F77-9A9F-62199BBE0BB7}" name="InvoiceNumber" dataDxfId="252"/>
    <tableColumn id="25" xr3:uid="{E18D52C7-93F3-4EC5-A9CF-252B83F8E6CE}" name="InvoiceValue" dataDxfId="251"/>
    <tableColumn id="26" xr3:uid="{0EA2C7F2-20A8-411E-BFA7-BBA372918E3F}" name="CollectedAmount" dataDxfId="250"/>
    <tableColumn id="27" xr3:uid="{157AE765-4E7B-4E11-B48C-68267EF8BCD6}" name="PaymentTermsDays" dataDxfId="249"/>
    <tableColumn id="28" xr3:uid="{2C34F508-D91D-4841-8C17-72B6FE955177}" name="DaysToCollect" dataDxfId="248"/>
    <tableColumn id="29" xr3:uid="{93070445-A65F-4E56-91B8-6A388EE98C9E}" name="PaymentMethod" dataDxfId="247"/>
    <tableColumn id="30" xr3:uid="{58DF06AF-449F-4EA8-83FF-CD28D74F7D30}" name="SalesStage" dataDxfId="246"/>
    <tableColumn id="31" xr3:uid="{16698BAB-70CC-454E-941D-223093EFF744}" name="Probability" dataDxfId="245"/>
    <tableColumn id="32" xr3:uid="{E56ADB8B-181F-42BE-A52D-521FEC37176F}" name="Currency" dataDxfId="244"/>
    <tableColumn id="33" xr3:uid="{B71CF57A-1C08-4461-AE65-50682340AD74}" name="VATPct" dataDxfId="243"/>
    <tableColumn id="34" xr3:uid="{24D49FA2-983D-48BB-A58F-4961D548BC80}" name="RetentionPct" dataDxfId="242"/>
    <tableColumn id="35" xr3:uid="{71CB8DC5-77D2-4905-B4AA-60CFF7CBE39B}" name="ChangeOrdersCount" dataDxfId="241"/>
    <tableColumn id="36" xr3:uid="{19F6FED5-B88E-48FA-BAFC-0C918BB87266}" name="LaborCount" dataDxfId="240"/>
    <tableColumn id="37" xr3:uid="{F292CC9B-87B0-466B-B3ED-91C86037B8D7}" name="EquipmentCost" dataDxfId="239"/>
    <tableColumn id="38" xr3:uid="{E2D4EF6E-A188-4294-9F95-359826DFD95C}" name="MaterialCost" dataDxfId="238"/>
    <tableColumn id="39" xr3:uid="{231EBA2F-B8A7-4B41-A4A1-6CB724397062}" name="SubContractor" dataDxfId="237"/>
    <tableColumn id="40" xr3:uid="{CD4EB911-6784-4C45-A7FB-C3D831E48461}" name="Competitor" dataDxfId="236"/>
    <tableColumn id="41" xr3:uid="{EC9CB344-9BDD-468F-85EC-58C72FD31FCE}" name="BidScore" dataDxfId="235"/>
    <tableColumn id="42" xr3:uid="{8B51C187-22A2-43FE-B7D6-8AC4FB24E8D0}" name="WarrantyMonths" dataDxfId="234"/>
    <tableColumn id="43" xr3:uid="{22E68051-B4F3-4A39-96DE-4E1E3EF8F0A1}" name="ApprovalStatus" dataDxfId="233"/>
    <tableColumn id="44" xr3:uid="{2CFE530F-F49F-422A-99DE-12B712F5DE1B}" name="RevenueCategory" dataDxfId="232"/>
    <tableColumn id="45" xr3:uid="{4A014374-BC89-4CC9-AEF4-7DEFBD94478C}" name="Notes" dataDxfId="23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95BC14-6F75-4027-A17F-A1612248121C}" name="Table8" displayName="Table8" ref="A2:R53" totalsRowShown="0" headerRowDxfId="230" dataDxfId="229">
  <autoFilter ref="A2:R53" xr:uid="{B995BC14-6F75-4027-A17F-A1612248121C}"/>
  <tableColumns count="18">
    <tableColumn id="1" xr3:uid="{B702A489-F101-4835-8DC3-B689A05245B3}" name="ProjectID" dataDxfId="228"/>
    <tableColumn id="2" xr3:uid="{A42E4759-E892-427C-98CB-2843902B7A31}" name="ProjectName" dataDxfId="227"/>
    <tableColumn id="3" xr3:uid="{6E6C4CB2-DBBB-4E6D-AFB5-31B4322789E4}" name="Client" dataDxfId="226"/>
    <tableColumn id="4" xr3:uid="{AE0A099D-E43D-4291-A316-BA024CB381BD}" name="Region" dataDxfId="225"/>
    <tableColumn id="5" xr3:uid="{C1D71A83-9CD7-4057-AB8B-C5FD03115EAB}" name="Country" dataDxfId="224"/>
    <tableColumn id="6" xr3:uid="{AB0A8DBB-6E25-4F57-AA5F-C1340D3F60C4}" name="ContractType" dataDxfId="223"/>
    <tableColumn id="7" xr3:uid="{70F2F2A4-59C0-4C70-8B88-F58E963C25A7}" name="Discipline" dataDxfId="222"/>
    <tableColumn id="8" xr3:uid="{BD66DF4E-9DC5-436A-9476-A6C3327C5167}" name="ProjectManager" dataDxfId="221"/>
    <tableColumn id="9" xr3:uid="{F305287B-3C78-4495-873A-732D369808FE}" name="ProjectStatus" dataDxfId="220"/>
    <tableColumn id="10" xr3:uid="{E59443AA-ED96-4C13-AAE5-CAA70B5DC965}" name="StartDate" dataDxfId="219"/>
    <tableColumn id="11" xr3:uid="{95FE21AD-54B2-4D07-B0A7-CD621DD24B14}" name="PlannedEndDate" dataDxfId="218"/>
    <tableColumn id="12" xr3:uid="{E8264DA3-EB8C-49CE-8861-A2AFA9507074}" name="Budget" dataDxfId="217"/>
    <tableColumn id="13" xr3:uid="{A64B9063-D752-428D-8B3F-D4432818BC42}" name="ActualCost" dataDxfId="216"/>
    <tableColumn id="14" xr3:uid="{8A659FFD-FBDE-43C5-9AFC-C150972D4C0E}" name="ContractValue" dataDxfId="215"/>
    <tableColumn id="15" xr3:uid="{1E416BD7-8E23-40AB-93DD-6F3DC3AF6F6A}" name="RevenueCategory" dataDxfId="214"/>
    <tableColumn id="16" xr3:uid="{BE2C8E65-3819-4E98-9D5B-15BCEFBD728C}" name="Priority" dataDxfId="213"/>
    <tableColumn id="17" xr3:uid="{D1FF1450-B19A-4996-BFA3-0B13D5AF6F7C}" name="RiskLevel" dataDxfId="212"/>
    <tableColumn id="18" xr3:uid="{857E0BA2-3DA0-42CC-9772-E52965D57CFC}" name="Notes" dataDxfId="21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447996-4C84-4A8B-9A81-1E9B67953104}" name="Table9" displayName="Table9" ref="A2:P17" totalsRowShown="0" headerRowDxfId="210" dataDxfId="209">
  <autoFilter ref="A2:P17" xr:uid="{22447996-4C84-4A8B-9A81-1E9B67953104}"/>
  <tableColumns count="16">
    <tableColumn id="1" xr3:uid="{C2A04A78-67E2-4EC7-8614-7E0722241401}" name="ClientName" dataDxfId="208"/>
    <tableColumn id="2" xr3:uid="{938EA13F-56D8-4726-83AB-7B156A5E0154}" name="ClientID" dataDxfId="207"/>
    <tableColumn id="3" xr3:uid="{2D7E0CF8-061A-4895-ACAB-576E328FCCF2}" name="Industry" dataDxfId="206"/>
    <tableColumn id="4" xr3:uid="{348CF567-EAFB-44C0-AD65-5C0F11B448BF}" name="Country" dataDxfId="205"/>
    <tableColumn id="5" xr3:uid="{CA37E816-C3F5-43FF-A715-D1FD72614C42}" name="Region" dataDxfId="204"/>
    <tableColumn id="6" xr3:uid="{C312C363-0F82-418C-BE2C-9A9628F98286}" name="ContactPerson" dataDxfId="203"/>
    <tableColumn id="7" xr3:uid="{3CE83A87-F4BE-4820-B594-5D8DC721456A}" name="Email" dataDxfId="202"/>
    <tableColumn id="8" xr3:uid="{0BDDC538-54D2-4FAA-9282-6CBDC4DDB8A6}" name="Phone" dataDxfId="201"/>
    <tableColumn id="9" xr3:uid="{0AB27344-35A2-4F38-9D56-9858DB4BEE9E}" name="CreditLimit" dataDxfId="200"/>
    <tableColumn id="10" xr3:uid="{05D0AB3B-C2A0-42AB-B987-4895A2354F62}" name="PaymentTerms" dataDxfId="199"/>
    <tableColumn id="11" xr3:uid="{A09AE19F-AA2F-4827-B50E-257D95A36742}" name="ClientRating" dataDxfId="198"/>
    <tableColumn id="12" xr3:uid="{7E243171-46E2-442F-AA55-986AC5323AB6}" name="ActiveSince" dataDxfId="197"/>
    <tableColumn id="13" xr3:uid="{090845AC-C9DB-4BCE-8FD4-FF325ED79610}" name="LastTransactionDate" dataDxfId="196"/>
    <tableColumn id="14" xr3:uid="{10BC7131-98FF-402E-BFBF-2A2F49FBBA57}" name="TotalContractValue" dataDxfId="195"/>
    <tableColumn id="15" xr3:uid="{F48566FC-EF56-4E0D-B7E6-A5F77BC45167}" name="OutstandingBalance" dataDxfId="194"/>
    <tableColumn id="16" xr3:uid="{79C144D6-8532-4753-918B-A2AD25F28F71}" name="Notes" dataDxfId="19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88E874-B22F-4D5D-8C6E-7CE2E3F6F02D}" name="Table10" displayName="Table10" ref="A2:S12" totalsRowShown="0" headerRowDxfId="192" dataDxfId="191">
  <autoFilter ref="A2:S12" xr:uid="{4C88E874-B22F-4D5D-8C6E-7CE2E3F6F02D}"/>
  <tableColumns count="19">
    <tableColumn id="1" xr3:uid="{9BF79FD2-2B53-4498-8B41-0C5DB1E91A08}" name="EstimatorName" dataDxfId="190"/>
    <tableColumn id="2" xr3:uid="{91C9F124-5822-4637-BD2A-17976814A9EF}" name="EmployeeID" dataDxfId="189"/>
    <tableColumn id="3" xr3:uid="{DFDBC293-9102-4B34-BC49-10B3AACD7564}" name="Department" dataDxfId="188"/>
    <tableColumn id="4" xr3:uid="{472C03D1-F1C9-4F80-A77C-014A9A381471}" name="Designation" dataDxfId="187"/>
    <tableColumn id="5" xr3:uid="{63CE8297-D138-4F8E-B51C-48F04E30D7F9}" name="Region" dataDxfId="186"/>
    <tableColumn id="6" xr3:uid="{FBC71612-8BB7-4B6F-95AD-F81F6D37BD9E}" name="JoiningDate" dataDxfId="185"/>
    <tableColumn id="7" xr3:uid="{0B5F0883-3F23-4237-88A4-C50F132B1DEA}" name="AnnualTarget" dataDxfId="184"/>
    <tableColumn id="8" xr3:uid="{72D6E564-EC37-4855-8212-D626E3DEB38A}" name="Q1_2025_Achieved" dataDxfId="183"/>
    <tableColumn id="9" xr3:uid="{B5B7530C-3656-4C11-8F57-52A7C231CE3D}" name="Q2_2025_Achieved" dataDxfId="182"/>
    <tableColumn id="10" xr3:uid="{0BF3C9B8-AC0B-470A-A878-BE1BB409775C}" name="Q3_2025_Achieved" dataDxfId="181"/>
    <tableColumn id="11" xr3:uid="{BAA01D7D-A2C1-4837-9215-884D79B4E06E}" name="Q4_2025_Achieved" dataDxfId="180"/>
    <tableColumn id="12" xr3:uid="{E2111A4A-8226-40FA-B137-8432F88C3B19}" name="Q1_2026_Achieved" dataDxfId="179"/>
    <tableColumn id="13" xr3:uid="{AC7F1DC6-C832-47C5-9A36-B4C2B6066040}" name="WinRate" dataDxfId="178"/>
    <tableColumn id="14" xr3:uid="{A03F12E2-2DD4-4DED-AB75-94455E1618B8}" name="AvgBidValue" dataDxfId="177"/>
    <tableColumn id="15" xr3:uid="{D319FB4D-CA4A-4E0F-AF66-C0B225C511F6}" name="TotalBids" dataDxfId="176"/>
    <tableColumn id="16" xr3:uid="{58E95BDA-267C-45EF-AFBE-1668912FD707}" name="BidsWon" dataDxfId="175"/>
    <tableColumn id="17" xr3:uid="{FA081576-A68A-45DA-9DDF-F4DC0D6B7B58}" name="Email" dataDxfId="174"/>
    <tableColumn id="18" xr3:uid="{7D2715F1-673C-421F-B7C5-FCF572F91187}" name="Salary" dataDxfId="173"/>
    <tableColumn id="19" xr3:uid="{F48CD36B-6B32-4BFD-AD25-62BB7F0203F7}" name="Notes" dataDxfId="17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E2DB78-A3BE-42A8-A719-B65EAAA43109}" name="Table11" displayName="Table11" ref="A2:O86" totalsRowShown="0" headerRowDxfId="171" dataDxfId="170">
  <autoFilter ref="A2:O86" xr:uid="{87E2DB78-A3BE-42A8-A719-B65EAAA43109}"/>
  <tableColumns count="15">
    <tableColumn id="1" xr3:uid="{788A6CE8-4900-4975-96C2-C3296AD1D2C3}" name="Month" dataDxfId="169"/>
    <tableColumn id="2" xr3:uid="{C3FEA395-B1A4-4A2D-B544-774B213898E3}" name="Region" dataDxfId="168"/>
    <tableColumn id="3" xr3:uid="{BC53460C-372C-4CF2-A36F-8BF00610EBCB}" name="OverheadCost" dataDxfId="167"/>
    <tableColumn id="4" xr3:uid="{4C5DFCD8-7514-4357-B988-66CED45B73DE}" name="LaborCost" dataDxfId="166"/>
    <tableColumn id="5" xr3:uid="{36976434-A394-48DE-991A-CAA941A1BBB2}" name="MaterialCost" dataDxfId="165"/>
    <tableColumn id="6" xr3:uid="{54652AFE-EBE3-4BD0-BA24-A9C2DBED28A3}" name="EquipmentCost" dataDxfId="164"/>
    <tableColumn id="7" xr3:uid="{FE198CA7-39F4-4422-A43B-8C1091A6D3FC}" name="SubcontractorCost" dataDxfId="163"/>
    <tableColumn id="8" xr3:uid="{5F6451F7-5099-4D18-AEA6-FC64348C8AFF}" name="TravelCost" dataDxfId="162"/>
    <tableColumn id="9" xr3:uid="{6307D27B-8406-44D2-AFE5-BA5ED2043955}" name="MiscCost" dataDxfId="161"/>
    <tableColumn id="10" xr3:uid="{BE843610-E35F-493F-8D73-611F735B1193}" name="PlannedBudget" dataDxfId="160"/>
    <tableColumn id="11" xr3:uid="{439A085E-449A-460B-BDDB-4787C481EA29}" name="ActualSpend" dataDxfId="159"/>
    <tableColumn id="12" xr3:uid="{E14300FA-3466-41ED-9685-A67918230467}" name="CostVariance" dataDxfId="158"/>
    <tableColumn id="13" xr3:uid="{A692CB6D-BE82-4EB0-BAF7-221516FC61D8}" name="Currency" dataDxfId="157"/>
    <tableColumn id="14" xr3:uid="{68F8F2F8-289F-4B17-ADFC-0A46C2FE2815}" name="ApprovedBy" dataDxfId="156"/>
    <tableColumn id="15" xr3:uid="{79B492B9-403B-4519-9FB1-AFB870A7474E}" name="Notes" dataDxfId="15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C8D63F3-2724-45F0-840B-969DDBC44419}" name="tblQuality" displayName="tblQuality" ref="A2:G115">
  <autoFilter ref="A2:G115" xr:uid="{AC8D63F3-2724-45F0-840B-969DDBC44419}"/>
  <tableColumns count="7">
    <tableColumn id="1" xr3:uid="{D3785F33-459C-494C-A436-1CA8F384D999}" name="Sheet"/>
    <tableColumn id="2" xr3:uid="{73E92886-C043-44D6-A7D1-8901E8A0C4C6}" name="Column"/>
    <tableColumn id="4" xr3:uid="{AD0FF9DD-E552-4664-B0CA-C7DC4C0F5860}" name="Rows"/>
    <tableColumn id="5" xr3:uid="{02AD8F05-4FA5-41AF-A4A3-96AAD2861637}" name="Null Count"/>
    <tableColumn id="6" xr3:uid="{868F3F1E-68C5-4905-A1A8-530815020A1E}" name="Null %"/>
    <tableColumn id="7" xr3:uid="{4CC16EFF-119A-4BF2-9BE8-DF0ED31FB303}" name="Unique Values"/>
    <tableColumn id="8" xr3:uid="{75ADAA83-C59C-4A50-B533-07A2E6021BF9}" name="Duplicate Value C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CB96E5-9636-4525-8760-361B70FF05FC}" name="tblsales" displayName="tblsales" ref="A2:BF1002" tableType="queryTable" totalsRowShown="0" headerRowDxfId="154" dataDxfId="153">
  <autoFilter ref="A2:BF1002" xr:uid="{77CB96E5-9636-4525-8760-361B70FF05FC}"/>
  <tableColumns count="58">
    <tableColumn id="1" xr3:uid="{540D8CF8-605A-4585-A1F4-DC6FFE87D042}" uniqueName="1" name="TransactionID" queryTableFieldId="1" dataDxfId="152"/>
    <tableColumn id="2" xr3:uid="{6DC9BD80-9B1A-46D1-9C9B-CEA368A88728}" uniqueName="2" name="Date" queryTableFieldId="2" dataDxfId="151"/>
    <tableColumn id="3" xr3:uid="{1D03DE81-038E-4738-9890-9E864EE283B4}" uniqueName="3" name="ProjectID" queryTableFieldId="3" dataDxfId="150"/>
    <tableColumn id="4" xr3:uid="{D0AFD3DF-E10C-4F9A-BC3C-9AEFB25FE7FB}" uniqueName="4" name="ProjectName" queryTableFieldId="4" dataDxfId="149"/>
    <tableColumn id="5" xr3:uid="{34EFA60F-5B7C-4604-896C-221DB1269EE0}" uniqueName="5" name="Region" queryTableFieldId="5" dataDxfId="148"/>
    <tableColumn id="6" xr3:uid="{2543BD1F-0CCE-40D4-9D8E-C06375BFD99D}" uniqueName="6" name="Country" queryTableFieldId="6" dataDxfId="147"/>
    <tableColumn id="7" xr3:uid="{898CCBB0-BA42-4476-B0F6-40B81A721551}" uniqueName="7" name="Client" queryTableFieldId="7" dataDxfId="146"/>
    <tableColumn id="8" xr3:uid="{C2382B34-E173-4752-8701-2BEA5453D139}" uniqueName="8" name="ContractType" queryTableFieldId="8" dataDxfId="145"/>
    <tableColumn id="9" xr3:uid="{50DDAA09-1B94-470F-BDB9-24E3ED07C14E}" uniqueName="9" name="Discipline" queryTableFieldId="9" dataDxfId="144"/>
    <tableColumn id="10" xr3:uid="{D43CE902-5238-42B4-A1C5-B9709EA20174}" uniqueName="10" name="Estimator" queryTableFieldId="10" dataDxfId="143"/>
    <tableColumn id="11" xr3:uid="{3B929DB4-2AD5-4B1F-8383-BD89AD98B629}" uniqueName="11" name="ProjectManager" queryTableFieldId="11" dataDxfId="142"/>
    <tableColumn id="12" xr3:uid="{F06A52D2-4652-4AB2-9DE0-D1BFE2F1A381}" uniqueName="12" name="BidID" queryTableFieldId="12" dataDxfId="141"/>
    <tableColumn id="13" xr3:uid="{2E38233F-585F-4758-9CDD-E7967C52B6CF}" uniqueName="13" name="BidSubmissionDate" queryTableFieldId="13" dataDxfId="140"/>
    <tableColumn id="14" xr3:uid="{F8F190FF-50FF-4887-804E-F02297D26E50}" uniqueName="14" name="AwardDate" queryTableFieldId="14" dataDxfId="139"/>
    <tableColumn id="15" xr3:uid="{4658DA1B-6191-4504-A558-441A7E299446}" uniqueName="15" name="ProjectStartDate" queryTableFieldId="15" dataDxfId="138"/>
    <tableColumn id="16" xr3:uid="{46C90838-C557-4F24-BB3C-0DAE0CBA8D3E}" uniqueName="16" name="ProjectDurationMonths" queryTableFieldId="16" dataDxfId="137"/>
    <tableColumn id="17" xr3:uid="{ED2BA9A8-9DA9-413D-ABE0-CB1FA14FF30D}" uniqueName="17" name="TenderValue" queryTableFieldId="17" dataDxfId="136"/>
    <tableColumn id="67" xr3:uid="{F7D7C1F7-9CBE-4299-A4F8-2DD729293F98}" uniqueName="67" name="Tender Value USD" queryTableFieldId="89" dataDxfId="135"/>
    <tableColumn id="18" xr3:uid="{84FF9905-00FB-4ED2-849E-E3E3BFF1FE13}" uniqueName="18" name="DiscountPct" queryTableFieldId="18" dataDxfId="134"/>
    <tableColumn id="19" xr3:uid="{9E196A40-C9BB-47D2-B547-8F6236705567}" uniqueName="19" name="VariationPct" queryTableFieldId="19" dataDxfId="133"/>
    <tableColumn id="20" xr3:uid="{1C4F54DF-0FFD-4DEF-B4BA-773A97701C7E}" uniqueName="20" name="ContractValue" queryTableFieldId="20" dataDxfId="132"/>
    <tableColumn id="68" xr3:uid="{082F20D1-A67B-4BFC-B10F-91251B25FFE0}" uniqueName="68" name="Contract Value USD" queryTableFieldId="90" dataDxfId="131"/>
    <tableColumn id="21" xr3:uid="{442BE68D-80AD-44A9-9F0F-29D1D14EA413}" uniqueName="21" name="CostEstimate" queryTableFieldId="21" dataDxfId="130"/>
    <tableColumn id="69" xr3:uid="{63968BFE-FD12-457A-B0C5-29CBD4D986B9}" uniqueName="69" name="Cost Estimate USD" queryTableFieldId="91" dataDxfId="129"/>
    <tableColumn id="22" xr3:uid="{143643F2-E6B7-4EDF-B0E8-A4A35A48A020}" uniqueName="22" name="GrossMarginPct" queryTableFieldId="22" dataDxfId="128"/>
    <tableColumn id="23" xr3:uid="{2A116B44-82BD-4AC2-98A0-4BDD2492E630}" uniqueName="23" name="OverheadPct" queryTableFieldId="23" dataDxfId="127"/>
    <tableColumn id="24" xr3:uid="{36CB2B99-3D8F-4C50-8B41-F663C2E02881}" uniqueName="24" name="InvoiceNumber" queryTableFieldId="24" dataDxfId="126"/>
    <tableColumn id="25" xr3:uid="{2BE1C811-32EE-41E7-96ED-33D76D8C0531}" uniqueName="25" name="InvoiceValue" queryTableFieldId="25" dataDxfId="125"/>
    <tableColumn id="70" xr3:uid="{17F62367-6778-4EF1-8DDF-81660D9AB737}" uniqueName="70" name="Invoice Value USD" queryTableFieldId="92" dataDxfId="124"/>
    <tableColumn id="26" xr3:uid="{9DEAF595-B606-4EC9-A87F-A325D0B0D8D9}" uniqueName="26" name="CollectedAmount" queryTableFieldId="26" dataDxfId="123"/>
    <tableColumn id="71" xr3:uid="{1018A685-0F24-4BA3-8027-1EECC268BEDE}" uniqueName="71" name="Collected Amount USD" queryTableFieldId="93" dataDxfId="122"/>
    <tableColumn id="27" xr3:uid="{602C64CF-A821-4C8A-BCC8-25603B6A23E9}" uniqueName="27" name="PaymentTermsDays" queryTableFieldId="27" dataDxfId="121"/>
    <tableColumn id="28" xr3:uid="{D3154BF0-F901-467E-A05D-1294EEEA4428}" uniqueName="28" name="DaysToCollect" queryTableFieldId="28" dataDxfId="120"/>
    <tableColumn id="29" xr3:uid="{959B85D7-7D09-40E8-95DE-B6E2F198B350}" uniqueName="29" name="PaymentMethod" queryTableFieldId="29" dataDxfId="119"/>
    <tableColumn id="30" xr3:uid="{8CFC6FAF-0FA2-4962-939E-BE91C2040307}" uniqueName="30" name="SalesStage" queryTableFieldId="30" dataDxfId="118"/>
    <tableColumn id="31" xr3:uid="{63C9A4EE-859E-4621-8ED0-3A81D478B077}" uniqueName="31" name="Probability" queryTableFieldId="31" dataDxfId="117"/>
    <tableColumn id="32" xr3:uid="{C66400B5-DB1A-4C63-8AA0-3E0A914A5523}" uniqueName="32" name="Currency" queryTableFieldId="32" dataDxfId="116"/>
    <tableColumn id="33" xr3:uid="{85197943-11A2-4BD6-9D2A-AB0B3DA5DFC1}" uniqueName="33" name="VATPct" queryTableFieldId="33" dataDxfId="115"/>
    <tableColumn id="34" xr3:uid="{4FC2C7F2-65BF-4950-B1A7-C044BF1CBC99}" uniqueName="34" name="RetentionPct" queryTableFieldId="34" dataDxfId="114"/>
    <tableColumn id="35" xr3:uid="{70931605-B649-4BFB-B85C-601A66189C72}" uniqueName="35" name="ChangeOrdersCount" queryTableFieldId="35" dataDxfId="113"/>
    <tableColumn id="36" xr3:uid="{81F18C10-9F53-4DF5-B014-492F0BB59EBE}" uniqueName="36" name="LaborCount" queryTableFieldId="36" dataDxfId="112"/>
    <tableColumn id="37" xr3:uid="{4923E003-45F2-4D6D-A5CE-36D1AFEA2FEE}" uniqueName="37" name="EquipmentCost" queryTableFieldId="37" dataDxfId="111"/>
    <tableColumn id="72" xr3:uid="{34791C66-CEDE-452F-BCB8-847439ADB5A4}" uniqueName="72" name="Equipment Cost USD" queryTableFieldId="94" dataDxfId="110"/>
    <tableColumn id="38" xr3:uid="{DA05300D-834E-4484-89C3-1F7B19DECE56}" uniqueName="38" name="MaterialCost" queryTableFieldId="38" dataDxfId="109"/>
    <tableColumn id="73" xr3:uid="{83D13D15-A12B-443A-9F7C-B24F818C7A81}" uniqueName="73" name="Material Cost USD" queryTableFieldId="95" dataDxfId="108"/>
    <tableColumn id="39" xr3:uid="{8723BC00-9B57-4956-8896-FB21FF996EF1}" uniqueName="39" name="SubContractor" queryTableFieldId="39" dataDxfId="107"/>
    <tableColumn id="40" xr3:uid="{2333731F-A335-4E97-B57B-5AFD884D3A81}" uniqueName="40" name="Competitor" queryTableFieldId="40" dataDxfId="106"/>
    <tableColumn id="41" xr3:uid="{4555743F-8612-4F98-9CE6-231230E0A923}" uniqueName="41" name="BidScore" queryTableFieldId="41" dataDxfId="105"/>
    <tableColumn id="42" xr3:uid="{82C01AB6-ED7C-42DF-BF92-C71212622A6A}" uniqueName="42" name="WarrantyMonths" queryTableFieldId="42" dataDxfId="104"/>
    <tableColumn id="43" xr3:uid="{3C8FCD64-3378-4909-9936-FA3984AF93DA}" uniqueName="43" name="ApprovalStatus" queryTableFieldId="43" dataDxfId="103"/>
    <tableColumn id="44" xr3:uid="{3DAC96B6-2C7F-402A-8F7C-54453A07D116}" uniqueName="44" name="RevenueCategory" queryTableFieldId="44" dataDxfId="102"/>
    <tableColumn id="45" xr3:uid="{108FA5A7-95CD-41C8-81F4-4601549D186D}" uniqueName="45" name="Notes" queryTableFieldId="45" dataDxfId="101"/>
    <tableColumn id="75" xr3:uid="{E3E11058-0200-413D-A91D-8D3FCAD4626E}" uniqueName="75" name="Outstanding Amount" queryTableFieldId="97" dataDxfId="100">
      <calculatedColumnFormula>IF(OR(tblsales[[#This Row],[Invoice Value USD]]="",tblsales[[#This Row],[Collected Amount USD]]=""),"",tblsales[[#This Row],[Invoice Value USD]]-tblsales[[#This Row],[Collected Amount USD]])</calculatedColumnFormula>
    </tableColumn>
    <tableColumn id="76" xr3:uid="{C7481690-1A83-4033-B599-9A0C1EEC9960}" uniqueName="76" name="Gross Profit" queryTableFieldId="98" dataDxfId="99">
      <calculatedColumnFormula>IF(OR(tblsales[[#This Row],[Contract Value USD]]="",tblsales[[#This Row],[Cost Estimate USD]]=""),"",tblsales[[#This Row],[Contract Value USD]]-tblsales[[#This Row],[Cost Estimate USD]])</calculatedColumnFormula>
    </tableColumn>
    <tableColumn id="77" xr3:uid="{168F15F1-AE3F-4D53-8CD5-2B34FB8260E9}" uniqueName="77" name="Estimated Profit" queryTableFieldId="99" dataDxfId="98">
      <calculatedColumnFormula>IF(OR(tblsales[[#This Row],[Contract Value USD]]="",tblsales[[#This Row],[Cost Estimate USD]]=""),"",tblsales[[#This Row],[Contract Value USD]]-tblsales[[#This Row],[Cost Estimate USD]])</calculatedColumnFormula>
    </tableColumn>
    <tableColumn id="78" xr3:uid="{DE3275C0-FEFD-4CC4-B7E7-6EDE0EA11096}" uniqueName="78" name="Collection Rate" queryTableFieldId="100" dataDxfId="97">
      <calculatedColumnFormula>IF(tblsales[[#This Row],[Invoice Value USD]]="","",tblsales[[#This Row],[Collected Amount USD]]/tblsales[[#This Row],[Invoice Value USD]])</calculatedColumnFormula>
    </tableColumn>
    <tableColumn id="64" xr3:uid="{3F1EFE83-8AC8-480C-B8F7-79DF8ECDE3E2}" uniqueName="64" name="Win Flag" queryTableFieldId="75" dataDxfId="96">
      <calculatedColumnFormula>IF(tblsales[[#This Row],[SalesStage]]="Won",1,0)</calculatedColumnFormula>
    </tableColumn>
    <tableColumn id="57" xr3:uid="{4BFB617C-F84D-44D4-9122-6493AC0987B0}" uniqueName="57" name="Win/Loss" queryTableFieldId="80" dataDxfId="95">
      <calculatedColumnFormula>IF(tblsales[[#This Row],[Win Flag]]=1,"Won","Lost")</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7835A4-75EF-4B4E-AC0E-9856FF5B2832}" name="tblproject" displayName="tblproject" ref="A2:V53" tableType="queryTable" totalsRowShown="0" headerRowDxfId="94" dataDxfId="93">
  <autoFilter ref="A2:V53" xr:uid="{FF7835A4-75EF-4B4E-AC0E-9856FF5B2832}"/>
  <tableColumns count="22">
    <tableColumn id="1" xr3:uid="{F0EEFED8-E480-43C3-8F7D-5611586475CE}" uniqueName="1" name="ProjectID" queryTableFieldId="1" dataDxfId="92"/>
    <tableColumn id="2" xr3:uid="{130143DB-416B-4CBB-B8FB-D9F552E231B2}" uniqueName="2" name="ProjectName" queryTableFieldId="2" dataDxfId="91"/>
    <tableColumn id="3" xr3:uid="{4EEF3416-F2F2-4552-ACF0-540C2AB2C176}" uniqueName="3" name="Client" queryTableFieldId="3" dataDxfId="90"/>
    <tableColumn id="4" xr3:uid="{8679792D-2648-4FED-9981-EB1DD19B25E9}" uniqueName="4" name="Region" queryTableFieldId="4" dataDxfId="89"/>
    <tableColumn id="5" xr3:uid="{9EE3DE5C-8602-49A9-9304-C7F399E5F56E}" uniqueName="5" name="Country" queryTableFieldId="5" dataDxfId="88"/>
    <tableColumn id="6" xr3:uid="{4DBB06C6-D19A-45F3-BA9D-C67C0EEA8A43}" uniqueName="6" name="ContractType" queryTableFieldId="6" dataDxfId="87"/>
    <tableColumn id="7" xr3:uid="{9536134D-D90A-4C76-AEBA-62FB0BB76EC2}" uniqueName="7" name="Discipline" queryTableFieldId="7" dataDxfId="86"/>
    <tableColumn id="8" xr3:uid="{A8B69F13-0039-48DA-A8D0-1B5F674FD293}" uniqueName="8" name="ProjectManager" queryTableFieldId="8" dataDxfId="85"/>
    <tableColumn id="9" xr3:uid="{0A4F4820-D2B5-4D4C-9C7B-8CF67C6B9CA1}" uniqueName="9" name="ProjectStatus" queryTableFieldId="9" dataDxfId="84"/>
    <tableColumn id="10" xr3:uid="{9E4AD209-E0F4-43C5-AF7D-0C565F17BE52}" uniqueName="10" name="StartDate" queryTableFieldId="10" dataDxfId="83"/>
    <tableColumn id="11" xr3:uid="{1B584D3A-1C5A-4C89-BC64-DE9BB65A5A33}" uniqueName="11" name="PlannedEndDate" queryTableFieldId="11" dataDxfId="82"/>
    <tableColumn id="12" xr3:uid="{65D98256-E82A-46F4-A67F-B5E7B0FC1691}" uniqueName="12" name="Budget" queryTableFieldId="12" dataDxfId="81"/>
    <tableColumn id="13" xr3:uid="{D398F26D-743A-4C49-A80C-5062F6D12046}" uniqueName="13" name="ActualCost" queryTableFieldId="13" dataDxfId="80"/>
    <tableColumn id="14" xr3:uid="{D63A52B0-1873-40BF-83F7-8D7A6BBA7149}" uniqueName="14" name="ContractValue" queryTableFieldId="14" dataDxfId="79"/>
    <tableColumn id="15" xr3:uid="{9D0F107D-A8F4-4F77-B813-A4C7DFDD94C3}" uniqueName="15" name="RevenueCategory" queryTableFieldId="15" dataDxfId="78"/>
    <tableColumn id="16" xr3:uid="{263AA671-7647-4C9C-86A4-C41F35E520CA}" uniqueName="16" name="Priority" queryTableFieldId="16" dataDxfId="77"/>
    <tableColumn id="17" xr3:uid="{5BB1715B-4D31-4A7F-B2B2-01C73080D334}" uniqueName="17" name="RiskLevel" queryTableFieldId="17" dataDxfId="76"/>
    <tableColumn id="18" xr3:uid="{C6FBB977-D3D1-46EC-A091-0CD1557C5AD2}" uniqueName="18" name="Notes" queryTableFieldId="18" dataDxfId="75"/>
    <tableColumn id="21" xr3:uid="{D1D749E1-D42B-430C-B50B-C1B281247655}" uniqueName="21" name="Profit" queryTableFieldId="31"/>
    <tableColumn id="24" xr3:uid="{B2A20755-5AFC-445A-BB9C-26CEF7609947}" uniqueName="24" name="Budget_Varience" queryTableFieldId="24" dataDxfId="74">
      <calculatedColumnFormula>IF(OR(tblproject[[#This Row],[Budget]]="",tblproject[[#This Row],[ActualCost]]=""),"",tblproject[[#This Row],[Budget]]-tblproject[[#This Row],[ActualCost]])</calculatedColumnFormula>
    </tableColumn>
    <tableColumn id="25" xr3:uid="{93DEDFF2-4FCC-4AFD-A6B3-DD878E083CB5}" uniqueName="25" name="Cost_Utilization" queryTableFieldId="25" dataDxfId="73">
      <calculatedColumnFormula>IF(OR(tblproject[[#This Row],[ActualCost]]="",tblproject[[#This Row],[Budget]]=""),"",IFERROR(tblproject[[#This Row],[ActualCost]]/tblproject[[#This Row],[Budget]],0))</calculatedColumnFormula>
    </tableColumn>
    <tableColumn id="26" xr3:uid="{3F143D6B-C77B-4C58-A303-425AA8AD38CB}" uniqueName="26" name="Over_Budget_Flag" queryTableFieldId="26" dataDxfId="72">
      <calculatedColumnFormula>IF(OR(tblproject[[#This Row],[ActualCost]]="",tblproject[[#This Row],[Budget]]=""),"",IF(tblproject[[#This Row],[ActualCost]]&gt;tblproject[[#This Row],[Budget]],"Over Budget","Within Budget"))</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617D2C-4FAC-4556-A26C-FAA214C5FE2D}" name="tblclient" displayName="tblclient" ref="A2:P17" tableType="queryTable" totalsRowShown="0">
  <autoFilter ref="A2:P17" xr:uid="{B1617D2C-4FAC-4556-A26C-FAA214C5FE2D}"/>
  <tableColumns count="16">
    <tableColumn id="1" xr3:uid="{05AB2C12-1A97-4D52-B7B4-3E18D4C789C2}" uniqueName="1" name="ClientName" queryTableFieldId="1" dataDxfId="71"/>
    <tableColumn id="2" xr3:uid="{D9A53E19-EF87-484A-971E-FB78F2631C5B}" uniqueName="2" name="ClientID" queryTableFieldId="2" dataDxfId="70"/>
    <tableColumn id="3" xr3:uid="{401FA15E-A3C3-44B7-BAB1-1B817007AA83}" uniqueName="3" name="Industry" queryTableFieldId="3" dataDxfId="69"/>
    <tableColumn id="4" xr3:uid="{F6A14DB7-0D32-4FDC-83DE-3F999312DD83}" uniqueName="4" name="Country" queryTableFieldId="4" dataDxfId="68"/>
    <tableColumn id="5" xr3:uid="{FB54C87A-7923-4145-997E-B90CE057AAAC}" uniqueName="5" name="Region" queryTableFieldId="5" dataDxfId="67"/>
    <tableColumn id="6" xr3:uid="{DD4CEF94-67E2-4876-92B2-EB6E7CB67DC7}" uniqueName="6" name="ContactPerson" queryTableFieldId="6" dataDxfId="66"/>
    <tableColumn id="7" xr3:uid="{63E09090-B30F-48D5-A6CA-DE8D29ACE45F}" uniqueName="7" name="Email" queryTableFieldId="7" dataDxfId="65"/>
    <tableColumn id="8" xr3:uid="{C36CF6B9-3D8C-48B4-8457-322B12BCDEB8}" uniqueName="8" name="Phone" queryTableFieldId="8" dataDxfId="64"/>
    <tableColumn id="9" xr3:uid="{AA4FC8FB-F782-4865-A5E7-6587A41C3BC0}" uniqueName="9" name="CreditLimit" queryTableFieldId="9"/>
    <tableColumn id="10" xr3:uid="{DA539C7D-19FD-4BFA-9E34-9369004664CB}" uniqueName="10" name="PaymentTerms" queryTableFieldId="10"/>
    <tableColumn id="11" xr3:uid="{5362E5D0-C510-4D59-A2C7-1F3E5407F69C}" uniqueName="11" name="ClientRating" queryTableFieldId="11" dataDxfId="63"/>
    <tableColumn id="12" xr3:uid="{0A93BEA0-FC46-4C37-9BB3-93C66D52B300}" uniqueName="12" name="ActiveSince" queryTableFieldId="12" dataDxfId="62"/>
    <tableColumn id="13" xr3:uid="{94C53C9A-F5D1-4124-9922-3FBE5869CBE3}" uniqueName="13" name="LastTransactionDate" queryTableFieldId="13" dataDxfId="61"/>
    <tableColumn id="14" xr3:uid="{B5A4642D-DBBE-4843-92C3-39EB06CCE36E}" uniqueName="14" name="TotalContractValue" queryTableFieldId="14"/>
    <tableColumn id="15" xr3:uid="{AD4FB024-8E8C-43D9-8AE5-E9A298F936FD}" uniqueName="15" name="OutstandingBalance" queryTableFieldId="15" dataDxfId="60"/>
    <tableColumn id="16" xr3:uid="{F5F17D51-DFC0-4B50-9837-49D6AE755861}" uniqueName="16" name="Notes" queryTableFieldId="16" dataDxfId="5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699C3E-F4C5-417C-B05F-E86509CF1A9D}" name="tblestimator" displayName="tblestimator" ref="A2:V12" tableType="queryTable" totalsRowShown="0">
  <autoFilter ref="A2:V12" xr:uid="{0E699C3E-F4C5-417C-B05F-E86509CF1A9D}"/>
  <tableColumns count="22">
    <tableColumn id="1" xr3:uid="{3FC6222E-EFE7-4CEF-A0C4-C64AE9B53C90}" uniqueName="1" name="EstimatorName" queryTableFieldId="1" dataDxfId="58"/>
    <tableColumn id="2" xr3:uid="{0D71FE20-0907-4B5F-94AF-F6D4701053E4}" uniqueName="2" name="EmployeeID" queryTableFieldId="2" dataDxfId="57"/>
    <tableColumn id="3" xr3:uid="{354BF5C0-6155-44DE-9B83-BFD275DE6271}" uniqueName="3" name="Department" queryTableFieldId="3" dataDxfId="56"/>
    <tableColumn id="4" xr3:uid="{1E84B2FF-E4D5-41D4-B8B4-CF27C64E18D1}" uniqueName="4" name="Designation" queryTableFieldId="4" dataDxfId="55"/>
    <tableColumn id="5" xr3:uid="{EDE9D080-A5CC-41F6-A1C4-B74428CF973C}" uniqueName="5" name="Region" queryTableFieldId="5" dataDxfId="54"/>
    <tableColumn id="6" xr3:uid="{6D79DBA9-A79D-4F3E-AE0D-64283139CD98}" uniqueName="6" name="JoiningDate" queryTableFieldId="6" dataDxfId="53"/>
    <tableColumn id="7" xr3:uid="{B74FCFAF-5E2D-4792-AB0E-F79E1B19F3B4}" uniqueName="7" name="AnnualTarget" queryTableFieldId="7"/>
    <tableColumn id="8" xr3:uid="{256607FF-A4CB-4836-83F4-25722BD411F8}" uniqueName="8" name="Q1_2025_Achieved" queryTableFieldId="8" dataDxfId="52"/>
    <tableColumn id="9" xr3:uid="{5921C3ED-E0BF-4F8D-A160-975E522D7854}" uniqueName="9" name="Q2_2025_Achieved" queryTableFieldId="9"/>
    <tableColumn id="10" xr3:uid="{F7E49300-E69A-4CE6-8271-4AB6EF5599D7}" uniqueName="10" name="Q3_2025_Achieved" queryTableFieldId="10"/>
    <tableColumn id="11" xr3:uid="{570F1BAA-8D80-473B-AE29-8F29B82E8E51}" uniqueName="11" name="Q4_2025_Achieved" queryTableFieldId="11" dataDxfId="51"/>
    <tableColumn id="12" xr3:uid="{D080D1BB-256C-4398-BDF5-21C7C18B620E}" uniqueName="12" name="Q1_2026_Achieved" queryTableFieldId="12"/>
    <tableColumn id="13" xr3:uid="{733AE55C-6912-4490-8801-A33B13856727}" uniqueName="13" name="WinRate" queryTableFieldId="13" dataDxfId="50"/>
    <tableColumn id="14" xr3:uid="{63AC81C1-6657-4289-81FB-9850A00613B7}" uniqueName="14" name="AvgBidValue" queryTableFieldId="14"/>
    <tableColumn id="15" xr3:uid="{120F6587-4E90-4B5B-B7AA-08B89F414A4B}" uniqueName="15" name="TotalBids" queryTableFieldId="15"/>
    <tableColumn id="16" xr3:uid="{C76101A8-CB8C-4C0F-98E1-DEBE59D202FC}" uniqueName="16" name="BidsWon" queryTableFieldId="16"/>
    <tableColumn id="17" xr3:uid="{93F7EDA9-E710-46D0-9F51-2239835F3C15}" uniqueName="17" name="Email" queryTableFieldId="17" dataDxfId="49"/>
    <tableColumn id="18" xr3:uid="{73444F27-B7C2-4F18-81D7-AAEFB6D39D0B}" uniqueName="18" name="Salary" queryTableFieldId="18"/>
    <tableColumn id="19" xr3:uid="{C32C2127-286D-4DED-A0CE-B656DDB377F9}" uniqueName="19" name="Notes" queryTableFieldId="19" dataDxfId="48"/>
    <tableColumn id="20" xr3:uid="{80014890-BA11-450A-B0C0-65DEC5E33212}" uniqueName="20" name="Calculated Win Rate" queryTableFieldId="20" dataDxfId="47">
      <calculatedColumnFormula>IFERROR(tblestimator[[#This Row],[BidsWon]]/tblestimator[[#This Row],[TotalBids]],0)</calculatedColumnFormula>
    </tableColumn>
    <tableColumn id="24" xr3:uid="{879D7019-8D79-4AD8-9A84-AC4B4E447443}" uniqueName="24" name="Total Achievements" queryTableFieldId="25" dataDxfId="46">
      <calculatedColumnFormula>tblestimator[[#This Row],[Q1_2025_Achieved]]+tblestimator[[#This Row],[Q2_2025_Achieved]]+tblestimator[[#This Row],[Q3_2025_Achieved]]+tblestimator[[#This Row],[Q4_2025_Achieved]]+tblestimator[[#This Row],[Q1_2026_Achieved]]</calculatedColumnFormula>
    </tableColumn>
    <tableColumn id="21" xr3:uid="{3C6E9261-83FF-4C18-9E24-18F7562F80FA}" uniqueName="21" name="Target  Achievement %" queryTableFieldId="21" dataCellStyle="Percent">
      <calculatedColumnFormula>SUM(H3+I3+J3+K3+L3)/SUM(G3:G12)</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C51298-B71C-4AE0-A5AC-E5B9EC3623F1}" name="tblcost" displayName="tblcost" ref="A2:X86" tableType="queryTable" totalsRowShown="0">
  <autoFilter ref="A2:X86" xr:uid="{3AC51298-B71C-4AE0-A5AC-E5B9EC3623F1}"/>
  <tableColumns count="24">
    <tableColumn id="1" xr3:uid="{2F4F079C-52F2-46F7-B8DA-A11A77497C9A}" uniqueName="1" name="Month" queryTableFieldId="1" dataDxfId="45"/>
    <tableColumn id="2" xr3:uid="{35FE4416-A082-4904-A38E-30E220C012EA}" uniqueName="2" name="Region" queryTableFieldId="2" dataDxfId="44"/>
    <tableColumn id="3" xr3:uid="{C9382834-374F-482F-A178-BA9806195628}" uniqueName="3" name="OverheadCost" queryTableFieldId="3" dataDxfId="43"/>
    <tableColumn id="36" xr3:uid="{1AE6E76B-0DE7-4C04-8483-3825D6234A63}" uniqueName="36" name="OverHeadCost USD" queryTableFieldId="36"/>
    <tableColumn id="4" xr3:uid="{DD62C2E8-59F2-4F76-A673-A4940A25BD84}" uniqueName="4" name="LaborCost" queryTableFieldId="4"/>
    <tableColumn id="35" xr3:uid="{E968E4CA-FD06-4E41-A3C1-8EC2C8ED5680}" uniqueName="35" name="LaborCost USD" queryTableFieldId="35"/>
    <tableColumn id="5" xr3:uid="{33342984-F250-4CD8-BD68-F766D90468F2}" uniqueName="5" name="MaterialCost" queryTableFieldId="5"/>
    <tableColumn id="34" xr3:uid="{DEDD81D5-5906-4CEE-97DD-0997D432847E}" uniqueName="34" name="MaterialCost USD" queryTableFieldId="34"/>
    <tableColumn id="6" xr3:uid="{BF5C9315-DA90-4658-A243-4F697FC7E21F}" uniqueName="6" name="EquipmentCost" queryTableFieldId="6"/>
    <tableColumn id="33" xr3:uid="{EAE97CD3-F7F8-479E-A8FE-6F00BCDEB260}" uniqueName="33" name="EquipmentCost USD" queryTableFieldId="33"/>
    <tableColumn id="7" xr3:uid="{8F55640C-E4AC-4D7F-9D8E-8AAEE9D76659}" uniqueName="7" name="SubcontractorCost" queryTableFieldId="7" dataDxfId="42"/>
    <tableColumn id="32" xr3:uid="{D4F349E6-8358-4C06-BE7D-1B95E4F318D8}" uniqueName="32" name="SubcontractorCost USD" queryTableFieldId="32"/>
    <tableColumn id="8" xr3:uid="{16037D57-FD42-434B-83FA-4C06D6AB1D46}" uniqueName="8" name="TravelCost" queryTableFieldId="8"/>
    <tableColumn id="31" xr3:uid="{A2D16626-272E-46BC-93D9-37CE33C3651B}" uniqueName="31" name="TravelCost USD" queryTableFieldId="31"/>
    <tableColumn id="9" xr3:uid="{E93718FD-F723-4642-887D-7FA67B860433}" uniqueName="9" name="MiscCost" queryTableFieldId="9"/>
    <tableColumn id="30" xr3:uid="{99AC0B85-6665-4511-B952-A252A7A70BBB}" uniqueName="30" name="MiscCost USD" queryTableFieldId="30"/>
    <tableColumn id="10" xr3:uid="{602E5B65-07BC-4C45-AA0E-60AD3BF83EE9}" uniqueName="10" name="PlannedBudget" queryTableFieldId="10"/>
    <tableColumn id="29" xr3:uid="{765B3C11-9F09-4B8D-9791-6087EE2FA5B8}" uniqueName="29" name="PlannedBudget USD" queryTableFieldId="29"/>
    <tableColumn id="11" xr3:uid="{2A114631-B150-455C-A954-F228066EC071}" uniqueName="11" name="ActualSpend" queryTableFieldId="11" dataDxfId="41"/>
    <tableColumn id="28" xr3:uid="{42F91C51-88A9-423E-AD85-E4E9C5CFF817}" uniqueName="28" name="ActualSpend USD" queryTableFieldId="28"/>
    <tableColumn id="12" xr3:uid="{95302D1C-8FE7-4C85-9FA5-68DB22530632}" uniqueName="12" name="CostVariance" queryTableFieldId="12" dataDxfId="40"/>
    <tableColumn id="13" xr3:uid="{2ED8C776-58CD-4D63-B657-CFC782448B81}" uniqueName="13" name="Currency" queryTableFieldId="13" dataDxfId="39"/>
    <tableColumn id="14" xr3:uid="{5704C01D-9D4A-49DB-8C10-60B1757EF677}" uniqueName="14" name="ApprovedBy" queryTableFieldId="14" dataDxfId="38"/>
    <tableColumn id="15" xr3:uid="{9EB2EFEE-101E-43DE-89E9-CFF3B4CAC547}" uniqueName="15" name="Notes" queryTableFieldId="15" dataDxfId="3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0F1497A-834C-49BC-8803-113CF24DEDC0}" name="Table13" displayName="Table13" ref="O3:P7" totalsRowShown="0">
  <autoFilter ref="O3:P7" xr:uid="{60F1497A-834C-49BC-8803-113CF24DEDC0}"/>
  <tableColumns count="2">
    <tableColumn id="1" xr3:uid="{6799C4F4-0BC2-4670-951E-E2EDA2CF28DA}" name="Stage "/>
    <tableColumn id="2" xr3:uid="{EF87EB74-B72C-43D9-81F8-484C7A4DFFC7}" name="Amount" dataDxfId="3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pivotTable" Target="../pivotTables/pivotTable13.xml"/><Relationship Id="rId7" Type="http://schemas.openxmlformats.org/officeDocument/2006/relationships/printerSettings" Target="../printerSettings/printerSettings5.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openxmlformats.org/officeDocument/2006/relationships/drawing" Target="../drawings/drawing15.xml"/><Relationship Id="rId4" Type="http://schemas.openxmlformats.org/officeDocument/2006/relationships/pivotTable" Target="../pivotTables/pivotTable20.xml"/><Relationship Id="rId9"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16.xml"/><Relationship Id="rId3" Type="http://schemas.openxmlformats.org/officeDocument/2006/relationships/pivotTable" Target="../pivotTables/pivotTable27.xml"/><Relationship Id="rId7" Type="http://schemas.openxmlformats.org/officeDocument/2006/relationships/printerSettings" Target="../printerSettings/printerSettings7.bin"/><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5" Type="http://schemas.openxmlformats.org/officeDocument/2006/relationships/drawing" Target="../drawings/drawing17.xml"/><Relationship Id="rId4"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9.xml"/><Relationship Id="rId1" Type="http://schemas.openxmlformats.org/officeDocument/2006/relationships/printerSettings" Target="../printerSettings/printerSettings10.bin"/><Relationship Id="rId4" Type="http://schemas.microsoft.com/office/2007/relationships/slicer" Target="../slicers/slicer3.xml"/></Relationships>
</file>

<file path=xl/worksheets/_rels/sheet2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D98D-EBC4-4C1B-B006-243BC164AB50}">
  <dimension ref="A1"/>
  <sheetViews>
    <sheetView showGridLines="0" showRowColHeaders="0" tabSelected="1" zoomScale="95" workbookViewId="0">
      <selection activeCell="K53" sqref="K53"/>
    </sheetView>
  </sheetViews>
  <sheetFormatPr defaultRowHeight="14.4" x14ac:dyDescent="0.3"/>
  <cols>
    <col min="1" max="16384" width="8.88671875" style="19"/>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87F1-19E5-4B43-B37D-421A94036CE9}">
  <dimension ref="A1:AS1002"/>
  <sheetViews>
    <sheetView showGridLines="0" topLeftCell="N1" workbookViewId="0">
      <selection activeCell="AF3" sqref="AF3"/>
    </sheetView>
  </sheetViews>
  <sheetFormatPr defaultRowHeight="14.4" x14ac:dyDescent="0.3"/>
  <cols>
    <col min="1" max="1" width="15.21875" customWidth="1"/>
    <col min="2" max="2" width="17.21875" customWidth="1"/>
    <col min="3" max="3" width="12.21875" customWidth="1"/>
    <col min="4" max="4" width="21.21875" customWidth="1"/>
    <col min="5" max="5" width="12.6640625" customWidth="1"/>
    <col min="6" max="6" width="11.88671875" customWidth="1"/>
    <col min="7" max="7" width="17.5546875" customWidth="1"/>
    <col min="8" max="8" width="16.5546875" customWidth="1"/>
    <col min="9" max="9" width="12.77734375" customWidth="1"/>
    <col min="10" max="10" width="16" customWidth="1"/>
    <col min="11" max="11" width="16.5546875" customWidth="1"/>
    <col min="12" max="12" width="11.21875" customWidth="1"/>
    <col min="13" max="13" width="19.88671875" customWidth="1"/>
    <col min="14" max="14" width="17.33203125" customWidth="1"/>
    <col min="15" max="15" width="17.44140625" customWidth="1"/>
    <col min="16" max="16" width="23.109375" customWidth="1"/>
    <col min="17" max="17" width="13.77734375" customWidth="1"/>
    <col min="18" max="19" width="13.5546875" customWidth="1"/>
    <col min="20" max="20" width="15.33203125" customWidth="1"/>
    <col min="21" max="21" width="14.5546875" customWidth="1"/>
    <col min="22" max="22" width="17" customWidth="1"/>
    <col min="23" max="23" width="14.21875" customWidth="1"/>
    <col min="24" max="24" width="15.88671875" customWidth="1"/>
    <col min="25" max="25" width="13.77734375" customWidth="1"/>
    <col min="26" max="26" width="17.77734375" customWidth="1"/>
    <col min="27" max="27" width="20.21875" customWidth="1"/>
    <col min="28" max="28" width="15.44140625" customWidth="1"/>
    <col min="29" max="29" width="16.88671875" customWidth="1"/>
    <col min="30" max="30" width="12.5546875" customWidth="1"/>
    <col min="31" max="31" width="12.21875" customWidth="1"/>
    <col min="32" max="32" width="11" customWidth="1"/>
    <col min="33" max="33" width="9.33203125" customWidth="1"/>
    <col min="34" max="34" width="14.21875" customWidth="1"/>
    <col min="35" max="35" width="21" customWidth="1"/>
    <col min="36" max="36" width="13.33203125" customWidth="1"/>
    <col min="37" max="37" width="17.5546875" customWidth="1"/>
    <col min="38" max="38" width="15.33203125" customWidth="1"/>
    <col min="39" max="39" width="15.88671875" customWidth="1"/>
    <col min="40" max="40" width="17.33203125" customWidth="1"/>
    <col min="41" max="41" width="10.88671875" customWidth="1"/>
    <col min="42" max="42" width="17.5546875" customWidth="1"/>
    <col min="43" max="43" width="16.33203125" customWidth="1"/>
    <col min="44" max="44" width="18.44140625" customWidth="1"/>
    <col min="45" max="45" width="21.5546875" customWidth="1"/>
  </cols>
  <sheetData>
    <row r="1" spans="1:45" ht="39.6" customHeight="1" x14ac:dyDescent="0.3"/>
    <row r="2" spans="1:45" ht="40.799999999999997" customHeight="1" x14ac:dyDescent="0.3">
      <c r="A2" s="5" t="s">
        <v>287</v>
      </c>
      <c r="B2" s="5" t="s">
        <v>288</v>
      </c>
      <c r="C2" s="5" t="s">
        <v>164</v>
      </c>
      <c r="D2" s="5" t="s">
        <v>165</v>
      </c>
      <c r="E2" s="5" t="s">
        <v>4</v>
      </c>
      <c r="F2" s="5" t="s">
        <v>3</v>
      </c>
      <c r="G2" s="5" t="s">
        <v>166</v>
      </c>
      <c r="H2" s="5" t="s">
        <v>167</v>
      </c>
      <c r="I2" s="5" t="s">
        <v>168</v>
      </c>
      <c r="J2" s="5" t="s">
        <v>117</v>
      </c>
      <c r="K2" s="5" t="s">
        <v>169</v>
      </c>
      <c r="L2" s="5" t="s">
        <v>289</v>
      </c>
      <c r="M2" s="5" t="s">
        <v>290</v>
      </c>
      <c r="N2" s="5" t="s">
        <v>291</v>
      </c>
      <c r="O2" s="5" t="s">
        <v>292</v>
      </c>
      <c r="P2" s="5" t="s">
        <v>293</v>
      </c>
      <c r="Q2" s="5" t="s">
        <v>294</v>
      </c>
      <c r="R2" s="5" t="s">
        <v>295</v>
      </c>
      <c r="S2" s="5" t="s">
        <v>296</v>
      </c>
      <c r="T2" s="5" t="s">
        <v>175</v>
      </c>
      <c r="U2" s="5" t="s">
        <v>297</v>
      </c>
      <c r="V2" s="5" t="s">
        <v>298</v>
      </c>
      <c r="W2" s="5" t="s">
        <v>299</v>
      </c>
      <c r="X2" s="5" t="s">
        <v>300</v>
      </c>
      <c r="Y2" s="5" t="s">
        <v>301</v>
      </c>
      <c r="Z2" s="5" t="s">
        <v>302</v>
      </c>
      <c r="AA2" s="5" t="s">
        <v>303</v>
      </c>
      <c r="AB2" s="5" t="s">
        <v>304</v>
      </c>
      <c r="AC2" s="5" t="s">
        <v>305</v>
      </c>
      <c r="AD2" s="5" t="s">
        <v>306</v>
      </c>
      <c r="AE2" s="5" t="s">
        <v>307</v>
      </c>
      <c r="AF2" s="5" t="s">
        <v>150</v>
      </c>
      <c r="AG2" s="5" t="s">
        <v>308</v>
      </c>
      <c r="AH2" s="5" t="s">
        <v>309</v>
      </c>
      <c r="AI2" s="5" t="s">
        <v>310</v>
      </c>
      <c r="AJ2" s="5" t="s">
        <v>311</v>
      </c>
      <c r="AK2" s="5" t="s">
        <v>143</v>
      </c>
      <c r="AL2" s="5" t="s">
        <v>142</v>
      </c>
      <c r="AM2" s="5" t="s">
        <v>312</v>
      </c>
      <c r="AN2" s="5" t="s">
        <v>313</v>
      </c>
      <c r="AO2" s="5" t="s">
        <v>314</v>
      </c>
      <c r="AP2" s="5" t="s">
        <v>315</v>
      </c>
      <c r="AQ2" s="5" t="s">
        <v>316</v>
      </c>
      <c r="AR2" s="5" t="s">
        <v>176</v>
      </c>
      <c r="AS2" s="5" t="s">
        <v>15</v>
      </c>
    </row>
    <row r="3" spans="1:45" x14ac:dyDescent="0.3">
      <c r="A3" s="6" t="s">
        <v>317</v>
      </c>
      <c r="B3" s="6" t="s">
        <v>3275</v>
      </c>
      <c r="C3" s="6" t="s">
        <v>284</v>
      </c>
      <c r="D3" s="6" t="s">
        <v>265</v>
      </c>
      <c r="E3" s="6" t="s">
        <v>4265</v>
      </c>
      <c r="F3" s="6" t="s">
        <v>228</v>
      </c>
      <c r="G3" s="6" t="s">
        <v>16</v>
      </c>
      <c r="H3" s="6" t="s">
        <v>4266</v>
      </c>
      <c r="I3" s="6" t="s">
        <v>183</v>
      </c>
      <c r="J3" s="6" t="s">
        <v>130</v>
      </c>
      <c r="K3" s="6" t="s">
        <v>223</v>
      </c>
      <c r="L3" s="6" t="s">
        <v>318</v>
      </c>
      <c r="M3" s="6" t="s">
        <v>3276</v>
      </c>
      <c r="N3" s="6" t="s">
        <v>4267</v>
      </c>
      <c r="O3" s="6" t="s">
        <v>4268</v>
      </c>
      <c r="P3" s="6">
        <v>27</v>
      </c>
      <c r="Q3" s="6">
        <v>7671301</v>
      </c>
      <c r="R3" s="6">
        <v>0.02</v>
      </c>
      <c r="S3" s="6">
        <v>0.02</v>
      </c>
      <c r="T3" s="6">
        <v>7668232.4800000004</v>
      </c>
      <c r="U3" s="6">
        <v>5275387.25</v>
      </c>
      <c r="V3" s="6">
        <v>0.36</v>
      </c>
      <c r="W3" s="6">
        <v>0.1</v>
      </c>
      <c r="X3" s="6" t="s">
        <v>319</v>
      </c>
      <c r="Y3" s="6">
        <v>1838298.68</v>
      </c>
      <c r="Z3" s="6">
        <v>1634572.85</v>
      </c>
      <c r="AA3" s="6">
        <v>120</v>
      </c>
      <c r="AB3" s="6">
        <v>23</v>
      </c>
      <c r="AC3" s="6"/>
      <c r="AD3" s="6" t="s">
        <v>320</v>
      </c>
      <c r="AE3" s="6">
        <v>0.61</v>
      </c>
      <c r="AF3" s="6"/>
      <c r="AG3" s="6">
        <v>0.05</v>
      </c>
      <c r="AH3" s="6">
        <v>0.01</v>
      </c>
      <c r="AI3" s="6">
        <v>6</v>
      </c>
      <c r="AJ3" s="6">
        <v>837</v>
      </c>
      <c r="AK3" s="6">
        <v>953041.44</v>
      </c>
      <c r="AL3" s="6">
        <v>1265731.02</v>
      </c>
      <c r="AM3" s="6" t="s">
        <v>321</v>
      </c>
      <c r="AN3" s="6" t="s">
        <v>322</v>
      </c>
      <c r="AO3" s="6">
        <v>52.3</v>
      </c>
      <c r="AP3" s="6">
        <v>36</v>
      </c>
      <c r="AQ3" s="6" t="s">
        <v>323</v>
      </c>
      <c r="AR3" s="6" t="s">
        <v>224</v>
      </c>
      <c r="AS3" s="6" t="s">
        <v>324</v>
      </c>
    </row>
    <row r="4" spans="1:45" x14ac:dyDescent="0.3">
      <c r="A4" s="7" t="s">
        <v>325</v>
      </c>
      <c r="B4" s="7" t="s">
        <v>4269</v>
      </c>
      <c r="C4" s="7" t="s">
        <v>222</v>
      </c>
      <c r="D4" s="7" t="s">
        <v>242</v>
      </c>
      <c r="E4" s="7" t="s">
        <v>4270</v>
      </c>
      <c r="F4" s="7" t="s">
        <v>181</v>
      </c>
      <c r="G4" s="7" t="s">
        <v>80</v>
      </c>
      <c r="H4" s="7" t="s">
        <v>4271</v>
      </c>
      <c r="I4" s="7" t="s">
        <v>4272</v>
      </c>
      <c r="J4" s="7" t="s">
        <v>123</v>
      </c>
      <c r="K4" s="7" t="s">
        <v>326</v>
      </c>
      <c r="L4" s="7" t="s">
        <v>327</v>
      </c>
      <c r="M4" s="7" t="s">
        <v>4273</v>
      </c>
      <c r="N4" s="7" t="s">
        <v>3278</v>
      </c>
      <c r="O4" s="7" t="s">
        <v>4274</v>
      </c>
      <c r="P4" s="7" t="s">
        <v>4275</v>
      </c>
      <c r="Q4" s="7">
        <v>31221757</v>
      </c>
      <c r="R4" s="7">
        <v>0.14000000000000001</v>
      </c>
      <c r="S4" s="7">
        <v>0.2</v>
      </c>
      <c r="T4" s="7">
        <v>32220853.219999999</v>
      </c>
      <c r="U4" s="7">
        <v>25397565.98</v>
      </c>
      <c r="V4" s="7">
        <v>0.2</v>
      </c>
      <c r="W4" s="7">
        <v>0.06</v>
      </c>
      <c r="X4" s="7" t="s">
        <v>328</v>
      </c>
      <c r="Y4" s="7">
        <v>19139180.239999998</v>
      </c>
      <c r="Z4" s="7">
        <v>14269403.300000001</v>
      </c>
      <c r="AA4" s="7">
        <v>60</v>
      </c>
      <c r="AB4" s="7">
        <v>15</v>
      </c>
      <c r="AC4" s="7" t="s">
        <v>329</v>
      </c>
      <c r="AD4" s="7" t="s">
        <v>320</v>
      </c>
      <c r="AE4" s="7">
        <v>0.27</v>
      </c>
      <c r="AF4" s="7" t="s">
        <v>4276</v>
      </c>
      <c r="AG4" s="7">
        <v>0.05</v>
      </c>
      <c r="AH4" s="7">
        <v>0.08</v>
      </c>
      <c r="AI4" s="7">
        <v>12</v>
      </c>
      <c r="AJ4" s="7">
        <v>948</v>
      </c>
      <c r="AK4" s="7">
        <v>4623794.7699999996</v>
      </c>
      <c r="AL4" s="7">
        <v>11483019.73</v>
      </c>
      <c r="AM4" s="7"/>
      <c r="AN4" s="7" t="s">
        <v>330</v>
      </c>
      <c r="AO4" s="7">
        <v>73.400000000000006</v>
      </c>
      <c r="AP4" s="7">
        <v>48</v>
      </c>
      <c r="AQ4" s="7" t="s">
        <v>4275</v>
      </c>
      <c r="AR4" s="7" t="s">
        <v>192</v>
      </c>
      <c r="AS4" s="7"/>
    </row>
    <row r="5" spans="1:45" x14ac:dyDescent="0.3">
      <c r="A5" s="6" t="s">
        <v>331</v>
      </c>
      <c r="B5" s="6" t="s">
        <v>4277</v>
      </c>
      <c r="C5" s="6" t="s">
        <v>211</v>
      </c>
      <c r="D5" s="6" t="s">
        <v>238</v>
      </c>
      <c r="E5" s="6" t="s">
        <v>41</v>
      </c>
      <c r="F5" s="6" t="s">
        <v>228</v>
      </c>
      <c r="G5" s="6"/>
      <c r="H5" s="6" t="s">
        <v>197</v>
      </c>
      <c r="I5" s="6"/>
      <c r="J5" s="6" t="s">
        <v>105</v>
      </c>
      <c r="K5" s="6" t="s">
        <v>333</v>
      </c>
      <c r="L5" s="6" t="s">
        <v>334</v>
      </c>
      <c r="M5" s="6" t="s">
        <v>3279</v>
      </c>
      <c r="N5" s="6"/>
      <c r="O5" s="6" t="s">
        <v>4278</v>
      </c>
      <c r="P5" s="6">
        <v>51</v>
      </c>
      <c r="Q5" s="6">
        <v>20228290</v>
      </c>
      <c r="R5" s="6">
        <v>0.3</v>
      </c>
      <c r="S5" s="6">
        <v>0.08</v>
      </c>
      <c r="T5" s="6">
        <v>15292587.24</v>
      </c>
      <c r="U5" s="6">
        <v>10098388.4</v>
      </c>
      <c r="V5" s="6">
        <v>0.4</v>
      </c>
      <c r="W5" s="6">
        <v>0.15</v>
      </c>
      <c r="X5" s="6" t="s">
        <v>335</v>
      </c>
      <c r="Y5" s="6">
        <v>3350214.93</v>
      </c>
      <c r="Z5" s="6">
        <v>2007217.9</v>
      </c>
      <c r="AA5" s="6">
        <v>45</v>
      </c>
      <c r="AB5" s="6">
        <v>139</v>
      </c>
      <c r="AC5" s="6" t="s">
        <v>329</v>
      </c>
      <c r="AD5" s="6" t="s">
        <v>336</v>
      </c>
      <c r="AE5" s="6">
        <v>0.95</v>
      </c>
      <c r="AF5" s="6" t="s">
        <v>155</v>
      </c>
      <c r="AG5" s="6">
        <v>0.15</v>
      </c>
      <c r="AH5" s="6">
        <v>0.09</v>
      </c>
      <c r="AI5" s="6">
        <v>10</v>
      </c>
      <c r="AJ5" s="6">
        <v>4829</v>
      </c>
      <c r="AK5" s="6">
        <v>2375569.2599999998</v>
      </c>
      <c r="AL5" s="6"/>
      <c r="AM5" s="6" t="s">
        <v>321</v>
      </c>
      <c r="AN5" s="6" t="s">
        <v>330</v>
      </c>
      <c r="AO5" s="6">
        <v>72.599999999999994</v>
      </c>
      <c r="AP5" s="6">
        <v>12</v>
      </c>
      <c r="AQ5" s="6" t="s">
        <v>337</v>
      </c>
      <c r="AR5" s="6" t="s">
        <v>186</v>
      </c>
      <c r="AS5" s="6"/>
    </row>
    <row r="6" spans="1:45" x14ac:dyDescent="0.3">
      <c r="A6" s="7" t="s">
        <v>338</v>
      </c>
      <c r="B6" s="7" t="s">
        <v>4279</v>
      </c>
      <c r="C6" s="7" t="s">
        <v>201</v>
      </c>
      <c r="D6" s="7" t="s">
        <v>255</v>
      </c>
      <c r="E6" s="7" t="s">
        <v>36</v>
      </c>
      <c r="F6" s="7" t="s">
        <v>339</v>
      </c>
      <c r="G6" s="7" t="s">
        <v>50</v>
      </c>
      <c r="H6" s="7" t="s">
        <v>4280</v>
      </c>
      <c r="I6" s="7" t="s">
        <v>246</v>
      </c>
      <c r="J6" s="7" t="s">
        <v>115</v>
      </c>
      <c r="K6" s="7" t="s">
        <v>333</v>
      </c>
      <c r="L6" s="7" t="s">
        <v>340</v>
      </c>
      <c r="M6" s="7" t="s">
        <v>3280</v>
      </c>
      <c r="N6" s="7"/>
      <c r="O6" s="7" t="s">
        <v>4281</v>
      </c>
      <c r="P6" s="7">
        <v>57</v>
      </c>
      <c r="Q6" s="7">
        <v>32775615</v>
      </c>
      <c r="R6" s="7">
        <v>0.08</v>
      </c>
      <c r="S6" s="7">
        <v>-0.02</v>
      </c>
      <c r="T6" s="7">
        <v>29550494.48</v>
      </c>
      <c r="U6" s="7">
        <v>18178769.73</v>
      </c>
      <c r="V6" s="7">
        <v>0.34</v>
      </c>
      <c r="W6" s="7">
        <v>0.2</v>
      </c>
      <c r="X6" s="7" t="s">
        <v>341</v>
      </c>
      <c r="Y6" s="7">
        <v>24975696.870000001</v>
      </c>
      <c r="Z6" s="7">
        <v>18902468.420000002</v>
      </c>
      <c r="AA6" s="7">
        <v>90</v>
      </c>
      <c r="AB6" s="7">
        <v>63</v>
      </c>
      <c r="AC6" s="7" t="s">
        <v>342</v>
      </c>
      <c r="AD6" s="7" t="s">
        <v>336</v>
      </c>
      <c r="AE6" s="7">
        <v>0.79</v>
      </c>
      <c r="AF6" s="7"/>
      <c r="AG6" s="7">
        <v>0.1</v>
      </c>
      <c r="AH6" s="7">
        <v>0.03</v>
      </c>
      <c r="AI6" s="7">
        <v>3</v>
      </c>
      <c r="AJ6" s="7">
        <v>490</v>
      </c>
      <c r="AK6" s="7">
        <v>605659.16</v>
      </c>
      <c r="AL6" s="7">
        <v>13906676.34</v>
      </c>
      <c r="AM6" s="7" t="s">
        <v>343</v>
      </c>
      <c r="AN6" s="7"/>
      <c r="AO6" s="7">
        <v>58.3</v>
      </c>
      <c r="AP6" s="7">
        <v>36</v>
      </c>
      <c r="AQ6" s="7"/>
      <c r="AR6" s="7" t="s">
        <v>224</v>
      </c>
      <c r="AS6" s="7" t="s">
        <v>188</v>
      </c>
    </row>
    <row r="7" spans="1:45" x14ac:dyDescent="0.3">
      <c r="A7" s="6" t="s">
        <v>344</v>
      </c>
      <c r="B7" s="6" t="s">
        <v>3282</v>
      </c>
      <c r="C7" s="6" t="s">
        <v>270</v>
      </c>
      <c r="D7" s="6" t="s">
        <v>255</v>
      </c>
      <c r="E7" s="6" t="s">
        <v>36</v>
      </c>
      <c r="F7" s="6" t="s">
        <v>19</v>
      </c>
      <c r="G7" s="6" t="s">
        <v>23</v>
      </c>
      <c r="H7" s="6" t="s">
        <v>212</v>
      </c>
      <c r="I7" s="6" t="s">
        <v>191</v>
      </c>
      <c r="J7" s="6" t="s">
        <v>115</v>
      </c>
      <c r="K7" s="6" t="s">
        <v>223</v>
      </c>
      <c r="L7" s="6" t="s">
        <v>345</v>
      </c>
      <c r="M7" s="6" t="s">
        <v>4282</v>
      </c>
      <c r="N7" s="6" t="s">
        <v>4283</v>
      </c>
      <c r="O7" s="6" t="s">
        <v>4284</v>
      </c>
      <c r="P7" s="6">
        <v>51</v>
      </c>
      <c r="Q7" s="6">
        <v>14809659</v>
      </c>
      <c r="R7" s="6">
        <v>0.34</v>
      </c>
      <c r="S7" s="6">
        <v>0.09</v>
      </c>
      <c r="T7" s="6">
        <v>10654068.68</v>
      </c>
      <c r="U7" s="6">
        <v>6422215.46</v>
      </c>
      <c r="V7" s="6">
        <v>0.25</v>
      </c>
      <c r="W7" s="6">
        <v>0.06</v>
      </c>
      <c r="X7" s="6" t="s">
        <v>346</v>
      </c>
      <c r="Y7" s="6">
        <v>5442800.6100000003</v>
      </c>
      <c r="Z7" s="6">
        <v>4889705.6500000004</v>
      </c>
      <c r="AA7" s="6">
        <v>30</v>
      </c>
      <c r="AB7" s="6">
        <v>13</v>
      </c>
      <c r="AC7" s="6" t="s">
        <v>347</v>
      </c>
      <c r="AD7" s="6" t="s">
        <v>336</v>
      </c>
      <c r="AE7" s="6">
        <v>0.6</v>
      </c>
      <c r="AF7" s="6" t="s">
        <v>152</v>
      </c>
      <c r="AG7" s="6">
        <v>0.15</v>
      </c>
      <c r="AH7" s="6">
        <v>0.09</v>
      </c>
      <c r="AI7" s="6">
        <v>5</v>
      </c>
      <c r="AJ7" s="6">
        <v>1302</v>
      </c>
      <c r="AK7" s="6">
        <v>1544202.11</v>
      </c>
      <c r="AL7" s="6">
        <v>5258223.16</v>
      </c>
      <c r="AM7" s="6" t="s">
        <v>343</v>
      </c>
      <c r="AN7" s="6" t="s">
        <v>348</v>
      </c>
      <c r="AO7" s="6">
        <v>63.3</v>
      </c>
      <c r="AP7" s="6">
        <v>60</v>
      </c>
      <c r="AQ7" s="6" t="s">
        <v>337</v>
      </c>
      <c r="AR7" s="6" t="s">
        <v>186</v>
      </c>
      <c r="AS7" s="6" t="s">
        <v>188</v>
      </c>
    </row>
    <row r="8" spans="1:45" x14ac:dyDescent="0.3">
      <c r="A8" s="7" t="s">
        <v>325</v>
      </c>
      <c r="B8" s="7" t="s">
        <v>4285</v>
      </c>
      <c r="C8" s="7" t="s">
        <v>225</v>
      </c>
      <c r="D8" s="7" t="s">
        <v>180</v>
      </c>
      <c r="E8" s="7"/>
      <c r="F8" s="7" t="s">
        <v>75</v>
      </c>
      <c r="G8" s="7" t="s">
        <v>66</v>
      </c>
      <c r="H8" s="7" t="s">
        <v>4280</v>
      </c>
      <c r="I8" s="7"/>
      <c r="J8" s="7" t="s">
        <v>115</v>
      </c>
      <c r="K8" s="7" t="s">
        <v>204</v>
      </c>
      <c r="L8" s="7" t="s">
        <v>3283</v>
      </c>
      <c r="M8" s="7" t="s">
        <v>4286</v>
      </c>
      <c r="N8" s="7" t="s">
        <v>3284</v>
      </c>
      <c r="O8" s="7" t="s">
        <v>4287</v>
      </c>
      <c r="P8" s="7">
        <v>53</v>
      </c>
      <c r="Q8" s="7">
        <v>7383062</v>
      </c>
      <c r="R8" s="7" t="s">
        <v>3273</v>
      </c>
      <c r="S8" s="7">
        <v>-0.01</v>
      </c>
      <c r="T8" s="7">
        <v>5408831.2199999997</v>
      </c>
      <c r="U8" s="7">
        <v>3310034.13</v>
      </c>
      <c r="V8" s="7">
        <v>0.28999999999999998</v>
      </c>
      <c r="W8" s="7">
        <v>0.15</v>
      </c>
      <c r="X8" s="7" t="s">
        <v>3286</v>
      </c>
      <c r="Y8" s="7">
        <v>1565817.86</v>
      </c>
      <c r="Z8" s="7">
        <v>733591.5</v>
      </c>
      <c r="AA8" s="7">
        <v>60</v>
      </c>
      <c r="AB8" s="7">
        <v>53</v>
      </c>
      <c r="AC8" s="7"/>
      <c r="AD8" s="7" t="s">
        <v>406</v>
      </c>
      <c r="AE8" s="7">
        <v>0.7</v>
      </c>
      <c r="AF8" s="7" t="s">
        <v>155</v>
      </c>
      <c r="AG8" s="7">
        <v>0.1</v>
      </c>
      <c r="AH8" s="7">
        <v>0.06</v>
      </c>
      <c r="AI8" s="7">
        <v>8</v>
      </c>
      <c r="AJ8" s="7">
        <v>1949</v>
      </c>
      <c r="AK8" s="7">
        <v>1322607.3700000001</v>
      </c>
      <c r="AL8" s="7">
        <v>2447855.7200000002</v>
      </c>
      <c r="AM8" s="7" t="s">
        <v>385</v>
      </c>
      <c r="AN8" s="7" t="s">
        <v>386</v>
      </c>
      <c r="AO8" s="7">
        <v>94.2</v>
      </c>
      <c r="AP8" s="7" t="s">
        <v>4275</v>
      </c>
      <c r="AQ8" s="7"/>
      <c r="AR8" s="7" t="s">
        <v>224</v>
      </c>
      <c r="AS8" s="7"/>
    </row>
    <row r="9" spans="1:45" x14ac:dyDescent="0.3">
      <c r="A9" s="6" t="s">
        <v>349</v>
      </c>
      <c r="B9" s="6" t="s">
        <v>4288</v>
      </c>
      <c r="C9" s="6" t="s">
        <v>247</v>
      </c>
      <c r="D9" s="6" t="s">
        <v>262</v>
      </c>
      <c r="E9" s="6" t="s">
        <v>4265</v>
      </c>
      <c r="F9" s="6" t="s">
        <v>350</v>
      </c>
      <c r="G9" s="6" t="s">
        <v>78</v>
      </c>
      <c r="H9" s="6" t="s">
        <v>263</v>
      </c>
      <c r="I9" s="6" t="s">
        <v>4289</v>
      </c>
      <c r="J9" s="6" t="s">
        <v>105</v>
      </c>
      <c r="K9" s="6" t="s">
        <v>199</v>
      </c>
      <c r="L9" s="6" t="s">
        <v>351</v>
      </c>
      <c r="M9" s="6" t="s">
        <v>3287</v>
      </c>
      <c r="N9" s="6" t="s">
        <v>4290</v>
      </c>
      <c r="O9" s="6" t="s">
        <v>3288</v>
      </c>
      <c r="P9" s="6">
        <v>39</v>
      </c>
      <c r="Q9" s="6">
        <v>47261982</v>
      </c>
      <c r="R9" s="6">
        <v>0.05</v>
      </c>
      <c r="S9" s="6">
        <v>0.17</v>
      </c>
      <c r="T9" s="6">
        <v>52531692.990000002</v>
      </c>
      <c r="U9" s="6">
        <v>32218525.719999999</v>
      </c>
      <c r="V9" s="6">
        <v>0.23</v>
      </c>
      <c r="W9" s="6">
        <v>0.17</v>
      </c>
      <c r="X9" s="6" t="s">
        <v>352</v>
      </c>
      <c r="Y9" s="6">
        <v>40964438.170000002</v>
      </c>
      <c r="Z9" s="6">
        <v>19578829.27</v>
      </c>
      <c r="AA9" s="6">
        <v>90</v>
      </c>
      <c r="AB9" s="6">
        <v>90</v>
      </c>
      <c r="AC9" s="6" t="s">
        <v>353</v>
      </c>
      <c r="AD9" s="6" t="s">
        <v>354</v>
      </c>
      <c r="AE9" s="6">
        <v>0.34</v>
      </c>
      <c r="AF9" s="6" t="s">
        <v>155</v>
      </c>
      <c r="AG9" s="6">
        <v>0.05</v>
      </c>
      <c r="AH9" s="6">
        <v>0.03</v>
      </c>
      <c r="AI9" s="6">
        <v>6</v>
      </c>
      <c r="AJ9" s="6">
        <v>2714</v>
      </c>
      <c r="AK9" s="6">
        <v>9065873.3200000003</v>
      </c>
      <c r="AL9" s="6">
        <v>24165562.91</v>
      </c>
      <c r="AM9" s="6" t="s">
        <v>355</v>
      </c>
      <c r="AN9" s="6" t="s">
        <v>356</v>
      </c>
      <c r="AO9" s="6">
        <v>87.1</v>
      </c>
      <c r="AP9" s="6">
        <v>48</v>
      </c>
      <c r="AQ9" s="6" t="s">
        <v>4275</v>
      </c>
      <c r="AR9" s="6" t="s">
        <v>229</v>
      </c>
      <c r="AS9" s="6" t="s">
        <v>357</v>
      </c>
    </row>
    <row r="10" spans="1:45" x14ac:dyDescent="0.3">
      <c r="A10" s="7" t="s">
        <v>358</v>
      </c>
      <c r="B10" s="7" t="s">
        <v>3289</v>
      </c>
      <c r="C10" s="7" t="s">
        <v>247</v>
      </c>
      <c r="D10" s="7" t="s">
        <v>250</v>
      </c>
      <c r="E10" s="7" t="s">
        <v>20</v>
      </c>
      <c r="F10" s="7" t="s">
        <v>35</v>
      </c>
      <c r="G10" s="7" t="s">
        <v>66</v>
      </c>
      <c r="H10" s="7" t="s">
        <v>216</v>
      </c>
      <c r="I10" s="7" t="s">
        <v>4291</v>
      </c>
      <c r="J10" s="7" t="s">
        <v>136</v>
      </c>
      <c r="K10" s="7" t="s">
        <v>204</v>
      </c>
      <c r="L10" s="7" t="s">
        <v>359</v>
      </c>
      <c r="M10" s="7" t="s">
        <v>4292</v>
      </c>
      <c r="N10" s="7"/>
      <c r="O10" s="7" t="s">
        <v>4293</v>
      </c>
      <c r="P10" s="7">
        <v>43</v>
      </c>
      <c r="Q10" s="7">
        <v>11878777</v>
      </c>
      <c r="R10" s="7">
        <v>0.22</v>
      </c>
      <c r="S10" s="7">
        <v>0.03</v>
      </c>
      <c r="T10" s="7">
        <v>9543409.4399999995</v>
      </c>
      <c r="U10" s="7">
        <v>7782686.4199999999</v>
      </c>
      <c r="V10" s="7">
        <v>0.19</v>
      </c>
      <c r="W10" s="7">
        <v>7.0000000000000007E-2</v>
      </c>
      <c r="X10" s="7" t="s">
        <v>360</v>
      </c>
      <c r="Y10" s="7">
        <v>4921981.2699999996</v>
      </c>
      <c r="Z10" s="7">
        <v>1478192.8</v>
      </c>
      <c r="AA10" s="7">
        <v>60</v>
      </c>
      <c r="AB10" s="7">
        <v>54</v>
      </c>
      <c r="AC10" s="7"/>
      <c r="AD10" s="7" t="s">
        <v>320</v>
      </c>
      <c r="AE10" s="7">
        <v>0.45</v>
      </c>
      <c r="AF10" s="7" t="s">
        <v>4294</v>
      </c>
      <c r="AG10" s="7">
        <v>0.15</v>
      </c>
      <c r="AH10" s="7">
        <v>0.06</v>
      </c>
      <c r="AI10" s="7">
        <v>10</v>
      </c>
      <c r="AJ10" s="7">
        <v>4253</v>
      </c>
      <c r="AK10" s="7">
        <v>1414365.08</v>
      </c>
      <c r="AL10" s="7">
        <v>1417610.86</v>
      </c>
      <c r="AM10" s="7" t="s">
        <v>343</v>
      </c>
      <c r="AN10" s="7" t="s">
        <v>356</v>
      </c>
      <c r="AO10" s="7"/>
      <c r="AP10" s="7">
        <v>48</v>
      </c>
      <c r="AQ10" s="7" t="s">
        <v>4275</v>
      </c>
      <c r="AR10" s="7" t="s">
        <v>206</v>
      </c>
      <c r="AS10" s="7" t="s">
        <v>361</v>
      </c>
    </row>
    <row r="11" spans="1:45" x14ac:dyDescent="0.3">
      <c r="A11" s="6" t="s">
        <v>362</v>
      </c>
      <c r="B11" s="6" t="s">
        <v>4295</v>
      </c>
      <c r="C11" s="6" t="s">
        <v>222</v>
      </c>
      <c r="D11" s="6" t="s">
        <v>281</v>
      </c>
      <c r="E11" s="6" t="s">
        <v>4265</v>
      </c>
      <c r="F11" s="6" t="s">
        <v>363</v>
      </c>
      <c r="G11" s="6" t="s">
        <v>70</v>
      </c>
      <c r="H11" s="6" t="s">
        <v>212</v>
      </c>
      <c r="I11" s="6" t="s">
        <v>183</v>
      </c>
      <c r="J11" s="6" t="s">
        <v>105</v>
      </c>
      <c r="K11" s="6" t="s">
        <v>333</v>
      </c>
      <c r="L11" s="6" t="s">
        <v>364</v>
      </c>
      <c r="M11" s="6" t="s">
        <v>4296</v>
      </c>
      <c r="N11" s="6"/>
      <c r="O11" s="6" t="s">
        <v>4297</v>
      </c>
      <c r="P11" s="6">
        <v>51</v>
      </c>
      <c r="Q11" s="6">
        <v>36967064</v>
      </c>
      <c r="R11" s="6">
        <v>0.16</v>
      </c>
      <c r="S11" s="6">
        <v>-0.01</v>
      </c>
      <c r="T11" s="6">
        <v>30741810.420000002</v>
      </c>
      <c r="U11" s="6">
        <v>22844052.41</v>
      </c>
      <c r="V11" s="6">
        <v>0.15</v>
      </c>
      <c r="W11" s="6">
        <v>0.11</v>
      </c>
      <c r="X11" s="6" t="s">
        <v>365</v>
      </c>
      <c r="Y11" s="6">
        <v>24048416.739999998</v>
      </c>
      <c r="Z11" s="6">
        <v>15873297.09</v>
      </c>
      <c r="AA11" s="6">
        <v>45</v>
      </c>
      <c r="AB11" s="6">
        <v>164</v>
      </c>
      <c r="AC11" s="6" t="s">
        <v>342</v>
      </c>
      <c r="AD11" s="6" t="s">
        <v>320</v>
      </c>
      <c r="AE11" s="6">
        <v>0.31</v>
      </c>
      <c r="AF11" s="6" t="s">
        <v>155</v>
      </c>
      <c r="AG11" s="6">
        <v>0.15</v>
      </c>
      <c r="AH11" s="6">
        <v>0.05</v>
      </c>
      <c r="AI11" s="6">
        <v>7</v>
      </c>
      <c r="AJ11" s="6">
        <v>2245</v>
      </c>
      <c r="AK11" s="6">
        <v>820059.58</v>
      </c>
      <c r="AL11" s="6">
        <v>11425401.470000001</v>
      </c>
      <c r="AM11" s="6" t="s">
        <v>343</v>
      </c>
      <c r="AN11" s="6"/>
      <c r="AO11" s="6">
        <v>87.4</v>
      </c>
      <c r="AP11" s="6">
        <v>24</v>
      </c>
      <c r="AQ11" s="6" t="s">
        <v>4275</v>
      </c>
      <c r="AR11" s="6" t="s">
        <v>206</v>
      </c>
      <c r="AS11" s="6"/>
    </row>
    <row r="12" spans="1:45" x14ac:dyDescent="0.3">
      <c r="A12" s="7" t="s">
        <v>362</v>
      </c>
      <c r="B12" s="7" t="s">
        <v>4298</v>
      </c>
      <c r="C12" s="7" t="s">
        <v>234</v>
      </c>
      <c r="D12" s="7" t="s">
        <v>190</v>
      </c>
      <c r="E12" s="7" t="s">
        <v>113</v>
      </c>
      <c r="F12" s="7" t="s">
        <v>367</v>
      </c>
      <c r="G12" s="7" t="s">
        <v>78</v>
      </c>
      <c r="H12" s="7" t="s">
        <v>4280</v>
      </c>
      <c r="I12" s="7" t="s">
        <v>240</v>
      </c>
      <c r="J12" s="7" t="s">
        <v>123</v>
      </c>
      <c r="K12" s="7" t="s">
        <v>221</v>
      </c>
      <c r="L12" s="7" t="s">
        <v>3293</v>
      </c>
      <c r="M12" s="7" t="s">
        <v>3294</v>
      </c>
      <c r="N12" s="7"/>
      <c r="O12" s="7" t="s">
        <v>4299</v>
      </c>
      <c r="P12" s="7">
        <v>19</v>
      </c>
      <c r="Q12" s="7">
        <v>2018787</v>
      </c>
      <c r="R12" s="7">
        <v>0.04</v>
      </c>
      <c r="S12" s="7">
        <v>0.06</v>
      </c>
      <c r="T12" s="7">
        <v>2054317.65</v>
      </c>
      <c r="U12" s="7">
        <v>1335998.25</v>
      </c>
      <c r="V12" s="7">
        <v>0.31</v>
      </c>
      <c r="W12" s="7">
        <v>7.0000000000000007E-2</v>
      </c>
      <c r="X12" s="7" t="s">
        <v>3295</v>
      </c>
      <c r="Y12" s="7">
        <v>1616385.72</v>
      </c>
      <c r="Z12" s="7">
        <v>719911.08</v>
      </c>
      <c r="AA12" s="7">
        <v>60</v>
      </c>
      <c r="AB12" s="7">
        <v>98</v>
      </c>
      <c r="AC12" s="7" t="s">
        <v>347</v>
      </c>
      <c r="AD12" s="7" t="s">
        <v>226</v>
      </c>
      <c r="AE12" s="7">
        <v>0.36</v>
      </c>
      <c r="AF12" s="7" t="s">
        <v>152</v>
      </c>
      <c r="AG12" s="7">
        <v>0.1</v>
      </c>
      <c r="AH12" s="7">
        <v>0.04</v>
      </c>
      <c r="AI12" s="7">
        <v>12</v>
      </c>
      <c r="AJ12" s="7">
        <v>3084</v>
      </c>
      <c r="AK12" s="7">
        <v>378925.84</v>
      </c>
      <c r="AL12" s="7"/>
      <c r="AM12" s="7" t="s">
        <v>355</v>
      </c>
      <c r="AN12" s="7"/>
      <c r="AO12" s="7">
        <v>65.599999999999994</v>
      </c>
      <c r="AP12" s="7">
        <v>24</v>
      </c>
      <c r="AQ12" s="7"/>
      <c r="AR12" s="7" t="s">
        <v>206</v>
      </c>
      <c r="AS12" s="7" t="s">
        <v>324</v>
      </c>
    </row>
    <row r="13" spans="1:45" x14ac:dyDescent="0.3">
      <c r="A13" s="6" t="s">
        <v>366</v>
      </c>
      <c r="B13" s="6" t="s">
        <v>3296</v>
      </c>
      <c r="C13" s="6" t="s">
        <v>273</v>
      </c>
      <c r="D13" s="6" t="s">
        <v>180</v>
      </c>
      <c r="E13" s="6" t="s">
        <v>4270</v>
      </c>
      <c r="F13" s="6" t="s">
        <v>367</v>
      </c>
      <c r="G13" s="6" t="s">
        <v>54</v>
      </c>
      <c r="H13" s="6"/>
      <c r="I13" s="6" t="s">
        <v>191</v>
      </c>
      <c r="J13" s="6" t="s">
        <v>127</v>
      </c>
      <c r="K13" s="6" t="s">
        <v>199</v>
      </c>
      <c r="L13" s="6" t="s">
        <v>368</v>
      </c>
      <c r="M13" s="6" t="s">
        <v>4300</v>
      </c>
      <c r="N13" s="6" t="s">
        <v>4301</v>
      </c>
      <c r="O13" s="6" t="s">
        <v>4302</v>
      </c>
      <c r="P13" s="6">
        <v>45</v>
      </c>
      <c r="Q13" s="6">
        <v>2956102</v>
      </c>
      <c r="R13" s="6">
        <v>0.13</v>
      </c>
      <c r="S13" s="6">
        <v>0.06</v>
      </c>
      <c r="T13" s="6">
        <v>2726117.26</v>
      </c>
      <c r="U13" s="6">
        <v>1659142.22</v>
      </c>
      <c r="V13" s="6">
        <v>0.11</v>
      </c>
      <c r="W13" s="6">
        <v>0.08</v>
      </c>
      <c r="X13" s="6" t="s">
        <v>369</v>
      </c>
      <c r="Y13" s="6">
        <v>994992.58</v>
      </c>
      <c r="Z13" s="6">
        <v>701239.56</v>
      </c>
      <c r="AA13" s="6">
        <v>60</v>
      </c>
      <c r="AB13" s="6">
        <v>4</v>
      </c>
      <c r="AC13" s="6"/>
      <c r="AD13" s="6" t="s">
        <v>336</v>
      </c>
      <c r="AE13" s="6">
        <v>0.85</v>
      </c>
      <c r="AF13" s="6" t="s">
        <v>4303</v>
      </c>
      <c r="AG13" s="6">
        <v>0.1</v>
      </c>
      <c r="AH13" s="6">
        <v>0.02</v>
      </c>
      <c r="AI13" s="6">
        <v>11</v>
      </c>
      <c r="AJ13" s="6"/>
      <c r="AK13" s="6">
        <v>108202.27</v>
      </c>
      <c r="AL13" s="6">
        <v>805379.93</v>
      </c>
      <c r="AM13" s="6" t="s">
        <v>73</v>
      </c>
      <c r="AN13" s="6"/>
      <c r="AO13" s="6">
        <v>64</v>
      </c>
      <c r="AP13" s="6">
        <v>48</v>
      </c>
      <c r="AQ13" s="6" t="s">
        <v>323</v>
      </c>
      <c r="AR13" s="6" t="s">
        <v>229</v>
      </c>
      <c r="AS13" s="6"/>
    </row>
    <row r="14" spans="1:45" x14ac:dyDescent="0.3">
      <c r="A14" s="7" t="s">
        <v>370</v>
      </c>
      <c r="B14" s="7" t="s">
        <v>3298</v>
      </c>
      <c r="C14" s="7" t="s">
        <v>282</v>
      </c>
      <c r="D14" s="7" t="s">
        <v>180</v>
      </c>
      <c r="E14" s="7" t="s">
        <v>20</v>
      </c>
      <c r="F14" s="7" t="s">
        <v>31</v>
      </c>
      <c r="G14" s="7" t="s">
        <v>70</v>
      </c>
      <c r="H14" s="7" t="s">
        <v>216</v>
      </c>
      <c r="I14" s="7" t="s">
        <v>213</v>
      </c>
      <c r="J14" s="7" t="s">
        <v>136</v>
      </c>
      <c r="K14" s="7" t="s">
        <v>199</v>
      </c>
      <c r="L14" s="7" t="s">
        <v>371</v>
      </c>
      <c r="M14" s="7" t="s">
        <v>4304</v>
      </c>
      <c r="N14" s="7"/>
      <c r="O14" s="7" t="s">
        <v>4274</v>
      </c>
      <c r="P14" s="7">
        <v>20</v>
      </c>
      <c r="Q14" s="7">
        <v>16527933</v>
      </c>
      <c r="R14" s="7">
        <v>0.11</v>
      </c>
      <c r="S14" s="7">
        <v>0.1</v>
      </c>
      <c r="T14" s="7">
        <v>16180846.41</v>
      </c>
      <c r="U14" s="7"/>
      <c r="V14" s="7">
        <v>0.15</v>
      </c>
      <c r="W14" s="7">
        <v>0.19</v>
      </c>
      <c r="X14" s="7" t="s">
        <v>372</v>
      </c>
      <c r="Y14" s="7">
        <v>7318134.3099999996</v>
      </c>
      <c r="Z14" s="7">
        <v>5303726.6900000004</v>
      </c>
      <c r="AA14" s="7">
        <v>90</v>
      </c>
      <c r="AB14" s="7">
        <v>141</v>
      </c>
      <c r="AC14" s="7" t="s">
        <v>342</v>
      </c>
      <c r="AD14" s="7" t="s">
        <v>336</v>
      </c>
      <c r="AE14" s="7">
        <v>0.36</v>
      </c>
      <c r="AF14" s="7" t="s">
        <v>152</v>
      </c>
      <c r="AG14" s="7">
        <v>0.15</v>
      </c>
      <c r="AH14" s="7">
        <v>0.05</v>
      </c>
      <c r="AI14" s="7">
        <v>9</v>
      </c>
      <c r="AJ14" s="7">
        <v>3618</v>
      </c>
      <c r="AK14" s="7">
        <v>3916807.81</v>
      </c>
      <c r="AL14" s="7">
        <v>7195447.4199999999</v>
      </c>
      <c r="AM14" s="7" t="s">
        <v>355</v>
      </c>
      <c r="AN14" s="7" t="s">
        <v>356</v>
      </c>
      <c r="AO14" s="7">
        <v>74.5</v>
      </c>
      <c r="AP14" s="7">
        <v>12</v>
      </c>
      <c r="AQ14" s="7"/>
      <c r="AR14" s="7" t="s">
        <v>224</v>
      </c>
      <c r="AS14" s="7" t="s">
        <v>188</v>
      </c>
    </row>
    <row r="15" spans="1:45" x14ac:dyDescent="0.3">
      <c r="A15" s="6" t="s">
        <v>373</v>
      </c>
      <c r="B15" s="6" t="s">
        <v>4305</v>
      </c>
      <c r="C15" s="6" t="s">
        <v>284</v>
      </c>
      <c r="D15" s="6" t="s">
        <v>255</v>
      </c>
      <c r="E15" s="6" t="s">
        <v>4306</v>
      </c>
      <c r="F15" s="6" t="s">
        <v>75</v>
      </c>
      <c r="G15" s="6" t="s">
        <v>38</v>
      </c>
      <c r="H15" s="6" t="s">
        <v>212</v>
      </c>
      <c r="I15" s="6" t="s">
        <v>4307</v>
      </c>
      <c r="J15" s="6" t="s">
        <v>119</v>
      </c>
      <c r="K15" s="6" t="s">
        <v>210</v>
      </c>
      <c r="L15" s="6" t="s">
        <v>374</v>
      </c>
      <c r="M15" s="6" t="s">
        <v>4308</v>
      </c>
      <c r="N15" s="6" t="s">
        <v>3300</v>
      </c>
      <c r="O15" s="6" t="s">
        <v>4309</v>
      </c>
      <c r="P15" s="6">
        <v>47</v>
      </c>
      <c r="Q15" s="6">
        <v>37971525</v>
      </c>
      <c r="R15" s="6">
        <v>0.33</v>
      </c>
      <c r="S15" s="6">
        <v>-0.03</v>
      </c>
      <c r="T15" s="6">
        <v>24677694.100000001</v>
      </c>
      <c r="U15" s="6">
        <v>15333582.16</v>
      </c>
      <c r="V15" s="6">
        <v>0.14000000000000001</v>
      </c>
      <c r="W15" s="6">
        <v>0.17</v>
      </c>
      <c r="X15" s="6" t="s">
        <v>375</v>
      </c>
      <c r="Y15" s="6">
        <v>6439948.1100000003</v>
      </c>
      <c r="Z15" s="6">
        <v>4807153.54</v>
      </c>
      <c r="AA15" s="6">
        <v>90</v>
      </c>
      <c r="AB15" s="6">
        <v>156</v>
      </c>
      <c r="AC15" s="6" t="s">
        <v>376</v>
      </c>
      <c r="AD15" s="6" t="s">
        <v>354</v>
      </c>
      <c r="AE15" s="6">
        <v>0.61</v>
      </c>
      <c r="AF15" s="6" t="s">
        <v>4303</v>
      </c>
      <c r="AG15" s="6">
        <v>0.15</v>
      </c>
      <c r="AH15" s="6">
        <v>0.03</v>
      </c>
      <c r="AI15" s="6">
        <v>12</v>
      </c>
      <c r="AJ15" s="6">
        <v>1230</v>
      </c>
      <c r="AK15" s="6">
        <v>5185404.59</v>
      </c>
      <c r="AL15" s="6"/>
      <c r="AM15" s="6" t="s">
        <v>73</v>
      </c>
      <c r="AN15" s="6" t="s">
        <v>348</v>
      </c>
      <c r="AO15" s="6">
        <v>96.7</v>
      </c>
      <c r="AP15" s="6">
        <v>36</v>
      </c>
      <c r="AQ15" s="6" t="s">
        <v>337</v>
      </c>
      <c r="AR15" s="6" t="s">
        <v>186</v>
      </c>
      <c r="AS15" s="6" t="s">
        <v>377</v>
      </c>
    </row>
    <row r="16" spans="1:45" x14ac:dyDescent="0.3">
      <c r="A16" s="7" t="s">
        <v>378</v>
      </c>
      <c r="B16" s="7" t="s">
        <v>4310</v>
      </c>
      <c r="C16" s="7" t="s">
        <v>270</v>
      </c>
      <c r="D16" s="7" t="s">
        <v>180</v>
      </c>
      <c r="E16" s="7" t="s">
        <v>20</v>
      </c>
      <c r="F16" s="7" t="s">
        <v>35</v>
      </c>
      <c r="G16" s="7" t="s">
        <v>78</v>
      </c>
      <c r="H16" s="7" t="s">
        <v>212</v>
      </c>
      <c r="I16" s="7" t="s">
        <v>4307</v>
      </c>
      <c r="J16" s="7" t="s">
        <v>136</v>
      </c>
      <c r="K16" s="7" t="s">
        <v>204</v>
      </c>
      <c r="L16" s="7" t="s">
        <v>379</v>
      </c>
      <c r="M16" s="7" t="s">
        <v>3301</v>
      </c>
      <c r="N16" s="7" t="s">
        <v>3287</v>
      </c>
      <c r="O16" s="7" t="s">
        <v>4311</v>
      </c>
      <c r="P16" s="7">
        <v>9</v>
      </c>
      <c r="Q16" s="7">
        <v>27211889</v>
      </c>
      <c r="R16" s="7">
        <v>0.33</v>
      </c>
      <c r="S16" s="7">
        <v>0.08</v>
      </c>
      <c r="T16" s="7">
        <v>19690522.879999999</v>
      </c>
      <c r="U16" s="7">
        <v>13762515.699999999</v>
      </c>
      <c r="V16" s="7">
        <v>0.15</v>
      </c>
      <c r="W16" s="7">
        <v>0.19</v>
      </c>
      <c r="X16" s="7" t="s">
        <v>380</v>
      </c>
      <c r="Y16" s="7">
        <v>9249149.3000000007</v>
      </c>
      <c r="Z16" s="7">
        <v>3369959.75</v>
      </c>
      <c r="AA16" s="7">
        <v>30</v>
      </c>
      <c r="AB16" s="7">
        <v>111</v>
      </c>
      <c r="AC16" s="7" t="s">
        <v>342</v>
      </c>
      <c r="AD16" s="7" t="s">
        <v>381</v>
      </c>
      <c r="AE16" s="7">
        <v>0.74</v>
      </c>
      <c r="AF16" s="7" t="s">
        <v>4312</v>
      </c>
      <c r="AG16" s="7">
        <v>0.15</v>
      </c>
      <c r="AH16" s="7">
        <v>0.03</v>
      </c>
      <c r="AI16" s="7">
        <v>2</v>
      </c>
      <c r="AJ16" s="7">
        <v>3321</v>
      </c>
      <c r="AK16" s="7">
        <v>4129757.49</v>
      </c>
      <c r="AL16" s="7"/>
      <c r="AM16" s="7" t="s">
        <v>355</v>
      </c>
      <c r="AN16" s="7"/>
      <c r="AO16" s="7">
        <v>51.8</v>
      </c>
      <c r="AP16" s="7">
        <v>48</v>
      </c>
      <c r="AQ16" s="7" t="s">
        <v>337</v>
      </c>
      <c r="AR16" s="7" t="s">
        <v>229</v>
      </c>
      <c r="AS16" s="7" t="s">
        <v>324</v>
      </c>
    </row>
    <row r="17" spans="1:45" x14ac:dyDescent="0.3">
      <c r="A17" s="6" t="s">
        <v>382</v>
      </c>
      <c r="B17" s="6" t="s">
        <v>3287</v>
      </c>
      <c r="C17" s="6" t="s">
        <v>260</v>
      </c>
      <c r="D17" s="6" t="s">
        <v>255</v>
      </c>
      <c r="E17" s="6" t="s">
        <v>20</v>
      </c>
      <c r="F17" s="6" t="s">
        <v>31</v>
      </c>
      <c r="G17" s="6" t="s">
        <v>57</v>
      </c>
      <c r="H17" s="6" t="s">
        <v>182</v>
      </c>
      <c r="I17" s="6" t="s">
        <v>4291</v>
      </c>
      <c r="J17" s="6" t="s">
        <v>136</v>
      </c>
      <c r="K17" s="6" t="s">
        <v>199</v>
      </c>
      <c r="L17" s="6" t="s">
        <v>383</v>
      </c>
      <c r="M17" s="6" t="s">
        <v>1819</v>
      </c>
      <c r="N17" s="6" t="s">
        <v>3303</v>
      </c>
      <c r="O17" s="6" t="s">
        <v>4313</v>
      </c>
      <c r="P17" s="6">
        <v>35</v>
      </c>
      <c r="Q17" s="6">
        <v>3663607</v>
      </c>
      <c r="R17" s="6">
        <v>0.08</v>
      </c>
      <c r="S17" s="6">
        <v>0.09</v>
      </c>
      <c r="T17" s="6">
        <v>3673865.1</v>
      </c>
      <c r="U17" s="6">
        <v>2354773.0299999998</v>
      </c>
      <c r="V17" s="6">
        <v>0.32</v>
      </c>
      <c r="W17" s="6">
        <v>0.18</v>
      </c>
      <c r="X17" s="6" t="s">
        <v>384</v>
      </c>
      <c r="Y17" s="6">
        <v>3080616.15</v>
      </c>
      <c r="Z17" s="6">
        <v>2003918.86</v>
      </c>
      <c r="AA17" s="6">
        <v>90</v>
      </c>
      <c r="AB17" s="6">
        <v>32</v>
      </c>
      <c r="AC17" s="6" t="s">
        <v>376</v>
      </c>
      <c r="AD17" s="6" t="s">
        <v>381</v>
      </c>
      <c r="AE17" s="6">
        <v>0.08</v>
      </c>
      <c r="AF17" s="6" t="s">
        <v>4303</v>
      </c>
      <c r="AG17" s="6">
        <v>0.15</v>
      </c>
      <c r="AH17" s="6">
        <v>0.06</v>
      </c>
      <c r="AI17" s="6">
        <v>7</v>
      </c>
      <c r="AJ17" s="6">
        <v>4818</v>
      </c>
      <c r="AK17" s="6">
        <v>631119.96</v>
      </c>
      <c r="AL17" s="6">
        <v>1023608.46</v>
      </c>
      <c r="AM17" s="6" t="s">
        <v>385</v>
      </c>
      <c r="AN17" s="6" t="s">
        <v>386</v>
      </c>
      <c r="AO17" s="6">
        <v>75.400000000000006</v>
      </c>
      <c r="AP17" s="6">
        <v>36</v>
      </c>
      <c r="AQ17" s="6" t="s">
        <v>387</v>
      </c>
      <c r="AR17" s="6" t="s">
        <v>224</v>
      </c>
      <c r="AS17" s="6" t="s">
        <v>361</v>
      </c>
    </row>
    <row r="18" spans="1:45" x14ac:dyDescent="0.3">
      <c r="A18" s="7" t="s">
        <v>388</v>
      </c>
      <c r="B18" s="7" t="s">
        <v>4314</v>
      </c>
      <c r="C18" s="7" t="s">
        <v>282</v>
      </c>
      <c r="D18" s="7" t="s">
        <v>265</v>
      </c>
      <c r="E18" s="7" t="s">
        <v>4265</v>
      </c>
      <c r="F18" s="7" t="s">
        <v>228</v>
      </c>
      <c r="G18" s="7" t="s">
        <v>62</v>
      </c>
      <c r="H18" s="7" t="s">
        <v>197</v>
      </c>
      <c r="I18" s="7"/>
      <c r="J18" s="6" t="s">
        <v>130</v>
      </c>
      <c r="K18" s="7" t="s">
        <v>199</v>
      </c>
      <c r="L18" s="7" t="s">
        <v>389</v>
      </c>
      <c r="M18" s="7" t="s">
        <v>3305</v>
      </c>
      <c r="N18" s="7" t="s">
        <v>4315</v>
      </c>
      <c r="O18" s="7" t="s">
        <v>3306</v>
      </c>
      <c r="P18" s="7">
        <v>43</v>
      </c>
      <c r="Q18" s="7">
        <v>25900738</v>
      </c>
      <c r="R18" s="7">
        <v>0.09</v>
      </c>
      <c r="S18" s="7">
        <v>0.14000000000000001</v>
      </c>
      <c r="T18" s="7">
        <v>26869425.600000001</v>
      </c>
      <c r="U18" s="7">
        <v>22243062.48</v>
      </c>
      <c r="V18" s="7">
        <v>0.06</v>
      </c>
      <c r="W18" s="7">
        <v>0.06</v>
      </c>
      <c r="X18" s="7" t="s">
        <v>390</v>
      </c>
      <c r="Y18" s="7">
        <v>2340332.46</v>
      </c>
      <c r="Z18" s="7">
        <v>2096385.85</v>
      </c>
      <c r="AA18" s="7">
        <v>90</v>
      </c>
      <c r="AB18" s="7">
        <v>99</v>
      </c>
      <c r="AC18" s="7" t="s">
        <v>353</v>
      </c>
      <c r="AD18" s="7" t="s">
        <v>320</v>
      </c>
      <c r="AE18" s="7">
        <v>0.98</v>
      </c>
      <c r="AF18" s="7" t="s">
        <v>152</v>
      </c>
      <c r="AG18" s="7">
        <v>0.15</v>
      </c>
      <c r="AH18" s="7">
        <v>0.1</v>
      </c>
      <c r="AI18" s="7">
        <v>15</v>
      </c>
      <c r="AJ18" s="7">
        <v>833</v>
      </c>
      <c r="AK18" s="7">
        <v>4826293.41</v>
      </c>
      <c r="AL18" s="7">
        <v>3181242.92</v>
      </c>
      <c r="AM18" s="7" t="s">
        <v>391</v>
      </c>
      <c r="AN18" s="7" t="s">
        <v>356</v>
      </c>
      <c r="AO18" s="7">
        <v>64.400000000000006</v>
      </c>
      <c r="AP18" s="7">
        <v>36</v>
      </c>
      <c r="AQ18" s="7" t="s">
        <v>392</v>
      </c>
      <c r="AR18" s="7" t="s">
        <v>224</v>
      </c>
      <c r="AS18" s="7" t="s">
        <v>324</v>
      </c>
    </row>
    <row r="19" spans="1:45" x14ac:dyDescent="0.3">
      <c r="A19" s="6" t="s">
        <v>393</v>
      </c>
      <c r="B19" s="6" t="s">
        <v>3307</v>
      </c>
      <c r="C19" s="6" t="s">
        <v>243</v>
      </c>
      <c r="D19" s="6" t="s">
        <v>394</v>
      </c>
      <c r="E19" s="6" t="s">
        <v>20</v>
      </c>
      <c r="F19" s="6" t="s">
        <v>31</v>
      </c>
      <c r="G19" s="6"/>
      <c r="H19" s="6" t="s">
        <v>4275</v>
      </c>
      <c r="I19" s="6" t="s">
        <v>246</v>
      </c>
      <c r="J19" s="6" t="s">
        <v>136</v>
      </c>
      <c r="K19" s="6" t="s">
        <v>326</v>
      </c>
      <c r="L19" s="6" t="s">
        <v>395</v>
      </c>
      <c r="M19" s="6" t="s">
        <v>3308</v>
      </c>
      <c r="N19" s="6"/>
      <c r="O19" s="6" t="s">
        <v>4316</v>
      </c>
      <c r="P19" s="6">
        <v>21</v>
      </c>
      <c r="Q19" s="6">
        <v>11948705</v>
      </c>
      <c r="R19" s="6">
        <v>0.04</v>
      </c>
      <c r="S19" s="6">
        <v>0.17</v>
      </c>
      <c r="T19" s="6">
        <v>13420785.460000001</v>
      </c>
      <c r="U19" s="6"/>
      <c r="V19" s="6">
        <v>0.19</v>
      </c>
      <c r="W19" s="6">
        <v>0.05</v>
      </c>
      <c r="X19" s="6" t="s">
        <v>396</v>
      </c>
      <c r="Y19" s="6">
        <v>7740489.1900000004</v>
      </c>
      <c r="Z19" s="6">
        <v>3813459.08</v>
      </c>
      <c r="AA19" s="6">
        <v>120</v>
      </c>
      <c r="AB19" s="6">
        <v>37</v>
      </c>
      <c r="AC19" s="6"/>
      <c r="AD19" s="6" t="s">
        <v>381</v>
      </c>
      <c r="AE19" s="6">
        <v>0.27</v>
      </c>
      <c r="AF19" s="6" t="s">
        <v>155</v>
      </c>
      <c r="AG19" s="6">
        <v>0.15</v>
      </c>
      <c r="AH19" s="6">
        <v>0.03</v>
      </c>
      <c r="AI19" s="6">
        <v>8</v>
      </c>
      <c r="AJ19" s="6">
        <v>2354</v>
      </c>
      <c r="AK19" s="6">
        <v>978740.71</v>
      </c>
      <c r="AL19" s="6">
        <v>2517763.7200000002</v>
      </c>
      <c r="AM19" s="6" t="s">
        <v>385</v>
      </c>
      <c r="AN19" s="6"/>
      <c r="AO19" s="6">
        <v>87.2</v>
      </c>
      <c r="AP19" s="6">
        <v>36</v>
      </c>
      <c r="AQ19" s="6"/>
      <c r="AR19" s="6" t="s">
        <v>192</v>
      </c>
      <c r="AS19" s="6"/>
    </row>
    <row r="20" spans="1:45" x14ac:dyDescent="0.3">
      <c r="A20" s="7" t="s">
        <v>397</v>
      </c>
      <c r="B20" s="7" t="s">
        <v>4317</v>
      </c>
      <c r="C20" s="7" t="s">
        <v>241</v>
      </c>
      <c r="D20" s="7" t="s">
        <v>202</v>
      </c>
      <c r="E20" s="7" t="s">
        <v>41</v>
      </c>
      <c r="F20" s="7" t="s">
        <v>363</v>
      </c>
      <c r="G20" s="7" t="s">
        <v>57</v>
      </c>
      <c r="H20" s="7" t="s">
        <v>197</v>
      </c>
      <c r="I20" s="7" t="s">
        <v>4291</v>
      </c>
      <c r="J20" s="6" t="s">
        <v>130</v>
      </c>
      <c r="K20" s="7" t="s">
        <v>221</v>
      </c>
      <c r="L20" s="7" t="s">
        <v>398</v>
      </c>
      <c r="M20" s="7" t="s">
        <v>4318</v>
      </c>
      <c r="N20" s="7"/>
      <c r="O20" s="7" t="s">
        <v>3310</v>
      </c>
      <c r="P20" s="7">
        <v>46</v>
      </c>
      <c r="Q20" s="7">
        <v>43575184</v>
      </c>
      <c r="R20" s="7">
        <v>0.02</v>
      </c>
      <c r="S20" s="7">
        <v>0.15</v>
      </c>
      <c r="T20" s="7">
        <v>49109232.369999997</v>
      </c>
      <c r="U20" s="7">
        <v>33327903.079999998</v>
      </c>
      <c r="V20" s="7">
        <v>0.27</v>
      </c>
      <c r="W20" s="7">
        <v>0.11</v>
      </c>
      <c r="X20" s="7" t="s">
        <v>399</v>
      </c>
      <c r="Y20" s="7">
        <v>3848192.16</v>
      </c>
      <c r="Z20" s="7">
        <v>2277702.56</v>
      </c>
      <c r="AA20" s="7">
        <v>45</v>
      </c>
      <c r="AB20" s="7">
        <v>24</v>
      </c>
      <c r="AC20" s="7" t="s">
        <v>347</v>
      </c>
      <c r="AD20" s="7" t="s">
        <v>320</v>
      </c>
      <c r="AE20" s="7">
        <v>0.91</v>
      </c>
      <c r="AF20" s="7" t="s">
        <v>4319</v>
      </c>
      <c r="AG20" s="7">
        <v>0.1</v>
      </c>
      <c r="AH20" s="7">
        <v>0.08</v>
      </c>
      <c r="AI20" s="7">
        <v>5</v>
      </c>
      <c r="AJ20" s="7">
        <v>527</v>
      </c>
      <c r="AK20" s="7">
        <v>6226143.7800000003</v>
      </c>
      <c r="AL20" s="7">
        <v>17664383.57</v>
      </c>
      <c r="AM20" s="7" t="s">
        <v>73</v>
      </c>
      <c r="AN20" s="7" t="s">
        <v>356</v>
      </c>
      <c r="AO20" s="7">
        <v>51.3</v>
      </c>
      <c r="AP20" s="7">
        <v>12</v>
      </c>
      <c r="AQ20" s="7" t="s">
        <v>323</v>
      </c>
      <c r="AR20" s="7" t="s">
        <v>224</v>
      </c>
      <c r="AS20" s="7"/>
    </row>
    <row r="21" spans="1:45" x14ac:dyDescent="0.3">
      <c r="A21" s="6" t="s">
        <v>400</v>
      </c>
      <c r="B21" s="6" t="s">
        <v>4320</v>
      </c>
      <c r="C21" s="6" t="s">
        <v>214</v>
      </c>
      <c r="D21" s="6" t="s">
        <v>190</v>
      </c>
      <c r="E21" s="6" t="s">
        <v>4265</v>
      </c>
      <c r="F21" s="6" t="s">
        <v>363</v>
      </c>
      <c r="G21" s="6" t="s">
        <v>38</v>
      </c>
      <c r="H21" s="6" t="s">
        <v>182</v>
      </c>
      <c r="I21" s="6" t="s">
        <v>4272</v>
      </c>
      <c r="J21" s="6" t="s">
        <v>130</v>
      </c>
      <c r="K21" s="6" t="s">
        <v>199</v>
      </c>
      <c r="L21" s="6" t="s">
        <v>401</v>
      </c>
      <c r="M21" s="6" t="s">
        <v>3311</v>
      </c>
      <c r="N21" s="6" t="s">
        <v>3312</v>
      </c>
      <c r="O21" s="6" t="s">
        <v>4274</v>
      </c>
      <c r="P21" s="6">
        <v>43</v>
      </c>
      <c r="Q21" s="6">
        <v>30643517</v>
      </c>
      <c r="R21" s="6">
        <v>0.14000000000000001</v>
      </c>
      <c r="S21" s="6">
        <v>0.19</v>
      </c>
      <c r="T21" s="6">
        <v>31360575.300000001</v>
      </c>
      <c r="U21" s="6">
        <v>19017279.800000001</v>
      </c>
      <c r="V21" s="6">
        <v>0.14000000000000001</v>
      </c>
      <c r="W21" s="6">
        <v>7.0000000000000007E-2</v>
      </c>
      <c r="X21" s="6" t="s">
        <v>402</v>
      </c>
      <c r="Y21" s="6">
        <v>20133846.629999999</v>
      </c>
      <c r="Z21" s="6">
        <v>14741076.27</v>
      </c>
      <c r="AA21" s="6">
        <v>120</v>
      </c>
      <c r="AB21" s="6">
        <v>40</v>
      </c>
      <c r="AC21" s="6" t="s">
        <v>329</v>
      </c>
      <c r="AD21" s="6" t="s">
        <v>336</v>
      </c>
      <c r="AE21" s="6">
        <v>0.88</v>
      </c>
      <c r="AF21" s="6" t="s">
        <v>4276</v>
      </c>
      <c r="AG21" s="6">
        <v>0.15</v>
      </c>
      <c r="AH21" s="6">
        <v>0.02</v>
      </c>
      <c r="AI21" s="6">
        <v>15</v>
      </c>
      <c r="AJ21" s="6">
        <v>1918</v>
      </c>
      <c r="AK21" s="6">
        <v>1691509.82</v>
      </c>
      <c r="AL21" s="6">
        <v>3171627.34</v>
      </c>
      <c r="AM21" s="6" t="s">
        <v>73</v>
      </c>
      <c r="AN21" s="6" t="s">
        <v>348</v>
      </c>
      <c r="AO21" s="6">
        <v>91.5</v>
      </c>
      <c r="AP21" s="6">
        <v>24</v>
      </c>
      <c r="AQ21" s="6" t="s">
        <v>323</v>
      </c>
      <c r="AR21" s="6" t="s">
        <v>192</v>
      </c>
      <c r="AS21" s="6" t="s">
        <v>188</v>
      </c>
    </row>
    <row r="22" spans="1:45" x14ac:dyDescent="0.3">
      <c r="A22" s="7" t="s">
        <v>403</v>
      </c>
      <c r="B22" s="7" t="s">
        <v>4321</v>
      </c>
      <c r="C22" s="7" t="s">
        <v>243</v>
      </c>
      <c r="D22" s="7" t="s">
        <v>253</v>
      </c>
      <c r="E22" s="7" t="s">
        <v>113</v>
      </c>
      <c r="F22" s="7" t="s">
        <v>367</v>
      </c>
      <c r="G22" s="7" t="s">
        <v>54</v>
      </c>
      <c r="H22" s="7" t="s">
        <v>4266</v>
      </c>
      <c r="I22" s="7" t="s">
        <v>183</v>
      </c>
      <c r="J22" s="7" t="s">
        <v>127</v>
      </c>
      <c r="K22" s="7" t="s">
        <v>210</v>
      </c>
      <c r="L22" s="7" t="s">
        <v>404</v>
      </c>
      <c r="M22" s="7" t="s">
        <v>3119</v>
      </c>
      <c r="N22" s="7"/>
      <c r="O22" s="7" t="s">
        <v>4274</v>
      </c>
      <c r="P22" s="7">
        <v>7</v>
      </c>
      <c r="Q22" s="7">
        <v>16167319</v>
      </c>
      <c r="R22" s="7">
        <v>0.21</v>
      </c>
      <c r="S22" s="7">
        <v>-0.05</v>
      </c>
      <c r="T22" s="7">
        <v>12133572.91</v>
      </c>
      <c r="U22" s="7">
        <v>9552704.3000000007</v>
      </c>
      <c r="V22" s="7">
        <v>0.3</v>
      </c>
      <c r="W22" s="7">
        <v>0.11</v>
      </c>
      <c r="X22" s="7" t="s">
        <v>405</v>
      </c>
      <c r="Y22" s="7">
        <v>3343556.25</v>
      </c>
      <c r="Z22" s="7">
        <v>1342126.33</v>
      </c>
      <c r="AA22" s="7">
        <v>90</v>
      </c>
      <c r="AB22" s="7">
        <v>135</v>
      </c>
      <c r="AC22" s="7" t="s">
        <v>329</v>
      </c>
      <c r="AD22" s="7" t="s">
        <v>406</v>
      </c>
      <c r="AE22" s="7">
        <v>0.16</v>
      </c>
      <c r="AF22" s="7" t="s">
        <v>4312</v>
      </c>
      <c r="AG22" s="7">
        <v>0.05</v>
      </c>
      <c r="AH22" s="7">
        <v>0.05</v>
      </c>
      <c r="AI22" s="7">
        <v>11</v>
      </c>
      <c r="AJ22" s="7">
        <v>947</v>
      </c>
      <c r="AK22" s="7">
        <v>2059198.76</v>
      </c>
      <c r="AL22" s="7">
        <v>4711902.7699999996</v>
      </c>
      <c r="AM22" s="7" t="s">
        <v>321</v>
      </c>
      <c r="AN22" s="7" t="s">
        <v>348</v>
      </c>
      <c r="AO22" s="7">
        <v>72.7</v>
      </c>
      <c r="AP22" s="7">
        <v>48</v>
      </c>
      <c r="AQ22" s="7" t="s">
        <v>387</v>
      </c>
      <c r="AR22" s="7" t="s">
        <v>229</v>
      </c>
      <c r="AS22" s="7" t="s">
        <v>377</v>
      </c>
    </row>
    <row r="23" spans="1:45" x14ac:dyDescent="0.3">
      <c r="A23" s="6" t="s">
        <v>407</v>
      </c>
      <c r="B23" s="6" t="s">
        <v>4322</v>
      </c>
      <c r="C23" s="6" t="s">
        <v>282</v>
      </c>
      <c r="D23" s="6" t="s">
        <v>248</v>
      </c>
      <c r="E23" s="6"/>
      <c r="F23" s="6" t="s">
        <v>350</v>
      </c>
      <c r="G23" s="6" t="s">
        <v>16</v>
      </c>
      <c r="H23" s="6" t="s">
        <v>4271</v>
      </c>
      <c r="I23" s="6" t="s">
        <v>4291</v>
      </c>
      <c r="J23" s="6" t="s">
        <v>105</v>
      </c>
      <c r="K23" s="6" t="s">
        <v>204</v>
      </c>
      <c r="L23" s="6" t="s">
        <v>408</v>
      </c>
      <c r="M23" s="6" t="s">
        <v>4323</v>
      </c>
      <c r="N23" s="6" t="s">
        <v>4324</v>
      </c>
      <c r="O23" s="6" t="s">
        <v>4274</v>
      </c>
      <c r="P23" s="6">
        <v>17</v>
      </c>
      <c r="Q23" s="6">
        <v>44834633</v>
      </c>
      <c r="R23" s="6">
        <v>0.1</v>
      </c>
      <c r="S23" s="6">
        <v>0.19</v>
      </c>
      <c r="T23" s="6">
        <v>48017891.939999998</v>
      </c>
      <c r="U23" s="6">
        <v>40985505.93</v>
      </c>
      <c r="V23" s="6">
        <v>0.34</v>
      </c>
      <c r="W23" s="6">
        <v>0.14000000000000001</v>
      </c>
      <c r="X23" s="6" t="s">
        <v>409</v>
      </c>
      <c r="Y23" s="6">
        <v>30433638.120000001</v>
      </c>
      <c r="Z23" s="6">
        <v>20677049.199999999</v>
      </c>
      <c r="AA23" s="6">
        <v>30</v>
      </c>
      <c r="AB23" s="6">
        <v>22</v>
      </c>
      <c r="AC23" s="6" t="s">
        <v>329</v>
      </c>
      <c r="AD23" s="6" t="s">
        <v>336</v>
      </c>
      <c r="AE23" s="6">
        <v>0.14000000000000001</v>
      </c>
      <c r="AF23" s="6" t="s">
        <v>4319</v>
      </c>
      <c r="AG23" s="6">
        <v>0.05</v>
      </c>
      <c r="AH23" s="6">
        <v>0.08</v>
      </c>
      <c r="AI23" s="6">
        <v>11</v>
      </c>
      <c r="AJ23" s="6">
        <v>2541</v>
      </c>
      <c r="AK23" s="6">
        <v>4837100.92</v>
      </c>
      <c r="AL23" s="6">
        <v>7553243.0300000003</v>
      </c>
      <c r="AM23" s="6" t="s">
        <v>321</v>
      </c>
      <c r="AN23" s="6" t="s">
        <v>356</v>
      </c>
      <c r="AO23" s="6">
        <v>80.400000000000006</v>
      </c>
      <c r="AP23" s="6">
        <v>12</v>
      </c>
      <c r="AQ23" s="6" t="s">
        <v>323</v>
      </c>
      <c r="AR23" s="6" t="s">
        <v>229</v>
      </c>
      <c r="AS23" s="6" t="s">
        <v>188</v>
      </c>
    </row>
    <row r="24" spans="1:45" x14ac:dyDescent="0.3">
      <c r="A24" s="7" t="s">
        <v>410</v>
      </c>
      <c r="B24" s="7" t="s">
        <v>4109</v>
      </c>
      <c r="C24" s="7" t="s">
        <v>217</v>
      </c>
      <c r="D24" s="7" t="s">
        <v>253</v>
      </c>
      <c r="E24" s="7" t="s">
        <v>4325</v>
      </c>
      <c r="F24" s="7"/>
      <c r="G24" s="7" t="s">
        <v>54</v>
      </c>
      <c r="H24" s="7" t="s">
        <v>4326</v>
      </c>
      <c r="I24" s="7" t="s">
        <v>233</v>
      </c>
      <c r="J24" s="7" t="s">
        <v>115</v>
      </c>
      <c r="K24" s="7" t="s">
        <v>199</v>
      </c>
      <c r="L24" s="7" t="s">
        <v>411</v>
      </c>
      <c r="M24" s="7" t="s">
        <v>4327</v>
      </c>
      <c r="N24" s="7" t="s">
        <v>4328</v>
      </c>
      <c r="O24" s="7" t="s">
        <v>4274</v>
      </c>
      <c r="P24" s="7">
        <v>16</v>
      </c>
      <c r="Q24" s="7">
        <v>30643653</v>
      </c>
      <c r="R24" s="7">
        <v>0.13</v>
      </c>
      <c r="S24" s="7">
        <v>0.04</v>
      </c>
      <c r="T24" s="7">
        <v>27726377.23</v>
      </c>
      <c r="U24" s="7">
        <v>22992050.32</v>
      </c>
      <c r="V24" s="7">
        <v>0.09</v>
      </c>
      <c r="W24" s="7">
        <v>0.12</v>
      </c>
      <c r="X24" s="7" t="s">
        <v>412</v>
      </c>
      <c r="Y24" s="7">
        <v>18392474.57</v>
      </c>
      <c r="Z24" s="7">
        <v>16948085.879999999</v>
      </c>
      <c r="AA24" s="7">
        <v>120</v>
      </c>
      <c r="AB24" s="7">
        <v>153</v>
      </c>
      <c r="AC24" s="7" t="s">
        <v>347</v>
      </c>
      <c r="AD24" s="7" t="s">
        <v>381</v>
      </c>
      <c r="AE24" s="7">
        <v>0.13</v>
      </c>
      <c r="AF24" s="7" t="s">
        <v>4294</v>
      </c>
      <c r="AG24" s="7">
        <v>0.05</v>
      </c>
      <c r="AH24" s="7">
        <v>0.02</v>
      </c>
      <c r="AI24" s="7">
        <v>1</v>
      </c>
      <c r="AJ24" s="7">
        <v>2911</v>
      </c>
      <c r="AK24" s="7"/>
      <c r="AL24" s="7">
        <v>3241793.11</v>
      </c>
      <c r="AM24" s="7" t="s">
        <v>73</v>
      </c>
      <c r="AN24" s="7" t="s">
        <v>330</v>
      </c>
      <c r="AO24" s="7">
        <v>69</v>
      </c>
      <c r="AP24" s="7" t="s">
        <v>4275</v>
      </c>
      <c r="AQ24" s="7" t="s">
        <v>387</v>
      </c>
      <c r="AR24" s="7" t="s">
        <v>229</v>
      </c>
      <c r="AS24" s="7" t="s">
        <v>324</v>
      </c>
    </row>
    <row r="25" spans="1:45" x14ac:dyDescent="0.3">
      <c r="A25" s="6" t="s">
        <v>413</v>
      </c>
      <c r="B25" s="6" t="s">
        <v>4329</v>
      </c>
      <c r="C25" s="6" t="s">
        <v>208</v>
      </c>
      <c r="D25" s="6" t="s">
        <v>209</v>
      </c>
      <c r="E25" s="6" t="s">
        <v>113</v>
      </c>
      <c r="F25" s="6" t="s">
        <v>367</v>
      </c>
      <c r="G25" s="6" t="s">
        <v>50</v>
      </c>
      <c r="H25" s="6" t="s">
        <v>4266</v>
      </c>
      <c r="I25" s="6" t="s">
        <v>203</v>
      </c>
      <c r="J25" s="6" t="s">
        <v>111</v>
      </c>
      <c r="K25" s="6" t="s">
        <v>204</v>
      </c>
      <c r="L25" s="6" t="s">
        <v>414</v>
      </c>
      <c r="M25" s="6" t="s">
        <v>3318</v>
      </c>
      <c r="N25" s="6"/>
      <c r="O25" s="6" t="s">
        <v>4274</v>
      </c>
      <c r="P25" s="6">
        <v>51</v>
      </c>
      <c r="Q25" s="6">
        <v>7929154</v>
      </c>
      <c r="R25" s="6">
        <v>0.15</v>
      </c>
      <c r="S25" s="6">
        <v>0.19</v>
      </c>
      <c r="T25" s="6">
        <v>8020339.2699999996</v>
      </c>
      <c r="U25" s="6">
        <v>4993511.21</v>
      </c>
      <c r="V25" s="6">
        <v>0.27</v>
      </c>
      <c r="W25" s="6">
        <v>0.12</v>
      </c>
      <c r="X25" s="6" t="s">
        <v>415</v>
      </c>
      <c r="Y25" s="6">
        <v>1572726</v>
      </c>
      <c r="Z25" s="6">
        <v>1664087.93</v>
      </c>
      <c r="AA25" s="6">
        <v>90</v>
      </c>
      <c r="AB25" s="6">
        <v>177</v>
      </c>
      <c r="AC25" s="6" t="s">
        <v>353</v>
      </c>
      <c r="AD25" s="6" t="s">
        <v>354</v>
      </c>
      <c r="AE25" s="6">
        <v>0.91</v>
      </c>
      <c r="AF25" s="6" t="s">
        <v>4303</v>
      </c>
      <c r="AG25" s="6">
        <v>0.05</v>
      </c>
      <c r="AH25" s="6">
        <v>0.05</v>
      </c>
      <c r="AI25" s="6">
        <v>3</v>
      </c>
      <c r="AJ25" s="6">
        <v>2657</v>
      </c>
      <c r="AK25" s="6">
        <v>1317420.96</v>
      </c>
      <c r="AL25" s="6">
        <v>1021105.51</v>
      </c>
      <c r="AM25" s="6" t="s">
        <v>385</v>
      </c>
      <c r="AN25" s="6" t="s">
        <v>348</v>
      </c>
      <c r="AO25" s="6">
        <v>72.400000000000006</v>
      </c>
      <c r="AP25" s="6">
        <v>36</v>
      </c>
      <c r="AQ25" s="6" t="s">
        <v>4275</v>
      </c>
      <c r="AR25" s="6" t="s">
        <v>229</v>
      </c>
      <c r="AS25" s="6"/>
    </row>
    <row r="26" spans="1:45" x14ac:dyDescent="0.3">
      <c r="A26" s="7" t="s">
        <v>416</v>
      </c>
      <c r="B26" s="7" t="s">
        <v>4330</v>
      </c>
      <c r="C26" s="7" t="s">
        <v>214</v>
      </c>
      <c r="D26" s="7" t="s">
        <v>242</v>
      </c>
      <c r="E26" s="7" t="s">
        <v>4265</v>
      </c>
      <c r="F26" s="7"/>
      <c r="G26" s="7" t="s">
        <v>62</v>
      </c>
      <c r="H26" s="7" t="s">
        <v>4326</v>
      </c>
      <c r="I26" s="7" t="s">
        <v>183</v>
      </c>
      <c r="J26" s="6" t="s">
        <v>130</v>
      </c>
      <c r="K26" s="7" t="s">
        <v>184</v>
      </c>
      <c r="L26" s="7" t="s">
        <v>417</v>
      </c>
      <c r="M26" s="7" t="s">
        <v>4331</v>
      </c>
      <c r="N26" s="7" t="s">
        <v>3320</v>
      </c>
      <c r="O26" s="7" t="s">
        <v>3321</v>
      </c>
      <c r="P26" s="7">
        <v>24</v>
      </c>
      <c r="Q26" s="7">
        <v>4017826</v>
      </c>
      <c r="R26" s="7">
        <v>0.14000000000000001</v>
      </c>
      <c r="S26" s="7">
        <v>0.02</v>
      </c>
      <c r="T26" s="7">
        <v>3524436.97</v>
      </c>
      <c r="U26" s="7">
        <v>2170029.87</v>
      </c>
      <c r="V26" s="7">
        <v>0.17</v>
      </c>
      <c r="W26" s="7">
        <v>0.1</v>
      </c>
      <c r="X26" s="7" t="s">
        <v>418</v>
      </c>
      <c r="Y26" s="7">
        <v>2107495.2400000002</v>
      </c>
      <c r="Z26" s="7">
        <v>2280088.2000000002</v>
      </c>
      <c r="AA26" s="7">
        <v>30</v>
      </c>
      <c r="AB26" s="7">
        <v>158</v>
      </c>
      <c r="AC26" s="7" t="s">
        <v>329</v>
      </c>
      <c r="AD26" s="7" t="s">
        <v>381</v>
      </c>
      <c r="AE26" s="7">
        <v>0.61</v>
      </c>
      <c r="AF26" s="7" t="s">
        <v>4276</v>
      </c>
      <c r="AG26" s="7">
        <v>0.1</v>
      </c>
      <c r="AH26" s="7">
        <v>0.05</v>
      </c>
      <c r="AI26" s="7">
        <v>1</v>
      </c>
      <c r="AJ26" s="7">
        <v>2740</v>
      </c>
      <c r="AK26" s="7">
        <v>608426.31999999995</v>
      </c>
      <c r="AL26" s="7">
        <v>789800.58</v>
      </c>
      <c r="AM26" s="7" t="s">
        <v>73</v>
      </c>
      <c r="AN26" s="7" t="s">
        <v>348</v>
      </c>
      <c r="AO26" s="7">
        <v>64.2</v>
      </c>
      <c r="AP26" s="7">
        <v>48</v>
      </c>
      <c r="AQ26" s="7" t="s">
        <v>337</v>
      </c>
      <c r="AR26" s="7" t="s">
        <v>186</v>
      </c>
      <c r="AS26" s="7" t="s">
        <v>324</v>
      </c>
    </row>
    <row r="27" spans="1:45" x14ac:dyDescent="0.3">
      <c r="A27" s="6" t="s">
        <v>419</v>
      </c>
      <c r="B27" s="6" t="s">
        <v>4332</v>
      </c>
      <c r="C27" s="6" t="s">
        <v>241</v>
      </c>
      <c r="D27" s="6" t="s">
        <v>238</v>
      </c>
      <c r="E27" s="6" t="s">
        <v>52</v>
      </c>
      <c r="F27" s="6"/>
      <c r="G27" s="6" t="s">
        <v>33</v>
      </c>
      <c r="H27" s="6" t="s">
        <v>197</v>
      </c>
      <c r="I27" s="6" t="s">
        <v>4289</v>
      </c>
      <c r="J27" s="6" t="s">
        <v>119</v>
      </c>
      <c r="K27" s="6" t="s">
        <v>184</v>
      </c>
      <c r="L27" s="6" t="s">
        <v>420</v>
      </c>
      <c r="M27" s="6" t="s">
        <v>3322</v>
      </c>
      <c r="N27" s="6" t="s">
        <v>3323</v>
      </c>
      <c r="O27" s="6" t="s">
        <v>4274</v>
      </c>
      <c r="P27" s="6">
        <v>42</v>
      </c>
      <c r="Q27" s="6">
        <v>8776094</v>
      </c>
      <c r="R27" s="6">
        <v>0.24</v>
      </c>
      <c r="S27" s="6">
        <v>0.16</v>
      </c>
      <c r="T27" s="6">
        <v>7737004.4699999997</v>
      </c>
      <c r="U27" s="6">
        <v>5026435.8600000003</v>
      </c>
      <c r="V27" s="6">
        <v>0.19</v>
      </c>
      <c r="W27" s="6">
        <v>0.15</v>
      </c>
      <c r="X27" s="6" t="s">
        <v>421</v>
      </c>
      <c r="Y27" s="6">
        <v>5245367.72</v>
      </c>
      <c r="Z27" s="6">
        <v>4449810.9400000004</v>
      </c>
      <c r="AA27" s="6">
        <v>120</v>
      </c>
      <c r="AB27" s="6">
        <v>24</v>
      </c>
      <c r="AC27" s="6" t="s">
        <v>342</v>
      </c>
      <c r="AD27" s="6" t="s">
        <v>354</v>
      </c>
      <c r="AE27" s="6">
        <v>0.66</v>
      </c>
      <c r="AF27" s="6" t="s">
        <v>4294</v>
      </c>
      <c r="AG27" s="6">
        <v>0.1</v>
      </c>
      <c r="AH27" s="6">
        <v>0.06</v>
      </c>
      <c r="AI27" s="6">
        <v>0</v>
      </c>
      <c r="AJ27" s="6">
        <v>2545</v>
      </c>
      <c r="AK27" s="6">
        <v>1550535.58</v>
      </c>
      <c r="AL27" s="6">
        <v>1374142.06</v>
      </c>
      <c r="AM27" s="6" t="s">
        <v>343</v>
      </c>
      <c r="AN27" s="6" t="s">
        <v>322</v>
      </c>
      <c r="AO27" s="6">
        <v>80.5</v>
      </c>
      <c r="AP27" s="6">
        <v>60</v>
      </c>
      <c r="AQ27" s="6" t="s">
        <v>387</v>
      </c>
      <c r="AR27" s="6" t="s">
        <v>224</v>
      </c>
      <c r="AS27" s="6" t="s">
        <v>324</v>
      </c>
    </row>
    <row r="28" spans="1:45" x14ac:dyDescent="0.3">
      <c r="A28" s="7" t="s">
        <v>422</v>
      </c>
      <c r="B28" s="7" t="s">
        <v>3324</v>
      </c>
      <c r="C28" s="7" t="s">
        <v>258</v>
      </c>
      <c r="D28" s="7" t="s">
        <v>274</v>
      </c>
      <c r="E28" s="7" t="s">
        <v>20</v>
      </c>
      <c r="F28" s="7" t="s">
        <v>31</v>
      </c>
      <c r="G28" s="7" t="s">
        <v>28</v>
      </c>
      <c r="H28" s="7" t="s">
        <v>212</v>
      </c>
      <c r="I28" s="7" t="s">
        <v>246</v>
      </c>
      <c r="J28" s="7" t="s">
        <v>136</v>
      </c>
      <c r="K28" s="7" t="s">
        <v>326</v>
      </c>
      <c r="L28" s="7" t="s">
        <v>423</v>
      </c>
      <c r="M28" s="7" t="s">
        <v>4333</v>
      </c>
      <c r="N28" s="7"/>
      <c r="O28" s="7" t="s">
        <v>4334</v>
      </c>
      <c r="P28" s="7">
        <v>11</v>
      </c>
      <c r="Q28" s="7">
        <v>13601487</v>
      </c>
      <c r="R28" s="7">
        <v>0.28000000000000003</v>
      </c>
      <c r="S28" s="7">
        <v>-0.02</v>
      </c>
      <c r="T28" s="7">
        <v>9597209.2300000004</v>
      </c>
      <c r="U28" s="7"/>
      <c r="V28" s="7">
        <v>0.22</v>
      </c>
      <c r="W28" s="7">
        <v>0.17</v>
      </c>
      <c r="X28" s="7"/>
      <c r="Y28" s="7">
        <v>2519293.62</v>
      </c>
      <c r="Z28" s="7">
        <v>2048042.69</v>
      </c>
      <c r="AA28" s="7">
        <v>60</v>
      </c>
      <c r="AB28" s="7">
        <v>142</v>
      </c>
      <c r="AC28" s="7" t="s">
        <v>347</v>
      </c>
      <c r="AD28" s="7" t="s">
        <v>354</v>
      </c>
      <c r="AE28" s="7">
        <v>0.93</v>
      </c>
      <c r="AF28" s="7" t="s">
        <v>4319</v>
      </c>
      <c r="AG28" s="7">
        <v>0.15</v>
      </c>
      <c r="AH28" s="7">
        <v>0.09</v>
      </c>
      <c r="AI28" s="7">
        <v>3</v>
      </c>
      <c r="AJ28" s="7">
        <v>1234</v>
      </c>
      <c r="AK28" s="7">
        <v>1797211.8</v>
      </c>
      <c r="AL28" s="7">
        <v>1386554.35</v>
      </c>
      <c r="AM28" s="7" t="s">
        <v>321</v>
      </c>
      <c r="AN28" s="7"/>
      <c r="AO28" s="7">
        <v>72.400000000000006</v>
      </c>
      <c r="AP28" s="7">
        <v>36</v>
      </c>
      <c r="AQ28" s="7" t="s">
        <v>387</v>
      </c>
      <c r="AR28" s="7" t="s">
        <v>192</v>
      </c>
      <c r="AS28" s="7" t="s">
        <v>188</v>
      </c>
    </row>
    <row r="29" spans="1:45" x14ac:dyDescent="0.3">
      <c r="A29" s="6" t="s">
        <v>424</v>
      </c>
      <c r="B29" s="6" t="s">
        <v>4335</v>
      </c>
      <c r="C29" s="6" t="s">
        <v>251</v>
      </c>
      <c r="D29" s="6" t="s">
        <v>245</v>
      </c>
      <c r="E29" s="6" t="s">
        <v>4265</v>
      </c>
      <c r="F29" s="6" t="s">
        <v>228</v>
      </c>
      <c r="G29" s="6" t="s">
        <v>23</v>
      </c>
      <c r="H29" s="6" t="s">
        <v>4266</v>
      </c>
      <c r="I29" s="6" t="s">
        <v>213</v>
      </c>
      <c r="J29" s="6" t="s">
        <v>105</v>
      </c>
      <c r="K29" s="6" t="s">
        <v>210</v>
      </c>
      <c r="L29" s="6" t="s">
        <v>425</v>
      </c>
      <c r="M29" s="6" t="s">
        <v>4336</v>
      </c>
      <c r="N29" s="6"/>
      <c r="O29" s="6" t="s">
        <v>3326</v>
      </c>
      <c r="P29" s="6">
        <v>46</v>
      </c>
      <c r="Q29" s="6">
        <v>33742971</v>
      </c>
      <c r="R29" s="6">
        <v>0.21</v>
      </c>
      <c r="S29" s="6">
        <v>-0.05</v>
      </c>
      <c r="T29" s="6">
        <v>25324099.739999998</v>
      </c>
      <c r="U29" s="6">
        <v>20477491.879999999</v>
      </c>
      <c r="V29" s="6">
        <v>0.33</v>
      </c>
      <c r="W29" s="6">
        <v>0.06</v>
      </c>
      <c r="X29" s="6" t="s">
        <v>426</v>
      </c>
      <c r="Y29" s="6" t="s">
        <v>158</v>
      </c>
      <c r="Z29" s="6">
        <v>6100243.5199999996</v>
      </c>
      <c r="AA29" s="6">
        <v>45</v>
      </c>
      <c r="AB29" s="6">
        <v>75</v>
      </c>
      <c r="AC29" s="6"/>
      <c r="AD29" s="6" t="s">
        <v>406</v>
      </c>
      <c r="AE29" s="6">
        <v>0.45</v>
      </c>
      <c r="AF29" s="6" t="s">
        <v>152</v>
      </c>
      <c r="AG29" s="6">
        <v>0.15</v>
      </c>
      <c r="AH29" s="6">
        <v>0.04</v>
      </c>
      <c r="AI29" s="6">
        <v>13</v>
      </c>
      <c r="AJ29" s="6">
        <v>353</v>
      </c>
      <c r="AK29" s="6">
        <v>2312532.29</v>
      </c>
      <c r="AL29" s="6">
        <v>10792179.939999999</v>
      </c>
      <c r="AM29" s="6"/>
      <c r="AN29" s="6"/>
      <c r="AO29" s="6">
        <v>51.8</v>
      </c>
      <c r="AP29" s="6">
        <v>12</v>
      </c>
      <c r="AQ29" s="6" t="s">
        <v>323</v>
      </c>
      <c r="AR29" s="6" t="s">
        <v>192</v>
      </c>
      <c r="AS29" s="6"/>
    </row>
    <row r="30" spans="1:45" x14ac:dyDescent="0.3">
      <c r="A30" s="7" t="s">
        <v>427</v>
      </c>
      <c r="B30" s="7" t="s">
        <v>3327</v>
      </c>
      <c r="C30" s="7" t="s">
        <v>244</v>
      </c>
      <c r="D30" s="7" t="s">
        <v>238</v>
      </c>
      <c r="E30" s="7"/>
      <c r="F30" s="7" t="s">
        <v>367</v>
      </c>
      <c r="G30" s="7" t="s">
        <v>50</v>
      </c>
      <c r="H30" s="7" t="s">
        <v>263</v>
      </c>
      <c r="I30" s="7" t="s">
        <v>233</v>
      </c>
      <c r="J30" s="7" t="s">
        <v>105</v>
      </c>
      <c r="K30" s="7" t="s">
        <v>223</v>
      </c>
      <c r="L30" s="7" t="s">
        <v>428</v>
      </c>
      <c r="M30" s="7" t="s">
        <v>4279</v>
      </c>
      <c r="N30" s="7" t="s">
        <v>4337</v>
      </c>
      <c r="O30" s="7" t="s">
        <v>4338</v>
      </c>
      <c r="P30" s="7">
        <v>53</v>
      </c>
      <c r="Q30" s="7">
        <v>24897348</v>
      </c>
      <c r="R30" s="7">
        <v>0.16</v>
      </c>
      <c r="S30" s="7">
        <v>0.05</v>
      </c>
      <c r="T30" s="7">
        <v>21959460.940000001</v>
      </c>
      <c r="U30" s="7">
        <v>13670035.619999999</v>
      </c>
      <c r="V30" s="7">
        <v>0.18</v>
      </c>
      <c r="W30" s="7">
        <v>0.17</v>
      </c>
      <c r="X30" s="7" t="s">
        <v>429</v>
      </c>
      <c r="Y30" s="7">
        <v>9305895.5600000005</v>
      </c>
      <c r="Z30" s="7">
        <v>9912481.5099999998</v>
      </c>
      <c r="AA30" s="7">
        <v>60</v>
      </c>
      <c r="AB30" s="7">
        <v>48</v>
      </c>
      <c r="AC30" s="7" t="s">
        <v>347</v>
      </c>
      <c r="AD30" s="7" t="s">
        <v>354</v>
      </c>
      <c r="AE30" s="7">
        <v>0.52</v>
      </c>
      <c r="AF30" s="7" t="s">
        <v>4312</v>
      </c>
      <c r="AG30" s="7">
        <v>0.1</v>
      </c>
      <c r="AH30" s="7">
        <v>0.04</v>
      </c>
      <c r="AI30" s="7">
        <v>8</v>
      </c>
      <c r="AJ30" s="7">
        <v>1044</v>
      </c>
      <c r="AK30" s="7"/>
      <c r="AL30" s="7">
        <v>5413696.4100000001</v>
      </c>
      <c r="AM30" s="7"/>
      <c r="AN30" s="7" t="s">
        <v>356</v>
      </c>
      <c r="AO30" s="7">
        <v>51.6</v>
      </c>
      <c r="AP30" s="7">
        <v>60</v>
      </c>
      <c r="AQ30" s="7" t="s">
        <v>387</v>
      </c>
      <c r="AR30" s="7" t="s">
        <v>192</v>
      </c>
      <c r="AS30" s="7" t="s">
        <v>361</v>
      </c>
    </row>
    <row r="31" spans="1:45" x14ac:dyDescent="0.3">
      <c r="A31" s="6" t="s">
        <v>430</v>
      </c>
      <c r="B31" s="6" t="s">
        <v>4339</v>
      </c>
      <c r="C31" s="6" t="s">
        <v>217</v>
      </c>
      <c r="D31" s="6" t="s">
        <v>220</v>
      </c>
      <c r="E31" s="6" t="s">
        <v>41</v>
      </c>
      <c r="F31" s="6" t="s">
        <v>363</v>
      </c>
      <c r="G31" s="6" t="s">
        <v>70</v>
      </c>
      <c r="H31" s="6" t="s">
        <v>4340</v>
      </c>
      <c r="I31" s="6" t="s">
        <v>183</v>
      </c>
      <c r="J31" s="6" t="s">
        <v>105</v>
      </c>
      <c r="K31" s="6" t="s">
        <v>223</v>
      </c>
      <c r="L31" s="6" t="s">
        <v>431</v>
      </c>
      <c r="M31" s="6" t="s">
        <v>3330</v>
      </c>
      <c r="N31" s="6" t="s">
        <v>4341</v>
      </c>
      <c r="O31" s="6" t="s">
        <v>3332</v>
      </c>
      <c r="P31" s="6">
        <v>35</v>
      </c>
      <c r="Q31" s="6">
        <v>9440562</v>
      </c>
      <c r="R31" s="6">
        <v>0.19</v>
      </c>
      <c r="S31" s="6">
        <v>0.05</v>
      </c>
      <c r="T31" s="6">
        <v>8029197.9800000004</v>
      </c>
      <c r="U31" s="6">
        <v>7190466.0599999996</v>
      </c>
      <c r="V31" s="6">
        <v>0.13</v>
      </c>
      <c r="W31" s="6">
        <v>0.12</v>
      </c>
      <c r="X31" s="6" t="s">
        <v>432</v>
      </c>
      <c r="Y31" s="6">
        <v>4834593.8899999997</v>
      </c>
      <c r="Z31" s="6">
        <v>2415794.9500000002</v>
      </c>
      <c r="AA31" s="6">
        <v>30</v>
      </c>
      <c r="AB31" s="6">
        <v>7</v>
      </c>
      <c r="AC31" s="6" t="s">
        <v>347</v>
      </c>
      <c r="AD31" s="6" t="s">
        <v>354</v>
      </c>
      <c r="AE31" s="6">
        <v>0.74</v>
      </c>
      <c r="AF31" s="6" t="s">
        <v>4312</v>
      </c>
      <c r="AG31" s="6">
        <v>0.1</v>
      </c>
      <c r="AH31" s="6">
        <v>0.06</v>
      </c>
      <c r="AI31" s="6">
        <v>3</v>
      </c>
      <c r="AJ31" s="6">
        <v>548</v>
      </c>
      <c r="AK31" s="6">
        <v>2006551.66</v>
      </c>
      <c r="AL31" s="6">
        <v>2491285.59</v>
      </c>
      <c r="AM31" s="6" t="s">
        <v>73</v>
      </c>
      <c r="AN31" s="6" t="s">
        <v>386</v>
      </c>
      <c r="AO31" s="6">
        <v>68.400000000000006</v>
      </c>
      <c r="AP31" s="6">
        <v>60</v>
      </c>
      <c r="AQ31" s="6"/>
      <c r="AR31" s="6" t="s">
        <v>206</v>
      </c>
      <c r="AS31" s="6"/>
    </row>
    <row r="32" spans="1:45" x14ac:dyDescent="0.3">
      <c r="A32" s="7" t="s">
        <v>433</v>
      </c>
      <c r="B32" s="7" t="s">
        <v>4342</v>
      </c>
      <c r="C32" s="7" t="s">
        <v>239</v>
      </c>
      <c r="D32" s="7" t="s">
        <v>262</v>
      </c>
      <c r="E32" s="7" t="s">
        <v>41</v>
      </c>
      <c r="F32" s="7" t="s">
        <v>350</v>
      </c>
      <c r="G32" s="7" t="s">
        <v>46</v>
      </c>
      <c r="H32" s="7"/>
      <c r="I32" s="7" t="s">
        <v>183</v>
      </c>
      <c r="J32" s="6" t="s">
        <v>130</v>
      </c>
      <c r="K32" s="7" t="s">
        <v>204</v>
      </c>
      <c r="L32" s="7" t="s">
        <v>434</v>
      </c>
      <c r="M32" s="7" t="s">
        <v>4343</v>
      </c>
      <c r="N32" s="7" t="s">
        <v>4344</v>
      </c>
      <c r="O32" s="7" t="s">
        <v>3335</v>
      </c>
      <c r="P32" s="7" t="s">
        <v>4275</v>
      </c>
      <c r="Q32" s="7">
        <v>8812389</v>
      </c>
      <c r="R32" s="7">
        <v>0.31</v>
      </c>
      <c r="S32" s="7">
        <v>0.15</v>
      </c>
      <c r="T32" s="7">
        <v>6992630.6699999999</v>
      </c>
      <c r="U32" s="7">
        <v>5405522.8600000003</v>
      </c>
      <c r="V32" s="7">
        <v>0.32</v>
      </c>
      <c r="W32" s="7">
        <v>0.11</v>
      </c>
      <c r="X32" s="7" t="s">
        <v>435</v>
      </c>
      <c r="Y32" s="7">
        <v>4152397.79</v>
      </c>
      <c r="Z32" s="7">
        <v>1850186</v>
      </c>
      <c r="AA32" s="7">
        <v>45</v>
      </c>
      <c r="AB32" s="7">
        <v>111</v>
      </c>
      <c r="AC32" s="7" t="s">
        <v>347</v>
      </c>
      <c r="AD32" s="7" t="s">
        <v>406</v>
      </c>
      <c r="AE32" s="7">
        <v>0.52</v>
      </c>
      <c r="AF32" s="7" t="s">
        <v>4276</v>
      </c>
      <c r="AG32" s="7">
        <v>0.05</v>
      </c>
      <c r="AH32" s="7">
        <v>0.08</v>
      </c>
      <c r="AI32" s="7">
        <v>4</v>
      </c>
      <c r="AJ32" s="7">
        <v>2484</v>
      </c>
      <c r="AK32" s="7">
        <v>1434036.64</v>
      </c>
      <c r="AL32" s="7">
        <v>1531201.15</v>
      </c>
      <c r="AM32" s="7" t="s">
        <v>355</v>
      </c>
      <c r="AN32" s="7" t="s">
        <v>356</v>
      </c>
      <c r="AO32" s="7"/>
      <c r="AP32" s="7" t="s">
        <v>4275</v>
      </c>
      <c r="AQ32" s="7" t="s">
        <v>387</v>
      </c>
      <c r="AR32" s="7" t="s">
        <v>206</v>
      </c>
      <c r="AS32" s="7" t="s">
        <v>377</v>
      </c>
    </row>
    <row r="33" spans="1:45" x14ac:dyDescent="0.3">
      <c r="A33" s="6" t="s">
        <v>436</v>
      </c>
      <c r="B33" s="6" t="s">
        <v>3336</v>
      </c>
      <c r="C33" s="6" t="s">
        <v>256</v>
      </c>
      <c r="D33" s="6" t="s">
        <v>250</v>
      </c>
      <c r="E33" s="6" t="s">
        <v>41</v>
      </c>
      <c r="F33" s="6" t="s">
        <v>350</v>
      </c>
      <c r="G33" s="6" t="s">
        <v>38</v>
      </c>
      <c r="H33" s="6" t="s">
        <v>4340</v>
      </c>
      <c r="I33" s="6" t="s">
        <v>183</v>
      </c>
      <c r="J33" s="6" t="s">
        <v>130</v>
      </c>
      <c r="K33" s="6" t="s">
        <v>223</v>
      </c>
      <c r="L33" s="6" t="s">
        <v>437</v>
      </c>
      <c r="M33" s="6" t="s">
        <v>3337</v>
      </c>
      <c r="N33" s="6" t="s">
        <v>438</v>
      </c>
      <c r="O33" s="6" t="s">
        <v>4345</v>
      </c>
      <c r="P33" s="6" t="s">
        <v>4275</v>
      </c>
      <c r="Q33" s="6">
        <v>21177056</v>
      </c>
      <c r="R33" s="6">
        <v>0.3</v>
      </c>
      <c r="S33" s="6">
        <v>0.03</v>
      </c>
      <c r="T33" s="6">
        <v>15268657.380000001</v>
      </c>
      <c r="U33" s="6">
        <v>11476431.93</v>
      </c>
      <c r="V33" s="6">
        <v>0.13</v>
      </c>
      <c r="W33" s="6">
        <v>0.1</v>
      </c>
      <c r="X33" s="6" t="s">
        <v>439</v>
      </c>
      <c r="Y33" s="6">
        <v>13586354.630000001</v>
      </c>
      <c r="Z33" s="6">
        <v>7829767.9199999999</v>
      </c>
      <c r="AA33" s="6">
        <v>90</v>
      </c>
      <c r="AB33" s="6">
        <v>34</v>
      </c>
      <c r="AC33" s="6" t="s">
        <v>347</v>
      </c>
      <c r="AD33" s="6" t="s">
        <v>320</v>
      </c>
      <c r="AE33" s="6">
        <v>0.77</v>
      </c>
      <c r="AF33" s="6" t="s">
        <v>159</v>
      </c>
      <c r="AG33" s="6">
        <v>0.15</v>
      </c>
      <c r="AH33" s="6">
        <v>0.06</v>
      </c>
      <c r="AI33" s="6">
        <v>10</v>
      </c>
      <c r="AJ33" s="6">
        <v>76</v>
      </c>
      <c r="AK33" s="6">
        <v>1818701.49</v>
      </c>
      <c r="AL33" s="6">
        <v>5970094.2800000003</v>
      </c>
      <c r="AM33" s="6" t="s">
        <v>391</v>
      </c>
      <c r="AN33" s="6" t="s">
        <v>321</v>
      </c>
      <c r="AO33" s="6">
        <v>79.900000000000006</v>
      </c>
      <c r="AP33" s="6">
        <v>36</v>
      </c>
      <c r="AQ33" s="6" t="s">
        <v>4275</v>
      </c>
      <c r="AR33" s="6" t="s">
        <v>186</v>
      </c>
      <c r="AS33" s="6" t="s">
        <v>357</v>
      </c>
    </row>
    <row r="34" spans="1:45" x14ac:dyDescent="0.3">
      <c r="A34" s="7" t="s">
        <v>440</v>
      </c>
      <c r="B34" s="7" t="s">
        <v>3339</v>
      </c>
      <c r="C34" s="7" t="s">
        <v>280</v>
      </c>
      <c r="D34" s="7" t="s">
        <v>281</v>
      </c>
      <c r="E34" s="7" t="s">
        <v>4270</v>
      </c>
      <c r="F34" s="7" t="s">
        <v>181</v>
      </c>
      <c r="G34" s="7" t="s">
        <v>73</v>
      </c>
      <c r="H34" s="7" t="s">
        <v>236</v>
      </c>
      <c r="I34" s="7" t="s">
        <v>183</v>
      </c>
      <c r="J34" s="7" t="s">
        <v>123</v>
      </c>
      <c r="K34" s="7" t="s">
        <v>223</v>
      </c>
      <c r="L34" s="7" t="s">
        <v>441</v>
      </c>
      <c r="M34" s="7" t="s">
        <v>4346</v>
      </c>
      <c r="N34" s="7"/>
      <c r="O34" s="7" t="s">
        <v>4347</v>
      </c>
      <c r="P34" s="7">
        <v>35</v>
      </c>
      <c r="Q34" s="7">
        <v>26127430</v>
      </c>
      <c r="R34" s="7">
        <v>0.18</v>
      </c>
      <c r="S34" s="7">
        <v>0.14000000000000001</v>
      </c>
      <c r="T34" s="7">
        <v>24423921.559999999</v>
      </c>
      <c r="U34" s="7">
        <v>19847414.57</v>
      </c>
      <c r="V34" s="7">
        <v>0.34</v>
      </c>
      <c r="W34" s="7">
        <v>0.11</v>
      </c>
      <c r="X34" s="7" t="s">
        <v>442</v>
      </c>
      <c r="Y34" s="7">
        <v>7028290.5800000001</v>
      </c>
      <c r="Z34" s="7">
        <v>7669780.6600000001</v>
      </c>
      <c r="AA34" s="7">
        <v>120</v>
      </c>
      <c r="AB34" s="7">
        <v>31</v>
      </c>
      <c r="AC34" s="7" t="s">
        <v>342</v>
      </c>
      <c r="AD34" s="7" t="s">
        <v>336</v>
      </c>
      <c r="AE34" s="7">
        <v>0.17</v>
      </c>
      <c r="AF34" s="7" t="s">
        <v>4312</v>
      </c>
      <c r="AG34" s="7">
        <v>0.05</v>
      </c>
      <c r="AH34" s="7">
        <v>0.05</v>
      </c>
      <c r="AI34" s="7">
        <v>10</v>
      </c>
      <c r="AJ34" s="7">
        <v>2185</v>
      </c>
      <c r="AK34" s="7">
        <v>4886443.1399999997</v>
      </c>
      <c r="AL34" s="7">
        <v>8085631.0300000003</v>
      </c>
      <c r="AM34" s="7" t="s">
        <v>321</v>
      </c>
      <c r="AN34" s="7" t="s">
        <v>356</v>
      </c>
      <c r="AO34" s="7">
        <v>70.8</v>
      </c>
      <c r="AP34" s="7">
        <v>60</v>
      </c>
      <c r="AQ34" s="7"/>
      <c r="AR34" s="7" t="s">
        <v>224</v>
      </c>
      <c r="AS34" s="7" t="s">
        <v>324</v>
      </c>
    </row>
    <row r="35" spans="1:45" x14ac:dyDescent="0.3">
      <c r="A35" s="6" t="s">
        <v>443</v>
      </c>
      <c r="B35" s="6" t="s">
        <v>4348</v>
      </c>
      <c r="C35" s="6" t="s">
        <v>267</v>
      </c>
      <c r="D35" s="6" t="s">
        <v>202</v>
      </c>
      <c r="E35" s="6"/>
      <c r="F35" s="6" t="s">
        <v>181</v>
      </c>
      <c r="G35" s="6" t="s">
        <v>70</v>
      </c>
      <c r="H35" s="6" t="s">
        <v>182</v>
      </c>
      <c r="I35" s="6" t="s">
        <v>4272</v>
      </c>
      <c r="J35" s="6" t="s">
        <v>105</v>
      </c>
      <c r="K35" s="6" t="s">
        <v>199</v>
      </c>
      <c r="L35" s="6" t="s">
        <v>444</v>
      </c>
      <c r="M35" s="6" t="s">
        <v>4349</v>
      </c>
      <c r="N35" s="6"/>
      <c r="O35" s="6" t="s">
        <v>4350</v>
      </c>
      <c r="P35" s="6">
        <v>22</v>
      </c>
      <c r="Q35" s="6">
        <v>38624540</v>
      </c>
      <c r="R35" s="6">
        <v>0.33</v>
      </c>
      <c r="S35" s="6">
        <v>-0.02</v>
      </c>
      <c r="T35" s="6">
        <v>25360872.960000001</v>
      </c>
      <c r="U35" s="6">
        <v>20579594.710000001</v>
      </c>
      <c r="V35" s="6">
        <v>0.22</v>
      </c>
      <c r="W35" s="6">
        <v>0.12</v>
      </c>
      <c r="X35" s="6" t="s">
        <v>445</v>
      </c>
      <c r="Y35" s="6">
        <v>1676271.59</v>
      </c>
      <c r="Z35" s="6">
        <v>923548.52</v>
      </c>
      <c r="AA35" s="6">
        <v>45</v>
      </c>
      <c r="AB35" s="6">
        <v>106</v>
      </c>
      <c r="AC35" s="6" t="s">
        <v>347</v>
      </c>
      <c r="AD35" s="6" t="s">
        <v>381</v>
      </c>
      <c r="AE35" s="6">
        <v>0.7</v>
      </c>
      <c r="AF35" s="6" t="s">
        <v>159</v>
      </c>
      <c r="AG35" s="6">
        <v>0.1</v>
      </c>
      <c r="AH35" s="6">
        <v>0.06</v>
      </c>
      <c r="AI35" s="6">
        <v>15</v>
      </c>
      <c r="AJ35" s="6">
        <v>4459</v>
      </c>
      <c r="AK35" s="6">
        <v>6224494.6399999997</v>
      </c>
      <c r="AL35" s="6">
        <v>12219972.939999999</v>
      </c>
      <c r="AM35" s="6" t="s">
        <v>321</v>
      </c>
      <c r="AN35" s="6" t="s">
        <v>348</v>
      </c>
      <c r="AO35" s="6">
        <v>89.8</v>
      </c>
      <c r="AP35" s="6">
        <v>36</v>
      </c>
      <c r="AQ35" s="6" t="s">
        <v>337</v>
      </c>
      <c r="AR35" s="6" t="s">
        <v>229</v>
      </c>
      <c r="AS35" s="6" t="s">
        <v>377</v>
      </c>
    </row>
    <row r="36" spans="1:45" x14ac:dyDescent="0.3">
      <c r="A36" s="7" t="s">
        <v>446</v>
      </c>
      <c r="B36" s="7" t="s">
        <v>4351</v>
      </c>
      <c r="C36" s="7" t="s">
        <v>269</v>
      </c>
      <c r="D36" s="7" t="s">
        <v>265</v>
      </c>
      <c r="E36" s="7" t="s">
        <v>20</v>
      </c>
      <c r="F36" s="7" t="s">
        <v>31</v>
      </c>
      <c r="G36" s="7" t="s">
        <v>23</v>
      </c>
      <c r="H36" s="7" t="s">
        <v>4280</v>
      </c>
      <c r="I36" s="7" t="s">
        <v>213</v>
      </c>
      <c r="J36" s="7" t="s">
        <v>136</v>
      </c>
      <c r="K36" s="7" t="s">
        <v>221</v>
      </c>
      <c r="L36" s="7" t="s">
        <v>447</v>
      </c>
      <c r="M36" s="7" t="s">
        <v>4352</v>
      </c>
      <c r="N36" s="7"/>
      <c r="O36" s="7" t="s">
        <v>4274</v>
      </c>
      <c r="P36" s="7">
        <v>44</v>
      </c>
      <c r="Q36" s="7">
        <v>13760554</v>
      </c>
      <c r="R36" s="7">
        <v>0.28999999999999998</v>
      </c>
      <c r="S36" s="7">
        <v>0.02</v>
      </c>
      <c r="T36" s="7">
        <v>9965393.2100000009</v>
      </c>
      <c r="U36" s="7">
        <v>7579136.79</v>
      </c>
      <c r="V36" s="7">
        <v>0.38</v>
      </c>
      <c r="W36" s="7">
        <v>0.19</v>
      </c>
      <c r="X36" s="7" t="s">
        <v>448</v>
      </c>
      <c r="Y36" s="7">
        <v>5258890.63</v>
      </c>
      <c r="Z36" s="7">
        <v>2720409.26</v>
      </c>
      <c r="AA36" s="7">
        <v>30</v>
      </c>
      <c r="AB36" s="7">
        <v>158</v>
      </c>
      <c r="AC36" s="7" t="s">
        <v>342</v>
      </c>
      <c r="AD36" s="7" t="s">
        <v>226</v>
      </c>
      <c r="AE36" s="7">
        <v>0.75</v>
      </c>
      <c r="AF36" s="7"/>
      <c r="AG36" s="7">
        <v>0.05</v>
      </c>
      <c r="AH36" s="7">
        <v>0.03</v>
      </c>
      <c r="AI36" s="7">
        <v>7</v>
      </c>
      <c r="AJ36" s="7">
        <v>2381</v>
      </c>
      <c r="AK36" s="7">
        <v>220548.59</v>
      </c>
      <c r="AL36" s="7">
        <v>1424256.75</v>
      </c>
      <c r="AM36" s="7"/>
      <c r="AN36" s="7" t="s">
        <v>322</v>
      </c>
      <c r="AO36" s="7">
        <v>91.9</v>
      </c>
      <c r="AP36" s="7">
        <v>36</v>
      </c>
      <c r="AQ36" s="7" t="s">
        <v>4275</v>
      </c>
      <c r="AR36" s="7" t="s">
        <v>206</v>
      </c>
      <c r="AS36" s="7" t="s">
        <v>377</v>
      </c>
    </row>
    <row r="37" spans="1:45" x14ac:dyDescent="0.3">
      <c r="A37" s="6" t="s">
        <v>449</v>
      </c>
      <c r="B37" s="6" t="s">
        <v>4353</v>
      </c>
      <c r="C37" s="6" t="s">
        <v>219</v>
      </c>
      <c r="D37" s="6" t="s">
        <v>209</v>
      </c>
      <c r="E37" s="6" t="s">
        <v>41</v>
      </c>
      <c r="F37" s="6" t="s">
        <v>350</v>
      </c>
      <c r="G37" s="6" t="s">
        <v>66</v>
      </c>
      <c r="H37" s="6" t="s">
        <v>4280</v>
      </c>
      <c r="I37" s="6"/>
      <c r="J37" s="6" t="s">
        <v>130</v>
      </c>
      <c r="K37" s="6" t="s">
        <v>199</v>
      </c>
      <c r="L37" s="6" t="s">
        <v>450</v>
      </c>
      <c r="M37" s="6" t="s">
        <v>4354</v>
      </c>
      <c r="N37" s="6" t="s">
        <v>4355</v>
      </c>
      <c r="O37" s="6" t="s">
        <v>4356</v>
      </c>
      <c r="P37" s="6" t="s">
        <v>4275</v>
      </c>
      <c r="Q37" s="6">
        <v>18509786</v>
      </c>
      <c r="R37" s="6">
        <v>0.08</v>
      </c>
      <c r="S37" s="6">
        <v>-0.02</v>
      </c>
      <c r="T37" s="6">
        <v>16688423.060000001</v>
      </c>
      <c r="U37" s="6">
        <v>11549088.050000001</v>
      </c>
      <c r="V37" s="6">
        <v>0.23</v>
      </c>
      <c r="W37" s="6">
        <v>0.18</v>
      </c>
      <c r="X37" s="6" t="s">
        <v>451</v>
      </c>
      <c r="Y37" s="6">
        <v>3139428.2</v>
      </c>
      <c r="Z37" s="6" t="s">
        <v>4357</v>
      </c>
      <c r="AA37" s="6">
        <v>60</v>
      </c>
      <c r="AB37" s="6">
        <v>48</v>
      </c>
      <c r="AC37" s="6" t="s">
        <v>342</v>
      </c>
      <c r="AD37" s="6" t="s">
        <v>381</v>
      </c>
      <c r="AE37" s="6">
        <v>0.06</v>
      </c>
      <c r="AF37" s="6" t="s">
        <v>4303</v>
      </c>
      <c r="AG37" s="6">
        <v>0.1</v>
      </c>
      <c r="AH37" s="6">
        <v>0.08</v>
      </c>
      <c r="AI37" s="6">
        <v>6</v>
      </c>
      <c r="AJ37" s="6">
        <v>1805</v>
      </c>
      <c r="AK37" s="6">
        <v>2169191.88</v>
      </c>
      <c r="AL37" s="6">
        <v>8269700.7999999998</v>
      </c>
      <c r="AM37" s="6" t="s">
        <v>355</v>
      </c>
      <c r="AN37" s="6" t="s">
        <v>356</v>
      </c>
      <c r="AO37" s="6">
        <v>84.5</v>
      </c>
      <c r="AP37" s="6">
        <v>60</v>
      </c>
      <c r="AQ37" s="6" t="s">
        <v>392</v>
      </c>
      <c r="AR37" s="6" t="s">
        <v>206</v>
      </c>
      <c r="AS37" s="6"/>
    </row>
    <row r="38" spans="1:45" x14ac:dyDescent="0.3">
      <c r="A38" s="7" t="s">
        <v>452</v>
      </c>
      <c r="B38" s="7" t="s">
        <v>4358</v>
      </c>
      <c r="C38" s="7" t="s">
        <v>258</v>
      </c>
      <c r="D38" s="7" t="s">
        <v>253</v>
      </c>
      <c r="E38" s="7" t="s">
        <v>4306</v>
      </c>
      <c r="F38" s="7" t="s">
        <v>75</v>
      </c>
      <c r="G38" s="7" t="s">
        <v>57</v>
      </c>
      <c r="H38" s="7" t="s">
        <v>4340</v>
      </c>
      <c r="I38" s="7" t="s">
        <v>203</v>
      </c>
      <c r="J38" s="6" t="s">
        <v>119</v>
      </c>
      <c r="K38" s="7" t="s">
        <v>333</v>
      </c>
      <c r="L38" s="7" t="s">
        <v>453</v>
      </c>
      <c r="M38" s="7" t="s">
        <v>4359</v>
      </c>
      <c r="N38" s="7" t="s">
        <v>4360</v>
      </c>
      <c r="O38" s="7" t="s">
        <v>3343</v>
      </c>
      <c r="P38" s="7" t="s">
        <v>4275</v>
      </c>
      <c r="Q38" s="7">
        <v>5694223</v>
      </c>
      <c r="R38" s="7">
        <v>0.19</v>
      </c>
      <c r="S38" s="7">
        <v>0.08</v>
      </c>
      <c r="T38" s="7">
        <v>4981306.28</v>
      </c>
      <c r="U38" s="7">
        <v>3084066.06</v>
      </c>
      <c r="V38" s="7">
        <v>0.38</v>
      </c>
      <c r="W38" s="7">
        <v>0.06</v>
      </c>
      <c r="X38" s="7" t="s">
        <v>454</v>
      </c>
      <c r="Y38" s="7">
        <v>1780902.37</v>
      </c>
      <c r="Z38" s="7">
        <v>1841089.33</v>
      </c>
      <c r="AA38" s="7">
        <v>30</v>
      </c>
      <c r="AB38" s="7">
        <v>16</v>
      </c>
      <c r="AC38" s="7"/>
      <c r="AD38" s="7" t="s">
        <v>455</v>
      </c>
      <c r="AE38" s="7">
        <v>0.83</v>
      </c>
      <c r="AF38" s="7" t="s">
        <v>4361</v>
      </c>
      <c r="AG38" s="7">
        <v>0.15</v>
      </c>
      <c r="AH38" s="7">
        <v>0.03</v>
      </c>
      <c r="AI38" s="7">
        <v>4</v>
      </c>
      <c r="AJ38" s="7">
        <v>3453</v>
      </c>
      <c r="AK38" s="7">
        <v>1120827.43</v>
      </c>
      <c r="AL38" s="7">
        <v>2325503.06</v>
      </c>
      <c r="AM38" s="7"/>
      <c r="AN38" s="7" t="s">
        <v>330</v>
      </c>
      <c r="AO38" s="7"/>
      <c r="AP38" s="7">
        <v>12</v>
      </c>
      <c r="AQ38" s="7" t="s">
        <v>392</v>
      </c>
      <c r="AR38" s="7" t="s">
        <v>224</v>
      </c>
      <c r="AS38" s="7" t="s">
        <v>188</v>
      </c>
    </row>
    <row r="39" spans="1:45" x14ac:dyDescent="0.3">
      <c r="A39" s="6" t="s">
        <v>456</v>
      </c>
      <c r="B39" s="6" t="s">
        <v>4362</v>
      </c>
      <c r="C39" s="6" t="s">
        <v>195</v>
      </c>
      <c r="D39" s="6" t="s">
        <v>255</v>
      </c>
      <c r="E39" s="6"/>
      <c r="F39" s="6" t="s">
        <v>367</v>
      </c>
      <c r="G39" s="6" t="s">
        <v>54</v>
      </c>
      <c r="H39" s="6" t="s">
        <v>197</v>
      </c>
      <c r="I39" s="6" t="s">
        <v>191</v>
      </c>
      <c r="J39" s="6" t="s">
        <v>105</v>
      </c>
      <c r="K39" s="6" t="s">
        <v>221</v>
      </c>
      <c r="L39" s="6" t="s">
        <v>457</v>
      </c>
      <c r="M39" s="6" t="s">
        <v>3344</v>
      </c>
      <c r="N39" s="6" t="s">
        <v>4363</v>
      </c>
      <c r="O39" s="6" t="s">
        <v>3346</v>
      </c>
      <c r="P39" s="6">
        <v>37</v>
      </c>
      <c r="Q39" s="6">
        <v>26577718</v>
      </c>
      <c r="R39" s="6">
        <v>0.19</v>
      </c>
      <c r="S39" s="6">
        <v>0.13</v>
      </c>
      <c r="T39" s="6">
        <v>24326585.289999999</v>
      </c>
      <c r="U39" s="6">
        <v>20899433.399999999</v>
      </c>
      <c r="V39" s="6">
        <v>0.23</v>
      </c>
      <c r="W39" s="6">
        <v>0.09</v>
      </c>
      <c r="X39" s="6" t="s">
        <v>458</v>
      </c>
      <c r="Y39" s="6">
        <v>5821027.9199999999</v>
      </c>
      <c r="Z39" s="6">
        <v>1762482.89</v>
      </c>
      <c r="AA39" s="6">
        <v>30</v>
      </c>
      <c r="AB39" s="6">
        <v>77</v>
      </c>
      <c r="AC39" s="6" t="s">
        <v>347</v>
      </c>
      <c r="AD39" s="6" t="s">
        <v>320</v>
      </c>
      <c r="AE39" s="6">
        <v>0.49</v>
      </c>
      <c r="AF39" s="6" t="s">
        <v>155</v>
      </c>
      <c r="AG39" s="6">
        <v>0.15</v>
      </c>
      <c r="AH39" s="6">
        <v>0.06</v>
      </c>
      <c r="AI39" s="6">
        <v>12</v>
      </c>
      <c r="AJ39" s="6">
        <v>2636</v>
      </c>
      <c r="AK39" s="6">
        <v>5389297.4500000002</v>
      </c>
      <c r="AL39" s="6">
        <v>7504761.8200000003</v>
      </c>
      <c r="AM39" s="6"/>
      <c r="AN39" s="6"/>
      <c r="AO39" s="6">
        <v>78.8</v>
      </c>
      <c r="AP39" s="6">
        <v>36</v>
      </c>
      <c r="AQ39" s="6"/>
      <c r="AR39" s="6" t="s">
        <v>229</v>
      </c>
      <c r="AS39" s="6" t="s">
        <v>357</v>
      </c>
    </row>
    <row r="40" spans="1:45" x14ac:dyDescent="0.3">
      <c r="A40" s="7" t="s">
        <v>459</v>
      </c>
      <c r="B40" s="7" t="s">
        <v>4364</v>
      </c>
      <c r="C40" s="7" t="s">
        <v>269</v>
      </c>
      <c r="D40" s="7" t="s">
        <v>248</v>
      </c>
      <c r="E40" s="7" t="s">
        <v>36</v>
      </c>
      <c r="F40" s="7" t="s">
        <v>19</v>
      </c>
      <c r="G40" s="7" t="s">
        <v>38</v>
      </c>
      <c r="H40" s="7" t="s">
        <v>212</v>
      </c>
      <c r="I40" s="7" t="s">
        <v>4272</v>
      </c>
      <c r="J40" s="7" t="s">
        <v>115</v>
      </c>
      <c r="K40" s="7" t="s">
        <v>333</v>
      </c>
      <c r="L40" s="7" t="s">
        <v>460</v>
      </c>
      <c r="M40" s="7" t="s">
        <v>3348</v>
      </c>
      <c r="N40" s="7" t="s">
        <v>4365</v>
      </c>
      <c r="O40" s="7" t="s">
        <v>4274</v>
      </c>
      <c r="P40" s="7">
        <v>41</v>
      </c>
      <c r="Q40" s="7">
        <v>23313287</v>
      </c>
      <c r="R40" s="7">
        <v>0.33</v>
      </c>
      <c r="S40" s="7">
        <v>0.12</v>
      </c>
      <c r="T40" s="7">
        <v>17494290.559999999</v>
      </c>
      <c r="U40" s="7">
        <v>15081585.380000001</v>
      </c>
      <c r="V40" s="7">
        <v>0.32</v>
      </c>
      <c r="W40" s="7">
        <v>0.16</v>
      </c>
      <c r="X40" s="7" t="s">
        <v>461</v>
      </c>
      <c r="Y40" s="7">
        <v>12559744.359999999</v>
      </c>
      <c r="Z40" s="7">
        <v>6970501.9500000002</v>
      </c>
      <c r="AA40" s="7">
        <v>90</v>
      </c>
      <c r="AB40" s="7">
        <v>105</v>
      </c>
      <c r="AC40" s="7"/>
      <c r="AD40" s="7" t="s">
        <v>354</v>
      </c>
      <c r="AE40" s="7">
        <v>0.19</v>
      </c>
      <c r="AF40" s="7" t="s">
        <v>159</v>
      </c>
      <c r="AG40" s="7">
        <v>0.1</v>
      </c>
      <c r="AH40" s="7">
        <v>0.03</v>
      </c>
      <c r="AI40" s="7">
        <v>15</v>
      </c>
      <c r="AJ40" s="7">
        <v>1566</v>
      </c>
      <c r="AK40" s="7">
        <v>821929.46</v>
      </c>
      <c r="AL40" s="7">
        <v>5100781.4400000004</v>
      </c>
      <c r="AM40" s="7" t="s">
        <v>321</v>
      </c>
      <c r="AN40" s="7" t="s">
        <v>348</v>
      </c>
      <c r="AO40" s="7">
        <v>60.4</v>
      </c>
      <c r="AP40" s="7">
        <v>60</v>
      </c>
      <c r="AQ40" s="7" t="s">
        <v>4275</v>
      </c>
      <c r="AR40" s="7" t="s">
        <v>229</v>
      </c>
      <c r="AS40" s="7" t="s">
        <v>361</v>
      </c>
    </row>
    <row r="41" spans="1:45" x14ac:dyDescent="0.3">
      <c r="A41" s="6" t="s">
        <v>452</v>
      </c>
      <c r="B41" s="6" t="s">
        <v>3349</v>
      </c>
      <c r="C41" s="6" t="s">
        <v>282</v>
      </c>
      <c r="D41" s="6" t="s">
        <v>394</v>
      </c>
      <c r="E41" s="6" t="s">
        <v>41</v>
      </c>
      <c r="F41" s="6" t="s">
        <v>363</v>
      </c>
      <c r="G41" s="6" t="s">
        <v>62</v>
      </c>
      <c r="H41" s="6" t="s">
        <v>212</v>
      </c>
      <c r="I41" s="6" t="s">
        <v>183</v>
      </c>
      <c r="J41" s="6" t="s">
        <v>105</v>
      </c>
      <c r="K41" s="6" t="s">
        <v>333</v>
      </c>
      <c r="L41" s="6" t="s">
        <v>3350</v>
      </c>
      <c r="M41" s="6" t="s">
        <v>4366</v>
      </c>
      <c r="N41" s="6"/>
      <c r="O41" s="6" t="s">
        <v>4293</v>
      </c>
      <c r="P41" s="6">
        <v>49</v>
      </c>
      <c r="Q41" s="6">
        <v>43734952</v>
      </c>
      <c r="R41" s="6">
        <v>0.13</v>
      </c>
      <c r="S41" s="6">
        <v>0.02</v>
      </c>
      <c r="T41" s="6">
        <v>38810396.399999999</v>
      </c>
      <c r="U41" s="6">
        <v>25257018.640000001</v>
      </c>
      <c r="V41" s="6">
        <v>0.22</v>
      </c>
      <c r="W41" s="6">
        <v>0.19</v>
      </c>
      <c r="X41" s="6" t="s">
        <v>3351</v>
      </c>
      <c r="Y41" s="6">
        <v>18857741.039999999</v>
      </c>
      <c r="Z41" s="6">
        <v>13159343.449999999</v>
      </c>
      <c r="AA41" s="6">
        <v>30</v>
      </c>
      <c r="AB41" s="6">
        <v>121</v>
      </c>
      <c r="AC41" s="6" t="s">
        <v>329</v>
      </c>
      <c r="AD41" s="6" t="s">
        <v>354</v>
      </c>
      <c r="AE41" s="6">
        <v>0.77</v>
      </c>
      <c r="AF41" s="6"/>
      <c r="AG41" s="6">
        <v>0.1</v>
      </c>
      <c r="AH41" s="6">
        <v>0.09</v>
      </c>
      <c r="AI41" s="6">
        <v>11</v>
      </c>
      <c r="AJ41" s="6">
        <v>407</v>
      </c>
      <c r="AK41" s="6">
        <v>4457382.22</v>
      </c>
      <c r="AL41" s="6">
        <v>7473848.3099999996</v>
      </c>
      <c r="AM41" s="6"/>
      <c r="AN41" s="6" t="s">
        <v>348</v>
      </c>
      <c r="AO41" s="6">
        <v>97.9</v>
      </c>
      <c r="AP41" s="6">
        <v>12</v>
      </c>
      <c r="AQ41" s="6" t="s">
        <v>323</v>
      </c>
      <c r="AR41" s="6" t="s">
        <v>229</v>
      </c>
      <c r="AS41" s="6" t="s">
        <v>324</v>
      </c>
    </row>
    <row r="42" spans="1:45" x14ac:dyDescent="0.3">
      <c r="A42" s="7" t="s">
        <v>462</v>
      </c>
      <c r="B42" s="7" t="s">
        <v>4367</v>
      </c>
      <c r="C42" s="7" t="s">
        <v>211</v>
      </c>
      <c r="D42" s="7" t="s">
        <v>245</v>
      </c>
      <c r="E42" s="7" t="s">
        <v>20</v>
      </c>
      <c r="F42" s="7" t="s">
        <v>31</v>
      </c>
      <c r="G42" s="7" t="s">
        <v>57</v>
      </c>
      <c r="H42" s="7" t="s">
        <v>236</v>
      </c>
      <c r="I42" s="7" t="s">
        <v>183</v>
      </c>
      <c r="J42" s="7" t="s">
        <v>136</v>
      </c>
      <c r="K42" s="7" t="s">
        <v>210</v>
      </c>
      <c r="L42" s="7" t="s">
        <v>463</v>
      </c>
      <c r="M42" s="7" t="s">
        <v>3352</v>
      </c>
      <c r="N42" s="7" t="s">
        <v>3353</v>
      </c>
      <c r="O42" s="7" t="s">
        <v>4274</v>
      </c>
      <c r="P42" s="7" t="s">
        <v>4275</v>
      </c>
      <c r="Q42" s="7">
        <v>643747</v>
      </c>
      <c r="R42" s="7">
        <v>0.19</v>
      </c>
      <c r="S42" s="7">
        <v>0.05</v>
      </c>
      <c r="T42" s="7">
        <v>547506.81999999995</v>
      </c>
      <c r="U42" s="7">
        <v>410606.86</v>
      </c>
      <c r="V42" s="7">
        <v>0.32</v>
      </c>
      <c r="W42" s="7">
        <v>0.13</v>
      </c>
      <c r="X42" s="7" t="s">
        <v>464</v>
      </c>
      <c r="Y42" s="7">
        <v>35159.370000000003</v>
      </c>
      <c r="Z42" s="7">
        <v>30861.279999999999</v>
      </c>
      <c r="AA42" s="7">
        <v>120</v>
      </c>
      <c r="AB42" s="7">
        <v>74</v>
      </c>
      <c r="AC42" s="7" t="s">
        <v>376</v>
      </c>
      <c r="AD42" s="7" t="s">
        <v>320</v>
      </c>
      <c r="AE42" s="7">
        <v>7.0000000000000007E-2</v>
      </c>
      <c r="AF42" s="7" t="s">
        <v>162</v>
      </c>
      <c r="AG42" s="7">
        <v>0.15</v>
      </c>
      <c r="AH42" s="7">
        <v>7.0000000000000007E-2</v>
      </c>
      <c r="AI42" s="7">
        <v>5</v>
      </c>
      <c r="AJ42" s="7">
        <v>4653</v>
      </c>
      <c r="AK42" s="7">
        <v>16813.53</v>
      </c>
      <c r="AL42" s="7"/>
      <c r="AM42" s="7" t="s">
        <v>343</v>
      </c>
      <c r="AN42" s="7"/>
      <c r="AO42" s="7">
        <v>94.7</v>
      </c>
      <c r="AP42" s="7">
        <v>60</v>
      </c>
      <c r="AQ42" s="7" t="s">
        <v>337</v>
      </c>
      <c r="AR42" s="7" t="s">
        <v>224</v>
      </c>
      <c r="AS42" s="7"/>
    </row>
    <row r="43" spans="1:45" x14ac:dyDescent="0.3">
      <c r="A43" s="6" t="s">
        <v>465</v>
      </c>
      <c r="B43" s="6" t="s">
        <v>4368</v>
      </c>
      <c r="C43" s="6" t="s">
        <v>247</v>
      </c>
      <c r="D43" s="6" t="s">
        <v>238</v>
      </c>
      <c r="E43" s="6"/>
      <c r="F43" s="6" t="s">
        <v>350</v>
      </c>
      <c r="G43" s="6" t="s">
        <v>70</v>
      </c>
      <c r="H43" s="6" t="s">
        <v>263</v>
      </c>
      <c r="I43" s="6" t="s">
        <v>4291</v>
      </c>
      <c r="J43" s="6" t="s">
        <v>105</v>
      </c>
      <c r="K43" s="6" t="s">
        <v>199</v>
      </c>
      <c r="L43" s="6" t="s">
        <v>466</v>
      </c>
      <c r="M43" s="6" t="s">
        <v>4369</v>
      </c>
      <c r="N43" s="6"/>
      <c r="O43" s="6" t="s">
        <v>3355</v>
      </c>
      <c r="P43" s="6">
        <v>40</v>
      </c>
      <c r="Q43" s="6">
        <v>48029252</v>
      </c>
      <c r="R43" s="6">
        <v>0.28999999999999998</v>
      </c>
      <c r="S43" s="6">
        <v>0.18</v>
      </c>
      <c r="T43" s="6">
        <v>40238907.329999998</v>
      </c>
      <c r="U43" s="6">
        <v>25177815.699999999</v>
      </c>
      <c r="V43" s="6">
        <v>0.33</v>
      </c>
      <c r="W43" s="6">
        <v>0.16</v>
      </c>
      <c r="X43" s="6" t="s">
        <v>467</v>
      </c>
      <c r="Y43" s="6">
        <v>12248134.140000001</v>
      </c>
      <c r="Z43" s="6">
        <v>9200388.7799999993</v>
      </c>
      <c r="AA43" s="6">
        <v>120</v>
      </c>
      <c r="AB43" s="6">
        <v>100</v>
      </c>
      <c r="AC43" s="6" t="s">
        <v>347</v>
      </c>
      <c r="AD43" s="6" t="s">
        <v>354</v>
      </c>
      <c r="AE43" s="6">
        <v>0.69</v>
      </c>
      <c r="AF43" s="6"/>
      <c r="AG43" s="6">
        <v>0.15</v>
      </c>
      <c r="AH43" s="6">
        <v>0.04</v>
      </c>
      <c r="AI43" s="6">
        <v>4</v>
      </c>
      <c r="AJ43" s="6">
        <v>2964</v>
      </c>
      <c r="AK43" s="6">
        <v>852859.66</v>
      </c>
      <c r="AL43" s="6">
        <v>9816965.4600000009</v>
      </c>
      <c r="AM43" s="6" t="s">
        <v>385</v>
      </c>
      <c r="AN43" s="6" t="s">
        <v>321</v>
      </c>
      <c r="AO43" s="6">
        <v>69</v>
      </c>
      <c r="AP43" s="6">
        <v>24</v>
      </c>
      <c r="AQ43" s="6" t="s">
        <v>4275</v>
      </c>
      <c r="AR43" s="6" t="s">
        <v>192</v>
      </c>
      <c r="AS43" s="6" t="s">
        <v>324</v>
      </c>
    </row>
    <row r="44" spans="1:45" x14ac:dyDescent="0.3">
      <c r="A44" s="7" t="s">
        <v>468</v>
      </c>
      <c r="B44" s="7" t="s">
        <v>4370</v>
      </c>
      <c r="C44" s="7" t="s">
        <v>225</v>
      </c>
      <c r="D44" s="7" t="s">
        <v>238</v>
      </c>
      <c r="E44" s="7" t="s">
        <v>113</v>
      </c>
      <c r="F44" s="7" t="s">
        <v>367</v>
      </c>
      <c r="G44" s="7" t="s">
        <v>66</v>
      </c>
      <c r="H44" s="7" t="s">
        <v>4280</v>
      </c>
      <c r="I44" s="7" t="s">
        <v>191</v>
      </c>
      <c r="J44" s="7" t="s">
        <v>127</v>
      </c>
      <c r="K44" s="7" t="s">
        <v>221</v>
      </c>
      <c r="L44" s="7" t="s">
        <v>469</v>
      </c>
      <c r="M44" s="7" t="s">
        <v>4371</v>
      </c>
      <c r="N44" s="7" t="s">
        <v>470</v>
      </c>
      <c r="O44" s="7" t="s">
        <v>4274</v>
      </c>
      <c r="P44" s="7">
        <v>28</v>
      </c>
      <c r="Q44" s="7">
        <v>6214218</v>
      </c>
      <c r="R44" s="7">
        <v>0.13</v>
      </c>
      <c r="S44" s="7">
        <v>-0.03</v>
      </c>
      <c r="T44" s="7">
        <v>5244178.57</v>
      </c>
      <c r="U44" s="7">
        <v>4122226.72</v>
      </c>
      <c r="V44" s="7">
        <v>0.17</v>
      </c>
      <c r="W44" s="7">
        <v>0.1</v>
      </c>
      <c r="X44" s="7" t="s">
        <v>471</v>
      </c>
      <c r="Y44" s="7">
        <v>2928020.13</v>
      </c>
      <c r="Z44" s="7">
        <v>1638356.87</v>
      </c>
      <c r="AA44" s="7">
        <v>90</v>
      </c>
      <c r="AB44" s="7">
        <v>4</v>
      </c>
      <c r="AC44" s="7" t="s">
        <v>376</v>
      </c>
      <c r="AD44" s="7" t="s">
        <v>406</v>
      </c>
      <c r="AE44" s="7">
        <v>0.32</v>
      </c>
      <c r="AF44" s="7" t="s">
        <v>159</v>
      </c>
      <c r="AG44" s="7">
        <v>0.1</v>
      </c>
      <c r="AH44" s="7">
        <v>0.08</v>
      </c>
      <c r="AI44" s="7">
        <v>7</v>
      </c>
      <c r="AJ44" s="7">
        <v>1655</v>
      </c>
      <c r="AK44" s="7">
        <v>319142.73</v>
      </c>
      <c r="AL44" s="7">
        <v>1193863.82</v>
      </c>
      <c r="AM44" s="7" t="s">
        <v>355</v>
      </c>
      <c r="AN44" s="7"/>
      <c r="AO44" s="7">
        <v>82.6</v>
      </c>
      <c r="AP44" s="7">
        <v>48</v>
      </c>
      <c r="AQ44" s="7" t="s">
        <v>387</v>
      </c>
      <c r="AR44" s="7" t="s">
        <v>192</v>
      </c>
      <c r="AS44" s="7" t="s">
        <v>361</v>
      </c>
    </row>
    <row r="45" spans="1:45" x14ac:dyDescent="0.3">
      <c r="A45" s="6" t="s">
        <v>472</v>
      </c>
      <c r="B45" s="6" t="s">
        <v>3357</v>
      </c>
      <c r="C45" s="6" t="s">
        <v>280</v>
      </c>
      <c r="D45" s="6" t="s">
        <v>281</v>
      </c>
      <c r="E45" s="6"/>
      <c r="F45" s="6" t="s">
        <v>19</v>
      </c>
      <c r="G45" s="6" t="s">
        <v>73</v>
      </c>
      <c r="H45" s="6" t="s">
        <v>4280</v>
      </c>
      <c r="I45" s="6" t="s">
        <v>4372</v>
      </c>
      <c r="J45" s="6" t="s">
        <v>105</v>
      </c>
      <c r="K45" s="6" t="s">
        <v>326</v>
      </c>
      <c r="L45" s="6" t="s">
        <v>473</v>
      </c>
      <c r="M45" s="6" t="s">
        <v>4373</v>
      </c>
      <c r="N45" s="6" t="s">
        <v>3331</v>
      </c>
      <c r="O45" s="6" t="s">
        <v>4274</v>
      </c>
      <c r="P45" s="6">
        <v>45</v>
      </c>
      <c r="Q45" s="6">
        <v>13608354</v>
      </c>
      <c r="R45" s="6">
        <v>0.21</v>
      </c>
      <c r="S45" s="6">
        <v>0.09</v>
      </c>
      <c r="T45" s="6">
        <v>11718153.630000001</v>
      </c>
      <c r="U45" s="6">
        <v>9305385.2599999998</v>
      </c>
      <c r="V45" s="6" t="s">
        <v>4374</v>
      </c>
      <c r="W45" s="6">
        <v>0.2</v>
      </c>
      <c r="X45" s="6" t="s">
        <v>474</v>
      </c>
      <c r="Y45" s="6">
        <v>7376059.04</v>
      </c>
      <c r="Z45" s="6">
        <v>5458868.7999999998</v>
      </c>
      <c r="AA45" s="6">
        <v>90</v>
      </c>
      <c r="AB45" s="6">
        <v>54</v>
      </c>
      <c r="AC45" s="6" t="s">
        <v>353</v>
      </c>
      <c r="AD45" s="6" t="s">
        <v>336</v>
      </c>
      <c r="AE45" s="6">
        <v>0.46</v>
      </c>
      <c r="AF45" s="6" t="s">
        <v>4294</v>
      </c>
      <c r="AG45" s="6">
        <v>0.1</v>
      </c>
      <c r="AH45" s="6">
        <v>0.08</v>
      </c>
      <c r="AI45" s="6">
        <v>2</v>
      </c>
      <c r="AJ45" s="6"/>
      <c r="AK45" s="6">
        <v>1610725.08</v>
      </c>
      <c r="AL45" s="6">
        <v>3892856.39</v>
      </c>
      <c r="AM45" s="6" t="s">
        <v>321</v>
      </c>
      <c r="AN45" s="6" t="s">
        <v>356</v>
      </c>
      <c r="AO45" s="6">
        <v>98.3</v>
      </c>
      <c r="AP45" s="6">
        <v>48</v>
      </c>
      <c r="AQ45" s="6" t="s">
        <v>4275</v>
      </c>
      <c r="AR45" s="6" t="s">
        <v>186</v>
      </c>
      <c r="AS45" s="6" t="s">
        <v>188</v>
      </c>
    </row>
    <row r="46" spans="1:45" x14ac:dyDescent="0.3">
      <c r="A46" s="7" t="s">
        <v>475</v>
      </c>
      <c r="B46" s="7" t="s">
        <v>4375</v>
      </c>
      <c r="C46" s="7" t="s">
        <v>189</v>
      </c>
      <c r="D46" s="7" t="s">
        <v>255</v>
      </c>
      <c r="E46" s="7" t="s">
        <v>4376</v>
      </c>
      <c r="F46" s="7" t="s">
        <v>31</v>
      </c>
      <c r="G46" s="7" t="s">
        <v>54</v>
      </c>
      <c r="H46" s="7"/>
      <c r="I46" s="7" t="s">
        <v>4272</v>
      </c>
      <c r="J46" s="7" t="s">
        <v>136</v>
      </c>
      <c r="K46" s="7" t="s">
        <v>221</v>
      </c>
      <c r="L46" s="7" t="s">
        <v>476</v>
      </c>
      <c r="M46" s="7" t="s">
        <v>3358</v>
      </c>
      <c r="N46" s="7" t="s">
        <v>3359</v>
      </c>
      <c r="O46" s="7" t="s">
        <v>3360</v>
      </c>
      <c r="P46" s="7">
        <v>14</v>
      </c>
      <c r="Q46" s="7">
        <v>32598219</v>
      </c>
      <c r="R46" s="7">
        <v>0.05</v>
      </c>
      <c r="S46" s="7">
        <v>0.05</v>
      </c>
      <c r="T46" s="7">
        <v>32516723.449999999</v>
      </c>
      <c r="U46" s="7">
        <v>23725513.010000002</v>
      </c>
      <c r="V46" s="7" t="s">
        <v>4374</v>
      </c>
      <c r="W46" s="7">
        <v>0.14000000000000001</v>
      </c>
      <c r="X46" s="7" t="s">
        <v>477</v>
      </c>
      <c r="Y46" s="7">
        <v>28207239.359999999</v>
      </c>
      <c r="Z46" s="7">
        <v>11081368.289999999</v>
      </c>
      <c r="AA46" s="7">
        <v>45</v>
      </c>
      <c r="AB46" s="7">
        <v>90</v>
      </c>
      <c r="AC46" s="7" t="s">
        <v>353</v>
      </c>
      <c r="AD46" s="7" t="s">
        <v>320</v>
      </c>
      <c r="AE46" s="7">
        <v>0.34</v>
      </c>
      <c r="AF46" s="7" t="s">
        <v>4294</v>
      </c>
      <c r="AG46" s="7">
        <v>0.1</v>
      </c>
      <c r="AH46" s="7">
        <v>0.08</v>
      </c>
      <c r="AI46" s="7">
        <v>15</v>
      </c>
      <c r="AJ46" s="7">
        <v>522</v>
      </c>
      <c r="AK46" s="7">
        <v>6629689.79</v>
      </c>
      <c r="AL46" s="7">
        <v>8009428.6600000001</v>
      </c>
      <c r="AM46" s="7" t="s">
        <v>343</v>
      </c>
      <c r="AN46" s="7" t="s">
        <v>322</v>
      </c>
      <c r="AO46" s="7">
        <v>71.5</v>
      </c>
      <c r="AP46" s="7">
        <v>12</v>
      </c>
      <c r="AQ46" s="7" t="s">
        <v>4275</v>
      </c>
      <c r="AR46" s="7" t="s">
        <v>229</v>
      </c>
      <c r="AS46" s="7" t="s">
        <v>188</v>
      </c>
    </row>
    <row r="47" spans="1:45" x14ac:dyDescent="0.3">
      <c r="A47" s="6" t="s">
        <v>478</v>
      </c>
      <c r="B47" s="6" t="s">
        <v>3361</v>
      </c>
      <c r="C47" s="6" t="s">
        <v>257</v>
      </c>
      <c r="D47" s="6" t="s">
        <v>245</v>
      </c>
      <c r="E47" s="6" t="s">
        <v>4325</v>
      </c>
      <c r="F47" s="6" t="s">
        <v>339</v>
      </c>
      <c r="G47" s="6" t="s">
        <v>28</v>
      </c>
      <c r="H47" s="6" t="s">
        <v>197</v>
      </c>
      <c r="I47" s="6" t="s">
        <v>4272</v>
      </c>
      <c r="J47" s="6" t="s">
        <v>115</v>
      </c>
      <c r="K47" s="6" t="s">
        <v>204</v>
      </c>
      <c r="L47" s="6" t="s">
        <v>479</v>
      </c>
      <c r="M47" s="6" t="s">
        <v>4377</v>
      </c>
      <c r="N47" s="6"/>
      <c r="O47" s="6" t="s">
        <v>4378</v>
      </c>
      <c r="P47" s="6">
        <v>3</v>
      </c>
      <c r="Q47" s="6">
        <v>26543182</v>
      </c>
      <c r="R47" s="6">
        <v>0.21</v>
      </c>
      <c r="S47" s="6">
        <v>0.04</v>
      </c>
      <c r="T47" s="6">
        <v>21807878.329999998</v>
      </c>
      <c r="U47" s="6">
        <v>14361328.52</v>
      </c>
      <c r="V47" s="6">
        <v>0.25</v>
      </c>
      <c r="W47" s="6">
        <v>0.15</v>
      </c>
      <c r="X47" s="6" t="s">
        <v>480</v>
      </c>
      <c r="Y47" s="6">
        <v>16763500.880000001</v>
      </c>
      <c r="Z47" s="6">
        <v>13308378.119999999</v>
      </c>
      <c r="AA47" s="6">
        <v>60</v>
      </c>
      <c r="AB47" s="6">
        <v>158</v>
      </c>
      <c r="AC47" s="6" t="s">
        <v>329</v>
      </c>
      <c r="AD47" s="6" t="s">
        <v>320</v>
      </c>
      <c r="AE47" s="6">
        <v>0.6</v>
      </c>
      <c r="AF47" s="6" t="s">
        <v>159</v>
      </c>
      <c r="AG47" s="6">
        <v>0.15</v>
      </c>
      <c r="AH47" s="6">
        <v>0.02</v>
      </c>
      <c r="AI47" s="6">
        <v>3</v>
      </c>
      <c r="AJ47" s="6">
        <v>262</v>
      </c>
      <c r="AK47" s="6">
        <v>1542292.11</v>
      </c>
      <c r="AL47" s="6"/>
      <c r="AM47" s="6" t="s">
        <v>343</v>
      </c>
      <c r="AN47" s="6" t="s">
        <v>330</v>
      </c>
      <c r="AO47" s="6">
        <v>70.8</v>
      </c>
      <c r="AP47" s="6">
        <v>36</v>
      </c>
      <c r="AQ47" s="6"/>
      <c r="AR47" s="6" t="s">
        <v>206</v>
      </c>
      <c r="AS47" s="6"/>
    </row>
    <row r="48" spans="1:45" x14ac:dyDescent="0.3">
      <c r="A48" s="7" t="s">
        <v>481</v>
      </c>
      <c r="B48" s="7" t="s">
        <v>3364</v>
      </c>
      <c r="C48" s="7" t="s">
        <v>231</v>
      </c>
      <c r="D48" s="7" t="s">
        <v>274</v>
      </c>
      <c r="E48" s="7" t="s">
        <v>20</v>
      </c>
      <c r="F48" s="7" t="s">
        <v>35</v>
      </c>
      <c r="G48" s="7" t="s">
        <v>16</v>
      </c>
      <c r="H48" s="7" t="s">
        <v>4340</v>
      </c>
      <c r="I48" s="7" t="s">
        <v>240</v>
      </c>
      <c r="J48" s="7" t="s">
        <v>136</v>
      </c>
      <c r="K48" s="7" t="s">
        <v>204</v>
      </c>
      <c r="L48" s="7" t="s">
        <v>482</v>
      </c>
      <c r="M48" s="7" t="s">
        <v>3365</v>
      </c>
      <c r="N48" s="7" t="s">
        <v>4379</v>
      </c>
      <c r="O48" s="7" t="s">
        <v>4380</v>
      </c>
      <c r="P48" s="7">
        <v>41</v>
      </c>
      <c r="Q48" s="7">
        <v>38634189</v>
      </c>
      <c r="R48" s="7">
        <v>0.05</v>
      </c>
      <c r="S48" s="7">
        <v>0.14000000000000001</v>
      </c>
      <c r="T48" s="7">
        <v>41840826.689999998</v>
      </c>
      <c r="U48" s="7">
        <v>29167076.469999999</v>
      </c>
      <c r="V48" s="7">
        <v>0.15</v>
      </c>
      <c r="W48" s="7">
        <v>0.09</v>
      </c>
      <c r="X48" s="7" t="s">
        <v>483</v>
      </c>
      <c r="Y48" s="7">
        <v>31371849.629999999</v>
      </c>
      <c r="Z48" s="7">
        <v>18618860.77</v>
      </c>
      <c r="AA48" s="7">
        <v>30</v>
      </c>
      <c r="AB48" s="7">
        <v>113</v>
      </c>
      <c r="AC48" s="7" t="s">
        <v>329</v>
      </c>
      <c r="AD48" s="7" t="s">
        <v>320</v>
      </c>
      <c r="AE48" s="7">
        <v>0.56000000000000005</v>
      </c>
      <c r="AF48" s="7" t="s">
        <v>4276</v>
      </c>
      <c r="AG48" s="7">
        <v>0.1</v>
      </c>
      <c r="AH48" s="7">
        <v>0.02</v>
      </c>
      <c r="AI48" s="7">
        <v>7</v>
      </c>
      <c r="AJ48" s="7">
        <v>495</v>
      </c>
      <c r="AK48" s="7">
        <v>9180753.7699999996</v>
      </c>
      <c r="AL48" s="7">
        <v>18679063.77</v>
      </c>
      <c r="AM48" s="7"/>
      <c r="AN48" s="7"/>
      <c r="AO48" s="7">
        <v>95</v>
      </c>
      <c r="AP48" s="7">
        <v>36</v>
      </c>
      <c r="AQ48" s="7" t="s">
        <v>387</v>
      </c>
      <c r="AR48" s="7" t="s">
        <v>186</v>
      </c>
      <c r="AS48" s="7" t="s">
        <v>377</v>
      </c>
    </row>
    <row r="49" spans="1:45" x14ac:dyDescent="0.3">
      <c r="A49" s="6" t="s">
        <v>484</v>
      </c>
      <c r="B49" s="6" t="s">
        <v>3309</v>
      </c>
      <c r="C49" s="6" t="s">
        <v>208</v>
      </c>
      <c r="D49" s="6" t="s">
        <v>190</v>
      </c>
      <c r="E49" s="6" t="s">
        <v>52</v>
      </c>
      <c r="F49" s="6" t="s">
        <v>75</v>
      </c>
      <c r="G49" s="6" t="s">
        <v>46</v>
      </c>
      <c r="H49" s="6" t="s">
        <v>4271</v>
      </c>
      <c r="I49" s="6" t="s">
        <v>198</v>
      </c>
      <c r="J49" s="6" t="s">
        <v>133</v>
      </c>
      <c r="K49" s="6" t="s">
        <v>223</v>
      </c>
      <c r="L49" s="6" t="s">
        <v>485</v>
      </c>
      <c r="M49" s="6" t="s">
        <v>4381</v>
      </c>
      <c r="N49" s="6" t="s">
        <v>486</v>
      </c>
      <c r="O49" s="6" t="s">
        <v>4382</v>
      </c>
      <c r="P49" s="6" t="s">
        <v>4275</v>
      </c>
      <c r="Q49" s="6">
        <v>27998175</v>
      </c>
      <c r="R49" s="6">
        <v>0.14000000000000001</v>
      </c>
      <c r="S49" s="6">
        <v>-0.03</v>
      </c>
      <c r="T49" s="6">
        <v>23356077.59</v>
      </c>
      <c r="U49" s="6">
        <v>19876270.859999999</v>
      </c>
      <c r="V49" s="6" t="s">
        <v>4374</v>
      </c>
      <c r="W49" s="6">
        <v>0.19</v>
      </c>
      <c r="X49" s="6" t="s">
        <v>487</v>
      </c>
      <c r="Y49" s="6">
        <v>16942705.059999999</v>
      </c>
      <c r="Z49" s="6">
        <v>15504394.57</v>
      </c>
      <c r="AA49" s="6">
        <v>90</v>
      </c>
      <c r="AB49" s="6">
        <v>132</v>
      </c>
      <c r="AC49" s="6"/>
      <c r="AD49" s="6" t="s">
        <v>381</v>
      </c>
      <c r="AE49" s="6">
        <v>0.75</v>
      </c>
      <c r="AF49" s="6"/>
      <c r="AG49" s="6">
        <v>0.15</v>
      </c>
      <c r="AH49" s="6">
        <v>0.09</v>
      </c>
      <c r="AI49" s="6">
        <v>11</v>
      </c>
      <c r="AJ49" s="6">
        <v>2482</v>
      </c>
      <c r="AK49" s="6">
        <v>5477627.9900000002</v>
      </c>
      <c r="AL49" s="6">
        <v>8451050.6699999999</v>
      </c>
      <c r="AM49" s="6" t="s">
        <v>385</v>
      </c>
      <c r="AN49" s="6" t="s">
        <v>322</v>
      </c>
      <c r="AO49" s="6">
        <v>50</v>
      </c>
      <c r="AP49" s="6">
        <v>36</v>
      </c>
      <c r="AQ49" s="6" t="s">
        <v>323</v>
      </c>
      <c r="AR49" s="6" t="s">
        <v>224</v>
      </c>
      <c r="AS49" s="6" t="s">
        <v>377</v>
      </c>
    </row>
    <row r="50" spans="1:45" x14ac:dyDescent="0.3">
      <c r="A50" s="7" t="s">
        <v>488</v>
      </c>
      <c r="B50" s="7" t="s">
        <v>4383</v>
      </c>
      <c r="C50" s="7" t="s">
        <v>214</v>
      </c>
      <c r="D50" s="7" t="s">
        <v>255</v>
      </c>
      <c r="E50" s="7"/>
      <c r="F50" s="7" t="s">
        <v>75</v>
      </c>
      <c r="G50" s="7" t="s">
        <v>78</v>
      </c>
      <c r="H50" s="7" t="s">
        <v>4280</v>
      </c>
      <c r="I50" s="7" t="s">
        <v>4272</v>
      </c>
      <c r="J50" s="7" t="s">
        <v>105</v>
      </c>
      <c r="K50" s="7" t="s">
        <v>204</v>
      </c>
      <c r="L50" s="7" t="s">
        <v>489</v>
      </c>
      <c r="M50" s="7" t="s">
        <v>3368</v>
      </c>
      <c r="N50" s="7" t="s">
        <v>3369</v>
      </c>
      <c r="O50" s="7" t="s">
        <v>3370</v>
      </c>
      <c r="P50" s="7">
        <v>42</v>
      </c>
      <c r="Q50" s="7">
        <v>44188869</v>
      </c>
      <c r="R50" s="7">
        <v>0.04</v>
      </c>
      <c r="S50" s="7">
        <v>-0.03</v>
      </c>
      <c r="T50" s="7">
        <v>41148674.810000002</v>
      </c>
      <c r="U50" s="7">
        <v>35305100.369999997</v>
      </c>
      <c r="V50" s="7">
        <v>0.09</v>
      </c>
      <c r="W50" s="7">
        <v>0.16</v>
      </c>
      <c r="X50" s="7" t="s">
        <v>490</v>
      </c>
      <c r="Y50" s="7">
        <v>9522132.5600000005</v>
      </c>
      <c r="Z50" s="7">
        <v>3450354.04</v>
      </c>
      <c r="AA50" s="7">
        <v>120</v>
      </c>
      <c r="AB50" s="7">
        <v>58</v>
      </c>
      <c r="AC50" s="7"/>
      <c r="AD50" s="7" t="s">
        <v>336</v>
      </c>
      <c r="AE50" s="7">
        <v>0.54</v>
      </c>
      <c r="AF50" s="7" t="s">
        <v>159</v>
      </c>
      <c r="AG50" s="7">
        <v>0.1</v>
      </c>
      <c r="AH50" s="7">
        <v>0.01</v>
      </c>
      <c r="AI50" s="7">
        <v>10</v>
      </c>
      <c r="AJ50" s="7">
        <v>2278</v>
      </c>
      <c r="AK50" s="7">
        <v>3171674.69</v>
      </c>
      <c r="AL50" s="7">
        <v>15985102.060000001</v>
      </c>
      <c r="AM50" s="7"/>
      <c r="AN50" s="7" t="s">
        <v>348</v>
      </c>
      <c r="AO50" s="7">
        <v>67.599999999999994</v>
      </c>
      <c r="AP50" s="7">
        <v>12</v>
      </c>
      <c r="AQ50" s="7" t="s">
        <v>4275</v>
      </c>
      <c r="AR50" s="7" t="s">
        <v>229</v>
      </c>
      <c r="AS50" s="7" t="s">
        <v>324</v>
      </c>
    </row>
    <row r="51" spans="1:45" x14ac:dyDescent="0.3">
      <c r="A51" s="6" t="s">
        <v>491</v>
      </c>
      <c r="B51" s="6" t="s">
        <v>3371</v>
      </c>
      <c r="C51" s="6" t="s">
        <v>285</v>
      </c>
      <c r="D51" s="6" t="s">
        <v>202</v>
      </c>
      <c r="E51" s="6" t="s">
        <v>4270</v>
      </c>
      <c r="F51" s="6" t="s">
        <v>367</v>
      </c>
      <c r="G51" s="6" t="s">
        <v>28</v>
      </c>
      <c r="H51" s="6" t="s">
        <v>4280</v>
      </c>
      <c r="I51" s="6"/>
      <c r="J51" s="6" t="s">
        <v>111</v>
      </c>
      <c r="K51" s="6" t="s">
        <v>326</v>
      </c>
      <c r="L51" s="6" t="s">
        <v>492</v>
      </c>
      <c r="M51" s="6" t="s">
        <v>4384</v>
      </c>
      <c r="N51" s="6" t="s">
        <v>3372</v>
      </c>
      <c r="O51" s="6" t="s">
        <v>3373</v>
      </c>
      <c r="P51" s="6">
        <v>37</v>
      </c>
      <c r="Q51" s="6">
        <v>43563719</v>
      </c>
      <c r="R51" s="6">
        <v>0.03</v>
      </c>
      <c r="S51" s="6">
        <v>0.17</v>
      </c>
      <c r="T51" s="6">
        <v>49440464.689999998</v>
      </c>
      <c r="U51" s="6">
        <v>33779718.950000003</v>
      </c>
      <c r="V51" s="6">
        <v>0.23</v>
      </c>
      <c r="W51" s="6">
        <v>0.08</v>
      </c>
      <c r="X51" s="6" t="s">
        <v>493</v>
      </c>
      <c r="Y51" s="6">
        <v>42591515.909999996</v>
      </c>
      <c r="Z51" s="6" t="s">
        <v>4357</v>
      </c>
      <c r="AA51" s="6">
        <v>30</v>
      </c>
      <c r="AB51" s="6">
        <v>62</v>
      </c>
      <c r="AC51" s="6" t="s">
        <v>347</v>
      </c>
      <c r="AD51" s="6" t="s">
        <v>455</v>
      </c>
      <c r="AE51" s="6">
        <v>0.52</v>
      </c>
      <c r="AF51" s="6" t="s">
        <v>4312</v>
      </c>
      <c r="AG51" s="6">
        <v>0.15</v>
      </c>
      <c r="AH51" s="6">
        <v>0.02</v>
      </c>
      <c r="AI51" s="6">
        <v>0</v>
      </c>
      <c r="AJ51" s="6">
        <v>551</v>
      </c>
      <c r="AK51" s="6">
        <v>5963597.3399999999</v>
      </c>
      <c r="AL51" s="6">
        <v>9663383.8100000005</v>
      </c>
      <c r="AM51" s="6"/>
      <c r="AN51" s="6"/>
      <c r="AO51" s="6">
        <v>66.3</v>
      </c>
      <c r="AP51" s="6">
        <v>48</v>
      </c>
      <c r="AQ51" s="6" t="s">
        <v>323</v>
      </c>
      <c r="AR51" s="6" t="s">
        <v>192</v>
      </c>
      <c r="AS51" s="6" t="s">
        <v>361</v>
      </c>
    </row>
    <row r="52" spans="1:45" x14ac:dyDescent="0.3">
      <c r="A52" s="7" t="s">
        <v>494</v>
      </c>
      <c r="B52" s="7" t="s">
        <v>4385</v>
      </c>
      <c r="C52" s="7" t="s">
        <v>275</v>
      </c>
      <c r="D52" s="7" t="s">
        <v>394</v>
      </c>
      <c r="E52" s="7" t="s">
        <v>4306</v>
      </c>
      <c r="F52" s="7"/>
      <c r="G52" s="7" t="s">
        <v>73</v>
      </c>
      <c r="H52" s="7" t="s">
        <v>182</v>
      </c>
      <c r="I52" s="7" t="s">
        <v>213</v>
      </c>
      <c r="J52" s="7" t="s">
        <v>133</v>
      </c>
      <c r="K52" s="7" t="s">
        <v>223</v>
      </c>
      <c r="L52" s="7" t="s">
        <v>495</v>
      </c>
      <c r="M52" s="7" t="s">
        <v>4386</v>
      </c>
      <c r="N52" s="7" t="s">
        <v>3375</v>
      </c>
      <c r="O52" s="7" t="s">
        <v>4387</v>
      </c>
      <c r="P52" s="7" t="s">
        <v>4275</v>
      </c>
      <c r="Q52" s="7">
        <v>9408127</v>
      </c>
      <c r="R52" s="7">
        <v>0.25</v>
      </c>
      <c r="S52" s="7">
        <v>-0.01</v>
      </c>
      <c r="T52" s="7">
        <v>6985534.2999999998</v>
      </c>
      <c r="U52" s="7">
        <v>4703817.34</v>
      </c>
      <c r="V52" s="7">
        <v>0.18</v>
      </c>
      <c r="W52" s="7">
        <v>7.0000000000000007E-2</v>
      </c>
      <c r="X52" s="7" t="s">
        <v>496</v>
      </c>
      <c r="Y52" s="7">
        <v>6008004.9800000004</v>
      </c>
      <c r="Z52" s="7">
        <v>4316176.55</v>
      </c>
      <c r="AA52" s="7">
        <v>60</v>
      </c>
      <c r="AB52" s="7">
        <v>43</v>
      </c>
      <c r="AC52" s="7"/>
      <c r="AD52" s="7" t="s">
        <v>455</v>
      </c>
      <c r="AE52" s="7">
        <v>0.4</v>
      </c>
      <c r="AF52" s="7" t="s">
        <v>4303</v>
      </c>
      <c r="AG52" s="7">
        <v>0.15</v>
      </c>
      <c r="AH52" s="7">
        <v>0.08</v>
      </c>
      <c r="AI52" s="7">
        <v>8</v>
      </c>
      <c r="AJ52" s="7">
        <v>2043</v>
      </c>
      <c r="AK52" s="7">
        <v>1296977.76</v>
      </c>
      <c r="AL52" s="7">
        <v>916186.55</v>
      </c>
      <c r="AM52" s="7" t="s">
        <v>391</v>
      </c>
      <c r="AN52" s="7"/>
      <c r="AO52" s="7"/>
      <c r="AP52" s="7">
        <v>60</v>
      </c>
      <c r="AQ52" s="7" t="s">
        <v>392</v>
      </c>
      <c r="AR52" s="7" t="s">
        <v>229</v>
      </c>
      <c r="AS52" s="7"/>
    </row>
    <row r="53" spans="1:45" x14ac:dyDescent="0.3">
      <c r="A53" s="6" t="s">
        <v>497</v>
      </c>
      <c r="B53" s="6" t="s">
        <v>4388</v>
      </c>
      <c r="C53" s="6" t="s">
        <v>222</v>
      </c>
      <c r="D53" s="6" t="s">
        <v>274</v>
      </c>
      <c r="E53" s="6" t="s">
        <v>41</v>
      </c>
      <c r="F53" s="6" t="s">
        <v>363</v>
      </c>
      <c r="G53" s="6" t="s">
        <v>54</v>
      </c>
      <c r="H53" s="6" t="s">
        <v>197</v>
      </c>
      <c r="I53" s="6" t="s">
        <v>4307</v>
      </c>
      <c r="J53" s="6" t="s">
        <v>105</v>
      </c>
      <c r="K53" s="6" t="s">
        <v>184</v>
      </c>
      <c r="L53" s="6" t="s">
        <v>498</v>
      </c>
      <c r="M53" s="6" t="s">
        <v>4389</v>
      </c>
      <c r="N53" s="6" t="s">
        <v>4390</v>
      </c>
      <c r="O53" s="6" t="s">
        <v>4274</v>
      </c>
      <c r="P53" s="6">
        <v>18</v>
      </c>
      <c r="Q53" s="6" t="s">
        <v>4275</v>
      </c>
      <c r="R53" s="6">
        <v>0.3</v>
      </c>
      <c r="S53" s="6">
        <v>0.14000000000000001</v>
      </c>
      <c r="T53" s="6">
        <v>25066728.920000002</v>
      </c>
      <c r="U53" s="6">
        <v>22268166.960000001</v>
      </c>
      <c r="V53" s="6">
        <v>0.1</v>
      </c>
      <c r="W53" s="6">
        <v>0.09</v>
      </c>
      <c r="X53" s="6" t="s">
        <v>499</v>
      </c>
      <c r="Y53" s="6">
        <v>7873286.79</v>
      </c>
      <c r="Z53" s="6">
        <v>2906096.43</v>
      </c>
      <c r="AA53" s="6">
        <v>90</v>
      </c>
      <c r="AB53" s="6">
        <v>3</v>
      </c>
      <c r="AC53" s="6" t="s">
        <v>376</v>
      </c>
      <c r="AD53" s="6" t="s">
        <v>406</v>
      </c>
      <c r="AE53" s="6">
        <v>0.4</v>
      </c>
      <c r="AF53" s="6" t="s">
        <v>4294</v>
      </c>
      <c r="AG53" s="6">
        <v>0.1</v>
      </c>
      <c r="AH53" s="6">
        <v>0.06</v>
      </c>
      <c r="AI53" s="6">
        <v>9</v>
      </c>
      <c r="AJ53" s="6">
        <v>3765</v>
      </c>
      <c r="AK53" s="6">
        <v>990826.53</v>
      </c>
      <c r="AL53" s="6">
        <v>3845375.09</v>
      </c>
      <c r="AM53" s="6" t="s">
        <v>385</v>
      </c>
      <c r="AN53" s="6" t="s">
        <v>321</v>
      </c>
      <c r="AO53" s="6">
        <v>94.9</v>
      </c>
      <c r="AP53" s="6">
        <v>12</v>
      </c>
      <c r="AQ53" s="6"/>
      <c r="AR53" s="6" t="s">
        <v>186</v>
      </c>
      <c r="AS53" s="6" t="s">
        <v>357</v>
      </c>
    </row>
    <row r="54" spans="1:45" x14ac:dyDescent="0.3">
      <c r="A54" s="7" t="s">
        <v>500</v>
      </c>
      <c r="B54" s="7" t="s">
        <v>4391</v>
      </c>
      <c r="C54" s="7" t="s">
        <v>260</v>
      </c>
      <c r="D54" s="7" t="s">
        <v>232</v>
      </c>
      <c r="E54" s="7" t="s">
        <v>36</v>
      </c>
      <c r="F54" s="7" t="s">
        <v>339</v>
      </c>
      <c r="G54" s="7" t="s">
        <v>46</v>
      </c>
      <c r="H54" s="7" t="s">
        <v>4280</v>
      </c>
      <c r="I54" s="7" t="s">
        <v>203</v>
      </c>
      <c r="J54" s="7" t="s">
        <v>115</v>
      </c>
      <c r="K54" s="7" t="s">
        <v>184</v>
      </c>
      <c r="L54" s="7" t="s">
        <v>501</v>
      </c>
      <c r="M54" s="7" t="s">
        <v>4392</v>
      </c>
      <c r="N54" s="7"/>
      <c r="O54" s="7" t="s">
        <v>3378</v>
      </c>
      <c r="P54" s="7">
        <v>46</v>
      </c>
      <c r="Q54" s="7">
        <v>26570607</v>
      </c>
      <c r="R54" s="7">
        <v>0.25</v>
      </c>
      <c r="S54" s="7">
        <v>0.13</v>
      </c>
      <c r="T54" s="7">
        <v>22518589.43</v>
      </c>
      <c r="U54" s="7">
        <v>19051332.059999999</v>
      </c>
      <c r="V54" s="7">
        <v>0.38</v>
      </c>
      <c r="W54" s="7">
        <v>0.18</v>
      </c>
      <c r="X54" s="7" t="s">
        <v>502</v>
      </c>
      <c r="Y54" s="7">
        <v>7213808.9900000002</v>
      </c>
      <c r="Z54" s="7">
        <v>3733612.87</v>
      </c>
      <c r="AA54" s="7">
        <v>30</v>
      </c>
      <c r="AB54" s="7">
        <v>52</v>
      </c>
      <c r="AC54" s="7" t="s">
        <v>353</v>
      </c>
      <c r="AD54" s="7" t="s">
        <v>406</v>
      </c>
      <c r="AE54" s="7">
        <v>0.18</v>
      </c>
      <c r="AF54" s="7" t="s">
        <v>4319</v>
      </c>
      <c r="AG54" s="7">
        <v>0.15</v>
      </c>
      <c r="AH54" s="7">
        <v>0.02</v>
      </c>
      <c r="AI54" s="7">
        <v>3</v>
      </c>
      <c r="AJ54" s="7">
        <v>1004</v>
      </c>
      <c r="AK54" s="7"/>
      <c r="AL54" s="7">
        <v>11102270.23</v>
      </c>
      <c r="AM54" s="7"/>
      <c r="AN54" s="7" t="s">
        <v>348</v>
      </c>
      <c r="AO54" s="7">
        <v>62.5</v>
      </c>
      <c r="AP54" s="7">
        <v>48</v>
      </c>
      <c r="AQ54" s="7" t="s">
        <v>323</v>
      </c>
      <c r="AR54" s="7" t="s">
        <v>192</v>
      </c>
      <c r="AS54" s="7" t="s">
        <v>324</v>
      </c>
    </row>
    <row r="55" spans="1:45" x14ac:dyDescent="0.3">
      <c r="A55" s="6" t="s">
        <v>503</v>
      </c>
      <c r="B55" s="6" t="s">
        <v>3379</v>
      </c>
      <c r="C55" s="6" t="s">
        <v>239</v>
      </c>
      <c r="D55" s="6" t="s">
        <v>209</v>
      </c>
      <c r="E55" s="6"/>
      <c r="F55" s="6" t="s">
        <v>75</v>
      </c>
      <c r="G55" s="6" t="s">
        <v>54</v>
      </c>
      <c r="H55" s="6" t="s">
        <v>182</v>
      </c>
      <c r="I55" s="6" t="s">
        <v>233</v>
      </c>
      <c r="J55" s="6" t="s">
        <v>105</v>
      </c>
      <c r="K55" s="6" t="s">
        <v>199</v>
      </c>
      <c r="L55" s="6" t="s">
        <v>504</v>
      </c>
      <c r="M55" s="6" t="s">
        <v>3380</v>
      </c>
      <c r="N55" s="6" t="s">
        <v>4393</v>
      </c>
      <c r="O55" s="6" t="s">
        <v>4274</v>
      </c>
      <c r="P55" s="6">
        <v>29</v>
      </c>
      <c r="Q55" s="6">
        <v>4526645</v>
      </c>
      <c r="R55" s="6">
        <v>0.08</v>
      </c>
      <c r="S55" s="6">
        <v>0.11</v>
      </c>
      <c r="T55" s="6">
        <v>4622609.87</v>
      </c>
      <c r="U55" s="6">
        <v>4000386.96</v>
      </c>
      <c r="V55" s="6">
        <v>0.27</v>
      </c>
      <c r="W55" s="6">
        <v>0.17</v>
      </c>
      <c r="X55" s="6" t="s">
        <v>505</v>
      </c>
      <c r="Y55" s="6">
        <v>3411041.69</v>
      </c>
      <c r="Z55" s="6">
        <v>1274306.8799999999</v>
      </c>
      <c r="AA55" s="6">
        <v>60</v>
      </c>
      <c r="AB55" s="6">
        <v>32</v>
      </c>
      <c r="AC55" s="6" t="s">
        <v>376</v>
      </c>
      <c r="AD55" s="6" t="s">
        <v>320</v>
      </c>
      <c r="AE55" s="6">
        <v>0.09</v>
      </c>
      <c r="AF55" s="6" t="s">
        <v>4361</v>
      </c>
      <c r="AG55" s="6">
        <v>0.1</v>
      </c>
      <c r="AH55" s="6">
        <v>0.01</v>
      </c>
      <c r="AI55" s="6">
        <v>13</v>
      </c>
      <c r="AJ55" s="6">
        <v>3980</v>
      </c>
      <c r="AK55" s="6">
        <v>693852.62</v>
      </c>
      <c r="AL55" s="6">
        <v>962308.45</v>
      </c>
      <c r="AM55" s="6" t="s">
        <v>391</v>
      </c>
      <c r="AN55" s="6"/>
      <c r="AO55" s="6"/>
      <c r="AP55" s="6" t="s">
        <v>4275</v>
      </c>
      <c r="AQ55" s="6" t="s">
        <v>323</v>
      </c>
      <c r="AR55" s="6" t="s">
        <v>186</v>
      </c>
      <c r="AS55" s="6"/>
    </row>
    <row r="56" spans="1:45" x14ac:dyDescent="0.3">
      <c r="A56" s="7" t="s">
        <v>506</v>
      </c>
      <c r="B56" s="7" t="s">
        <v>3382</v>
      </c>
      <c r="C56" s="7" t="s">
        <v>271</v>
      </c>
      <c r="D56" s="7" t="s">
        <v>190</v>
      </c>
      <c r="E56" s="7" t="s">
        <v>4325</v>
      </c>
      <c r="F56" s="7" t="s">
        <v>19</v>
      </c>
      <c r="G56" s="7" t="s">
        <v>73</v>
      </c>
      <c r="H56" s="7" t="s">
        <v>4280</v>
      </c>
      <c r="I56" s="7" t="s">
        <v>213</v>
      </c>
      <c r="J56" s="7" t="s">
        <v>115</v>
      </c>
      <c r="K56" s="7" t="s">
        <v>221</v>
      </c>
      <c r="L56" s="7" t="s">
        <v>507</v>
      </c>
      <c r="M56" s="7" t="s">
        <v>4394</v>
      </c>
      <c r="N56" s="7"/>
      <c r="O56" s="7" t="s">
        <v>4274</v>
      </c>
      <c r="P56" s="7" t="s">
        <v>4275</v>
      </c>
      <c r="Q56" s="7">
        <v>39390832</v>
      </c>
      <c r="R56" s="7">
        <v>0.35</v>
      </c>
      <c r="S56" s="7">
        <v>0.19</v>
      </c>
      <c r="T56" s="7">
        <v>30468808.550000001</v>
      </c>
      <c r="U56" s="7">
        <v>18463439.760000002</v>
      </c>
      <c r="V56" s="7">
        <v>0.17</v>
      </c>
      <c r="W56" s="7">
        <v>0.14000000000000001</v>
      </c>
      <c r="X56" s="7" t="s">
        <v>508</v>
      </c>
      <c r="Y56" s="7">
        <v>4116768.29</v>
      </c>
      <c r="Z56" s="7">
        <v>3398357.38</v>
      </c>
      <c r="AA56" s="7">
        <v>60</v>
      </c>
      <c r="AB56" s="7">
        <v>137</v>
      </c>
      <c r="AC56" s="7" t="s">
        <v>376</v>
      </c>
      <c r="AD56" s="7" t="s">
        <v>381</v>
      </c>
      <c r="AE56" s="7">
        <v>0.82</v>
      </c>
      <c r="AF56" s="7" t="s">
        <v>159</v>
      </c>
      <c r="AG56" s="7">
        <v>0.15</v>
      </c>
      <c r="AH56" s="7">
        <v>0.02</v>
      </c>
      <c r="AI56" s="7">
        <v>7</v>
      </c>
      <c r="AJ56" s="7">
        <v>1170</v>
      </c>
      <c r="AK56" s="7">
        <v>6541366.9199999999</v>
      </c>
      <c r="AL56" s="7">
        <v>14753713.119999999</v>
      </c>
      <c r="AM56" s="7" t="s">
        <v>321</v>
      </c>
      <c r="AN56" s="7"/>
      <c r="AO56" s="7">
        <v>85.8</v>
      </c>
      <c r="AP56" s="7">
        <v>48</v>
      </c>
      <c r="AQ56" s="7" t="s">
        <v>337</v>
      </c>
      <c r="AR56" s="7" t="s">
        <v>229</v>
      </c>
      <c r="AS56" s="7" t="s">
        <v>357</v>
      </c>
    </row>
    <row r="57" spans="1:45" x14ac:dyDescent="0.3">
      <c r="A57" s="6" t="s">
        <v>509</v>
      </c>
      <c r="B57" s="6" t="s">
        <v>4395</v>
      </c>
      <c r="C57" s="6" t="s">
        <v>285</v>
      </c>
      <c r="D57" s="6" t="s">
        <v>245</v>
      </c>
      <c r="E57" s="6" t="s">
        <v>41</v>
      </c>
      <c r="F57" s="6" t="s">
        <v>228</v>
      </c>
      <c r="G57" s="6" t="s">
        <v>38</v>
      </c>
      <c r="H57" s="6" t="s">
        <v>236</v>
      </c>
      <c r="I57" s="6" t="s">
        <v>191</v>
      </c>
      <c r="J57" s="6" t="s">
        <v>130</v>
      </c>
      <c r="K57" s="6" t="s">
        <v>221</v>
      </c>
      <c r="L57" s="6" t="s">
        <v>510</v>
      </c>
      <c r="M57" s="6" t="s">
        <v>3383</v>
      </c>
      <c r="N57" s="6" t="s">
        <v>4396</v>
      </c>
      <c r="O57" s="6" t="s">
        <v>4397</v>
      </c>
      <c r="P57" s="6">
        <v>13</v>
      </c>
      <c r="Q57" s="6">
        <v>43100414</v>
      </c>
      <c r="R57" s="6">
        <v>0.34</v>
      </c>
      <c r="S57" s="6">
        <v>0.11</v>
      </c>
      <c r="T57" s="6">
        <v>31575363.300000001</v>
      </c>
      <c r="U57" s="6">
        <v>28068094.690000001</v>
      </c>
      <c r="V57" s="6">
        <v>0.28000000000000003</v>
      </c>
      <c r="W57" s="6">
        <v>0.16</v>
      </c>
      <c r="X57" s="6" t="s">
        <v>511</v>
      </c>
      <c r="Y57" s="6">
        <v>6254203.8899999997</v>
      </c>
      <c r="Z57" s="6">
        <v>6723233.6399999997</v>
      </c>
      <c r="AA57" s="6">
        <v>120</v>
      </c>
      <c r="AB57" s="6">
        <v>92</v>
      </c>
      <c r="AC57" s="6" t="s">
        <v>342</v>
      </c>
      <c r="AD57" s="6" t="s">
        <v>226</v>
      </c>
      <c r="AE57" s="6">
        <v>0.26</v>
      </c>
      <c r="AF57" s="6"/>
      <c r="AG57" s="6">
        <v>0.15</v>
      </c>
      <c r="AH57" s="6">
        <v>0.08</v>
      </c>
      <c r="AI57" s="6">
        <v>12</v>
      </c>
      <c r="AJ57" s="6">
        <v>895</v>
      </c>
      <c r="AK57" s="6">
        <v>981170.16</v>
      </c>
      <c r="AL57" s="6">
        <v>8457817.5999999996</v>
      </c>
      <c r="AM57" s="6" t="s">
        <v>355</v>
      </c>
      <c r="AN57" s="6" t="s">
        <v>386</v>
      </c>
      <c r="AO57" s="6">
        <v>63.3</v>
      </c>
      <c r="AP57" s="6">
        <v>48</v>
      </c>
      <c r="AQ57" s="6" t="s">
        <v>4275</v>
      </c>
      <c r="AR57" s="6" t="s">
        <v>229</v>
      </c>
      <c r="AS57" s="6" t="s">
        <v>377</v>
      </c>
    </row>
    <row r="58" spans="1:45" x14ac:dyDescent="0.3">
      <c r="A58" s="7" t="s">
        <v>512</v>
      </c>
      <c r="B58" s="7" t="s">
        <v>3384</v>
      </c>
      <c r="C58" s="7" t="s">
        <v>280</v>
      </c>
      <c r="D58" s="7" t="s">
        <v>202</v>
      </c>
      <c r="E58" s="7" t="s">
        <v>4270</v>
      </c>
      <c r="F58" s="7" t="s">
        <v>367</v>
      </c>
      <c r="G58" s="7" t="s">
        <v>50</v>
      </c>
      <c r="H58" s="7" t="s">
        <v>236</v>
      </c>
      <c r="I58" s="7" t="s">
        <v>4272</v>
      </c>
      <c r="J58" s="7" t="s">
        <v>127</v>
      </c>
      <c r="K58" s="7" t="s">
        <v>210</v>
      </c>
      <c r="L58" s="7" t="s">
        <v>513</v>
      </c>
      <c r="M58" s="7" t="s">
        <v>4398</v>
      </c>
      <c r="N58" s="7" t="s">
        <v>4399</v>
      </c>
      <c r="O58" s="7" t="s">
        <v>4400</v>
      </c>
      <c r="P58" s="7" t="s">
        <v>4275</v>
      </c>
      <c r="Q58" s="7">
        <v>38992647</v>
      </c>
      <c r="R58" s="7">
        <v>0.23</v>
      </c>
      <c r="S58" s="7">
        <v>0.12</v>
      </c>
      <c r="T58" s="7">
        <v>33627258.770000003</v>
      </c>
      <c r="U58" s="7">
        <v>25721449.550000001</v>
      </c>
      <c r="V58" s="7">
        <v>7.0000000000000007E-2</v>
      </c>
      <c r="W58" s="7">
        <v>0.05</v>
      </c>
      <c r="X58" s="7" t="s">
        <v>514</v>
      </c>
      <c r="Y58" s="7">
        <v>6330601.6600000001</v>
      </c>
      <c r="Z58" s="7">
        <v>2272480.33</v>
      </c>
      <c r="AA58" s="7">
        <v>30</v>
      </c>
      <c r="AB58" s="7">
        <v>76</v>
      </c>
      <c r="AC58" s="7" t="s">
        <v>342</v>
      </c>
      <c r="AD58" s="7" t="s">
        <v>354</v>
      </c>
      <c r="AE58" s="7">
        <v>7.0000000000000007E-2</v>
      </c>
      <c r="AF58" s="7" t="s">
        <v>152</v>
      </c>
      <c r="AG58" s="7">
        <v>0.1</v>
      </c>
      <c r="AH58" s="7">
        <v>0.1</v>
      </c>
      <c r="AI58" s="7">
        <v>2</v>
      </c>
      <c r="AJ58" s="7">
        <v>1705</v>
      </c>
      <c r="AK58" s="7">
        <v>2929493.7</v>
      </c>
      <c r="AL58" s="7">
        <v>14712182.279999999</v>
      </c>
      <c r="AM58" s="7" t="s">
        <v>343</v>
      </c>
      <c r="AN58" s="7" t="s">
        <v>321</v>
      </c>
      <c r="AO58" s="7">
        <v>83.1</v>
      </c>
      <c r="AP58" s="7">
        <v>48</v>
      </c>
      <c r="AQ58" s="7" t="s">
        <v>337</v>
      </c>
      <c r="AR58" s="7" t="s">
        <v>224</v>
      </c>
      <c r="AS58" s="7"/>
    </row>
    <row r="59" spans="1:45" x14ac:dyDescent="0.3">
      <c r="A59" s="6" t="s">
        <v>515</v>
      </c>
      <c r="B59" s="6" t="s">
        <v>4401</v>
      </c>
      <c r="C59" s="6" t="s">
        <v>256</v>
      </c>
      <c r="D59" s="6" t="s">
        <v>253</v>
      </c>
      <c r="E59" s="6" t="s">
        <v>4306</v>
      </c>
      <c r="F59" s="6" t="s">
        <v>75</v>
      </c>
      <c r="G59" s="6" t="s">
        <v>73</v>
      </c>
      <c r="H59" s="6" t="s">
        <v>4266</v>
      </c>
      <c r="I59" s="6" t="s">
        <v>233</v>
      </c>
      <c r="J59" s="6" t="s">
        <v>119</v>
      </c>
      <c r="K59" s="6" t="s">
        <v>199</v>
      </c>
      <c r="L59" s="6" t="s">
        <v>516</v>
      </c>
      <c r="M59" s="6" t="s">
        <v>3386</v>
      </c>
      <c r="N59" s="6" t="s">
        <v>4402</v>
      </c>
      <c r="O59" s="6" t="s">
        <v>3388</v>
      </c>
      <c r="P59" s="6">
        <v>51</v>
      </c>
      <c r="Q59" s="6">
        <v>25798353</v>
      </c>
      <c r="R59" s="6">
        <v>0.14000000000000001</v>
      </c>
      <c r="S59" s="6">
        <v>0.06</v>
      </c>
      <c r="T59" s="6">
        <v>23517778.59</v>
      </c>
      <c r="U59" s="6">
        <v>20806612.5</v>
      </c>
      <c r="V59" s="6">
        <v>0.12</v>
      </c>
      <c r="W59" s="6">
        <v>0.08</v>
      </c>
      <c r="X59" s="6" t="s">
        <v>517</v>
      </c>
      <c r="Y59" s="6">
        <v>6439204.7400000002</v>
      </c>
      <c r="Z59" s="6">
        <v>4327444.1399999997</v>
      </c>
      <c r="AA59" s="6">
        <v>45</v>
      </c>
      <c r="AB59" s="6">
        <v>69</v>
      </c>
      <c r="AC59" s="6" t="s">
        <v>376</v>
      </c>
      <c r="AD59" s="6" t="s">
        <v>226</v>
      </c>
      <c r="AE59" s="6">
        <v>0.57999999999999996</v>
      </c>
      <c r="AF59" s="6" t="s">
        <v>4312</v>
      </c>
      <c r="AG59" s="6">
        <v>0.05</v>
      </c>
      <c r="AH59" s="6">
        <v>0.08</v>
      </c>
      <c r="AI59" s="6">
        <v>3</v>
      </c>
      <c r="AJ59" s="6">
        <v>4884</v>
      </c>
      <c r="AK59" s="6">
        <v>5396978.1699999999</v>
      </c>
      <c r="AL59" s="6">
        <v>2982166.77</v>
      </c>
      <c r="AM59" s="6"/>
      <c r="AN59" s="6" t="s">
        <v>321</v>
      </c>
      <c r="AO59" s="6">
        <v>99.4</v>
      </c>
      <c r="AP59" s="6">
        <v>48</v>
      </c>
      <c r="AQ59" s="6" t="s">
        <v>4275</v>
      </c>
      <c r="AR59" s="6" t="s">
        <v>206</v>
      </c>
      <c r="AS59" s="6" t="s">
        <v>377</v>
      </c>
    </row>
    <row r="60" spans="1:45" x14ac:dyDescent="0.3">
      <c r="A60" s="7" t="s">
        <v>518</v>
      </c>
      <c r="B60" s="7" t="s">
        <v>4403</v>
      </c>
      <c r="C60" s="7" t="s">
        <v>239</v>
      </c>
      <c r="D60" s="7" t="s">
        <v>209</v>
      </c>
      <c r="E60" s="7"/>
      <c r="F60" s="7" t="s">
        <v>339</v>
      </c>
      <c r="G60" s="7" t="s">
        <v>46</v>
      </c>
      <c r="H60" s="7" t="s">
        <v>4280</v>
      </c>
      <c r="I60" s="7" t="s">
        <v>240</v>
      </c>
      <c r="J60" s="7" t="s">
        <v>105</v>
      </c>
      <c r="K60" s="7" t="s">
        <v>223</v>
      </c>
      <c r="L60" s="7" t="s">
        <v>519</v>
      </c>
      <c r="M60" s="7" t="s">
        <v>4404</v>
      </c>
      <c r="N60" s="7" t="s">
        <v>4405</v>
      </c>
      <c r="O60" s="7" t="s">
        <v>4406</v>
      </c>
      <c r="P60" s="7">
        <v>22</v>
      </c>
      <c r="Q60" s="7">
        <v>35268542</v>
      </c>
      <c r="R60" s="7">
        <v>0.28000000000000003</v>
      </c>
      <c r="S60" s="7">
        <v>-0.02</v>
      </c>
      <c r="T60" s="7">
        <v>24885483.239999998</v>
      </c>
      <c r="U60" s="7">
        <v>21223683.190000001</v>
      </c>
      <c r="V60" s="7">
        <v>0.28999999999999998</v>
      </c>
      <c r="W60" s="7">
        <v>0.2</v>
      </c>
      <c r="X60" s="7" t="s">
        <v>520</v>
      </c>
      <c r="Y60" s="7">
        <v>4409607.38</v>
      </c>
      <c r="Z60" s="7">
        <v>3321647.62</v>
      </c>
      <c r="AA60" s="7">
        <v>120</v>
      </c>
      <c r="AB60" s="7">
        <v>26</v>
      </c>
      <c r="AC60" s="7" t="s">
        <v>353</v>
      </c>
      <c r="AD60" s="7" t="s">
        <v>381</v>
      </c>
      <c r="AE60" s="7">
        <v>0.92</v>
      </c>
      <c r="AF60" s="7" t="s">
        <v>4303</v>
      </c>
      <c r="AG60" s="7">
        <v>0.15</v>
      </c>
      <c r="AH60" s="7">
        <v>0.08</v>
      </c>
      <c r="AI60" s="7">
        <v>9</v>
      </c>
      <c r="AJ60" s="7">
        <v>4965</v>
      </c>
      <c r="AK60" s="7">
        <v>1573389.88</v>
      </c>
      <c r="AL60" s="7">
        <v>10690499.34</v>
      </c>
      <c r="AM60" s="7" t="s">
        <v>355</v>
      </c>
      <c r="AN60" s="7" t="s">
        <v>322</v>
      </c>
      <c r="AO60" s="7">
        <v>98.7</v>
      </c>
      <c r="AP60" s="7">
        <v>60</v>
      </c>
      <c r="AQ60" s="7" t="s">
        <v>392</v>
      </c>
      <c r="AR60" s="7" t="s">
        <v>206</v>
      </c>
      <c r="AS60" s="7"/>
    </row>
    <row r="61" spans="1:45" x14ac:dyDescent="0.3">
      <c r="A61" s="6" t="s">
        <v>521</v>
      </c>
      <c r="B61" s="6" t="s">
        <v>3392</v>
      </c>
      <c r="C61" s="6" t="s">
        <v>235</v>
      </c>
      <c r="D61" s="6" t="s">
        <v>265</v>
      </c>
      <c r="E61" s="6" t="s">
        <v>4265</v>
      </c>
      <c r="F61" s="6" t="s">
        <v>350</v>
      </c>
      <c r="G61" s="6" t="s">
        <v>46</v>
      </c>
      <c r="H61" s="6" t="s">
        <v>212</v>
      </c>
      <c r="I61" s="6" t="s">
        <v>246</v>
      </c>
      <c r="J61" s="6" t="s">
        <v>105</v>
      </c>
      <c r="K61" s="6" t="s">
        <v>223</v>
      </c>
      <c r="L61" s="6" t="s">
        <v>522</v>
      </c>
      <c r="M61" s="6" t="s">
        <v>3393</v>
      </c>
      <c r="N61" s="6" t="s">
        <v>3394</v>
      </c>
      <c r="O61" s="6" t="s">
        <v>4407</v>
      </c>
      <c r="P61" s="6">
        <v>39</v>
      </c>
      <c r="Q61" s="6">
        <v>9303305</v>
      </c>
      <c r="R61" s="6">
        <v>0.28000000000000003</v>
      </c>
      <c r="S61" s="6">
        <v>0.08</v>
      </c>
      <c r="T61" s="6">
        <v>7234249.9699999997</v>
      </c>
      <c r="U61" s="6">
        <v>4805680.25</v>
      </c>
      <c r="V61" s="6">
        <v>0.13</v>
      </c>
      <c r="W61" s="6">
        <v>0.08</v>
      </c>
      <c r="X61" s="6" t="s">
        <v>523</v>
      </c>
      <c r="Y61" s="6">
        <v>3858542.43</v>
      </c>
      <c r="Z61" s="6">
        <v>1693861.1</v>
      </c>
      <c r="AA61" s="6">
        <v>45</v>
      </c>
      <c r="AB61" s="6">
        <v>15</v>
      </c>
      <c r="AC61" s="6" t="s">
        <v>342</v>
      </c>
      <c r="AD61" s="6" t="s">
        <v>354</v>
      </c>
      <c r="AE61" s="6">
        <v>0.28000000000000003</v>
      </c>
      <c r="AF61" s="6" t="s">
        <v>4319</v>
      </c>
      <c r="AG61" s="6">
        <v>0.1</v>
      </c>
      <c r="AH61" s="6">
        <v>0.01</v>
      </c>
      <c r="AI61" s="6">
        <v>11</v>
      </c>
      <c r="AJ61" s="6">
        <v>1428</v>
      </c>
      <c r="AK61" s="6">
        <v>158767.6</v>
      </c>
      <c r="AL61" s="6">
        <v>3053101.1</v>
      </c>
      <c r="AM61" s="6" t="s">
        <v>391</v>
      </c>
      <c r="AN61" s="6" t="s">
        <v>356</v>
      </c>
      <c r="AO61" s="6">
        <v>51</v>
      </c>
      <c r="AP61" s="6">
        <v>36</v>
      </c>
      <c r="AQ61" s="6" t="s">
        <v>387</v>
      </c>
      <c r="AR61" s="6" t="s">
        <v>186</v>
      </c>
      <c r="AS61" s="6" t="s">
        <v>361</v>
      </c>
    </row>
    <row r="62" spans="1:45" x14ac:dyDescent="0.3">
      <c r="A62" s="7" t="s">
        <v>524</v>
      </c>
      <c r="B62" s="7" t="s">
        <v>4408</v>
      </c>
      <c r="C62" s="7" t="s">
        <v>230</v>
      </c>
      <c r="D62" s="7" t="s">
        <v>232</v>
      </c>
      <c r="E62" s="7" t="s">
        <v>4265</v>
      </c>
      <c r="F62" s="7" t="s">
        <v>350</v>
      </c>
      <c r="G62" s="7" t="s">
        <v>38</v>
      </c>
      <c r="H62" s="7" t="s">
        <v>4326</v>
      </c>
      <c r="I62" s="7" t="s">
        <v>213</v>
      </c>
      <c r="J62" s="6" t="s">
        <v>105</v>
      </c>
      <c r="K62" s="7" t="s">
        <v>326</v>
      </c>
      <c r="L62" s="7" t="s">
        <v>525</v>
      </c>
      <c r="M62" s="7" t="s">
        <v>3396</v>
      </c>
      <c r="N62" s="7" t="s">
        <v>526</v>
      </c>
      <c r="O62" s="7" t="s">
        <v>3397</v>
      </c>
      <c r="P62" s="7">
        <v>50</v>
      </c>
      <c r="Q62" s="7">
        <v>35139417</v>
      </c>
      <c r="R62" s="7">
        <v>0.28999999999999998</v>
      </c>
      <c r="S62" s="7">
        <v>0.05</v>
      </c>
      <c r="T62" s="7">
        <v>26196435.370000001</v>
      </c>
      <c r="U62" s="7"/>
      <c r="V62" s="7">
        <v>0.25</v>
      </c>
      <c r="W62" s="7">
        <v>0.08</v>
      </c>
      <c r="X62" s="7" t="s">
        <v>527</v>
      </c>
      <c r="Y62" s="7">
        <v>3588002.3</v>
      </c>
      <c r="Z62" s="7">
        <v>2544650.61</v>
      </c>
      <c r="AA62" s="7">
        <v>60</v>
      </c>
      <c r="AB62" s="7">
        <v>144</v>
      </c>
      <c r="AC62" s="7" t="s">
        <v>329</v>
      </c>
      <c r="AD62" s="7" t="s">
        <v>381</v>
      </c>
      <c r="AE62" s="7">
        <v>0.66</v>
      </c>
      <c r="AF62" s="7" t="s">
        <v>155</v>
      </c>
      <c r="AG62" s="7">
        <v>0.15</v>
      </c>
      <c r="AH62" s="7">
        <v>0.04</v>
      </c>
      <c r="AI62" s="7">
        <v>3</v>
      </c>
      <c r="AJ62" s="7">
        <v>2469</v>
      </c>
      <c r="AK62" s="7">
        <v>5588928.2699999996</v>
      </c>
      <c r="AL62" s="7">
        <v>4517689.05</v>
      </c>
      <c r="AM62" s="7" t="s">
        <v>385</v>
      </c>
      <c r="AN62" s="7" t="s">
        <v>356</v>
      </c>
      <c r="AO62" s="7">
        <v>84.3</v>
      </c>
      <c r="AP62" s="7" t="s">
        <v>4275</v>
      </c>
      <c r="AQ62" s="7" t="s">
        <v>392</v>
      </c>
      <c r="AR62" s="7" t="s">
        <v>192</v>
      </c>
      <c r="AS62" s="7" t="s">
        <v>188</v>
      </c>
    </row>
    <row r="63" spans="1:45" x14ac:dyDescent="0.3">
      <c r="A63" s="6" t="s">
        <v>528</v>
      </c>
      <c r="B63" s="6" t="s">
        <v>4409</v>
      </c>
      <c r="C63" s="6" t="s">
        <v>267</v>
      </c>
      <c r="D63" s="6" t="s">
        <v>245</v>
      </c>
      <c r="E63" s="6" t="s">
        <v>4325</v>
      </c>
      <c r="F63" s="6" t="s">
        <v>339</v>
      </c>
      <c r="G63" s="6" t="s">
        <v>62</v>
      </c>
      <c r="H63" s="6" t="s">
        <v>4271</v>
      </c>
      <c r="I63" s="6" t="s">
        <v>4307</v>
      </c>
      <c r="J63" s="6" t="s">
        <v>115</v>
      </c>
      <c r="K63" s="6" t="s">
        <v>326</v>
      </c>
      <c r="L63" s="6" t="s">
        <v>529</v>
      </c>
      <c r="M63" s="6" t="s">
        <v>4410</v>
      </c>
      <c r="N63" s="6"/>
      <c r="O63" s="6" t="s">
        <v>3400</v>
      </c>
      <c r="P63" s="6">
        <v>43</v>
      </c>
      <c r="Q63" s="6">
        <v>24042665</v>
      </c>
      <c r="R63" s="6">
        <v>0.09</v>
      </c>
      <c r="S63" s="6">
        <v>0.17</v>
      </c>
      <c r="T63" s="6">
        <v>25598225.43</v>
      </c>
      <c r="U63" s="6">
        <v>17765788.48</v>
      </c>
      <c r="V63" s="6">
        <v>0.21</v>
      </c>
      <c r="W63" s="6">
        <v>0.08</v>
      </c>
      <c r="X63" s="6" t="s">
        <v>530</v>
      </c>
      <c r="Y63" s="6">
        <v>10428760.119999999</v>
      </c>
      <c r="Z63" s="6">
        <v>10527570.949999999</v>
      </c>
      <c r="AA63" s="6">
        <v>60</v>
      </c>
      <c r="AB63" s="6">
        <v>67</v>
      </c>
      <c r="AC63" s="6" t="s">
        <v>347</v>
      </c>
      <c r="AD63" s="6" t="s">
        <v>381</v>
      </c>
      <c r="AE63" s="6">
        <v>0.6</v>
      </c>
      <c r="AF63" s="6" t="s">
        <v>152</v>
      </c>
      <c r="AG63" s="6">
        <v>0.1</v>
      </c>
      <c r="AH63" s="6">
        <v>0.09</v>
      </c>
      <c r="AI63" s="6">
        <v>15</v>
      </c>
      <c r="AJ63" s="6">
        <v>3527</v>
      </c>
      <c r="AK63" s="6">
        <v>6195420.8300000001</v>
      </c>
      <c r="AL63" s="6">
        <v>2946103.03</v>
      </c>
      <c r="AM63" s="6" t="s">
        <v>343</v>
      </c>
      <c r="AN63" s="6"/>
      <c r="AO63" s="6">
        <v>88.2</v>
      </c>
      <c r="AP63" s="6">
        <v>36</v>
      </c>
      <c r="AQ63" s="6" t="s">
        <v>392</v>
      </c>
      <c r="AR63" s="6" t="s">
        <v>224</v>
      </c>
      <c r="AS63" s="6"/>
    </row>
    <row r="64" spans="1:45" x14ac:dyDescent="0.3">
      <c r="A64" s="7" t="s">
        <v>531</v>
      </c>
      <c r="B64" s="7" t="s">
        <v>3401</v>
      </c>
      <c r="C64" s="7" t="s">
        <v>284</v>
      </c>
      <c r="D64" s="7" t="s">
        <v>190</v>
      </c>
      <c r="E64" s="7" t="s">
        <v>20</v>
      </c>
      <c r="F64" s="7" t="s">
        <v>31</v>
      </c>
      <c r="G64" s="7" t="s">
        <v>62</v>
      </c>
      <c r="H64" s="7" t="s">
        <v>4266</v>
      </c>
      <c r="I64" s="7" t="s">
        <v>213</v>
      </c>
      <c r="J64" s="7" t="s">
        <v>136</v>
      </c>
      <c r="K64" s="7" t="s">
        <v>204</v>
      </c>
      <c r="L64" s="7" t="s">
        <v>532</v>
      </c>
      <c r="M64" s="7" t="s">
        <v>4411</v>
      </c>
      <c r="N64" s="7" t="s">
        <v>3403</v>
      </c>
      <c r="O64" s="7" t="s">
        <v>4412</v>
      </c>
      <c r="P64" s="7">
        <v>43</v>
      </c>
      <c r="Q64" s="7">
        <v>46741657</v>
      </c>
      <c r="R64" s="7">
        <v>0.31</v>
      </c>
      <c r="S64" s="7">
        <v>0.03</v>
      </c>
      <c r="T64" s="7">
        <v>33219295.629999999</v>
      </c>
      <c r="U64" s="7">
        <v>25260617.789999999</v>
      </c>
      <c r="V64" s="7" t="s">
        <v>4374</v>
      </c>
      <c r="W64" s="7">
        <v>0.2</v>
      </c>
      <c r="X64" s="7" t="s">
        <v>533</v>
      </c>
      <c r="Y64" s="7">
        <v>4561075.3899999997</v>
      </c>
      <c r="Z64" s="7">
        <v>3204927.12</v>
      </c>
      <c r="AA64" s="7">
        <v>60</v>
      </c>
      <c r="AB64" s="7">
        <v>43</v>
      </c>
      <c r="AC64" s="7" t="s">
        <v>342</v>
      </c>
      <c r="AD64" s="7" t="s">
        <v>320</v>
      </c>
      <c r="AE64" s="7">
        <v>0.11</v>
      </c>
      <c r="AF64" s="7" t="s">
        <v>4303</v>
      </c>
      <c r="AG64" s="7">
        <v>0.05</v>
      </c>
      <c r="AH64" s="7">
        <v>0.04</v>
      </c>
      <c r="AI64" s="7">
        <v>9</v>
      </c>
      <c r="AJ64" s="7">
        <v>1022</v>
      </c>
      <c r="AK64" s="7">
        <v>4288981.72</v>
      </c>
      <c r="AL64" s="7">
        <v>12559445.380000001</v>
      </c>
      <c r="AM64" s="7" t="s">
        <v>391</v>
      </c>
      <c r="AN64" s="7" t="s">
        <v>356</v>
      </c>
      <c r="AO64" s="7">
        <v>91.8</v>
      </c>
      <c r="AP64" s="7">
        <v>36</v>
      </c>
      <c r="AQ64" s="7" t="s">
        <v>4275</v>
      </c>
      <c r="AR64" s="7" t="s">
        <v>224</v>
      </c>
      <c r="AS64" s="7" t="s">
        <v>361</v>
      </c>
    </row>
    <row r="65" spans="1:45" x14ac:dyDescent="0.3">
      <c r="A65" s="6" t="s">
        <v>534</v>
      </c>
      <c r="B65" s="6" t="s">
        <v>4109</v>
      </c>
      <c r="C65" s="6" t="s">
        <v>247</v>
      </c>
      <c r="D65" s="6" t="s">
        <v>202</v>
      </c>
      <c r="E65" s="6" t="s">
        <v>52</v>
      </c>
      <c r="F65" s="6"/>
      <c r="G65" s="6" t="s">
        <v>38</v>
      </c>
      <c r="H65" s="6" t="s">
        <v>236</v>
      </c>
      <c r="I65" s="6" t="s">
        <v>198</v>
      </c>
      <c r="J65" s="6" t="s">
        <v>119</v>
      </c>
      <c r="K65" s="6" t="s">
        <v>333</v>
      </c>
      <c r="L65" s="6" t="s">
        <v>535</v>
      </c>
      <c r="M65" s="6" t="s">
        <v>3404</v>
      </c>
      <c r="N65" s="6" t="s">
        <v>3405</v>
      </c>
      <c r="O65" s="6" t="s">
        <v>4413</v>
      </c>
      <c r="P65" s="6">
        <v>21</v>
      </c>
      <c r="Q65" s="6">
        <v>7240675</v>
      </c>
      <c r="R65" s="6">
        <v>0.18</v>
      </c>
      <c r="S65" s="6">
        <v>0.1</v>
      </c>
      <c r="T65" s="6">
        <v>6531088.8499999996</v>
      </c>
      <c r="U65" s="6">
        <v>4016776.77</v>
      </c>
      <c r="V65" s="6">
        <v>0.36</v>
      </c>
      <c r="W65" s="6">
        <v>0.18</v>
      </c>
      <c r="X65" s="6" t="s">
        <v>536</v>
      </c>
      <c r="Y65" s="6" t="s">
        <v>158</v>
      </c>
      <c r="Z65" s="6">
        <v>1759105.52</v>
      </c>
      <c r="AA65" s="6">
        <v>90</v>
      </c>
      <c r="AB65" s="6">
        <v>51</v>
      </c>
      <c r="AC65" s="6" t="s">
        <v>376</v>
      </c>
      <c r="AD65" s="6" t="s">
        <v>336</v>
      </c>
      <c r="AE65" s="6">
        <v>0.62</v>
      </c>
      <c r="AF65" s="6" t="s">
        <v>4319</v>
      </c>
      <c r="AG65" s="6">
        <v>0.1</v>
      </c>
      <c r="AH65" s="6">
        <v>0.08</v>
      </c>
      <c r="AI65" s="6">
        <v>6</v>
      </c>
      <c r="AJ65" s="6">
        <v>385</v>
      </c>
      <c r="AK65" s="6"/>
      <c r="AL65" s="6">
        <v>2343873.58</v>
      </c>
      <c r="AM65" s="6" t="s">
        <v>321</v>
      </c>
      <c r="AN65" s="6" t="s">
        <v>386</v>
      </c>
      <c r="AO65" s="6">
        <v>65.599999999999994</v>
      </c>
      <c r="AP65" s="6">
        <v>48</v>
      </c>
      <c r="AQ65" s="6" t="s">
        <v>337</v>
      </c>
      <c r="AR65" s="6" t="s">
        <v>192</v>
      </c>
      <c r="AS65" s="6"/>
    </row>
    <row r="66" spans="1:45" x14ac:dyDescent="0.3">
      <c r="A66" s="7" t="s">
        <v>537</v>
      </c>
      <c r="B66" s="7" t="s">
        <v>1976</v>
      </c>
      <c r="C66" s="7" t="s">
        <v>273</v>
      </c>
      <c r="D66" s="7" t="s">
        <v>190</v>
      </c>
      <c r="E66" s="7"/>
      <c r="F66" s="7" t="s">
        <v>350</v>
      </c>
      <c r="G66" s="7" t="s">
        <v>50</v>
      </c>
      <c r="H66" s="7" t="s">
        <v>4271</v>
      </c>
      <c r="I66" s="7" t="s">
        <v>246</v>
      </c>
      <c r="J66" s="7" t="s">
        <v>105</v>
      </c>
      <c r="K66" s="7" t="s">
        <v>333</v>
      </c>
      <c r="L66" s="7" t="s">
        <v>538</v>
      </c>
      <c r="M66" s="7" t="s">
        <v>3406</v>
      </c>
      <c r="N66" s="7" t="s">
        <v>4414</v>
      </c>
      <c r="O66" s="7" t="s">
        <v>4415</v>
      </c>
      <c r="P66" s="7">
        <v>45</v>
      </c>
      <c r="Q66" s="7">
        <v>27060337</v>
      </c>
      <c r="R66" s="7">
        <v>0.34</v>
      </c>
      <c r="S66" s="7">
        <v>0.02</v>
      </c>
      <c r="T66" s="7">
        <v>18217018.870000001</v>
      </c>
      <c r="U66" s="7">
        <v>13767145.92</v>
      </c>
      <c r="V66" s="7">
        <v>0.27</v>
      </c>
      <c r="W66" s="7">
        <v>0.11</v>
      </c>
      <c r="X66" s="7" t="s">
        <v>539</v>
      </c>
      <c r="Y66" s="7">
        <v>6883449.3499999996</v>
      </c>
      <c r="Z66" s="7">
        <v>6749478.5800000001</v>
      </c>
      <c r="AA66" s="7">
        <v>90</v>
      </c>
      <c r="AB66" s="7">
        <v>167</v>
      </c>
      <c r="AC66" s="7" t="s">
        <v>342</v>
      </c>
      <c r="AD66" s="7" t="s">
        <v>406</v>
      </c>
      <c r="AE66" s="7">
        <v>0.88</v>
      </c>
      <c r="AF66" s="7" t="s">
        <v>4312</v>
      </c>
      <c r="AG66" s="7">
        <v>0.05</v>
      </c>
      <c r="AH66" s="7">
        <v>0.02</v>
      </c>
      <c r="AI66" s="7">
        <v>1</v>
      </c>
      <c r="AJ66" s="7">
        <v>4583</v>
      </c>
      <c r="AK66" s="7">
        <v>2932397.58</v>
      </c>
      <c r="AL66" s="7"/>
      <c r="AM66" s="7" t="s">
        <v>391</v>
      </c>
      <c r="AN66" s="7" t="s">
        <v>356</v>
      </c>
      <c r="AO66" s="7">
        <v>67.3</v>
      </c>
      <c r="AP66" s="7">
        <v>60</v>
      </c>
      <c r="AQ66" s="7" t="s">
        <v>323</v>
      </c>
      <c r="AR66" s="7" t="s">
        <v>224</v>
      </c>
      <c r="AS66" s="7"/>
    </row>
    <row r="67" spans="1:45" x14ac:dyDescent="0.3">
      <c r="A67" s="6" t="s">
        <v>540</v>
      </c>
      <c r="B67" s="6" t="s">
        <v>3407</v>
      </c>
      <c r="C67" s="6" t="s">
        <v>269</v>
      </c>
      <c r="D67" s="6"/>
      <c r="E67" s="6" t="s">
        <v>4265</v>
      </c>
      <c r="F67" s="6" t="s">
        <v>363</v>
      </c>
      <c r="G67" s="6" t="s">
        <v>54</v>
      </c>
      <c r="H67" s="6"/>
      <c r="I67" s="6" t="s">
        <v>4372</v>
      </c>
      <c r="J67" s="6" t="s">
        <v>130</v>
      </c>
      <c r="K67" s="6" t="s">
        <v>221</v>
      </c>
      <c r="L67" s="6" t="s">
        <v>541</v>
      </c>
      <c r="M67" s="6" t="s">
        <v>4416</v>
      </c>
      <c r="N67" s="6" t="s">
        <v>4417</v>
      </c>
      <c r="O67" s="6" t="s">
        <v>2490</v>
      </c>
      <c r="P67" s="6">
        <v>26</v>
      </c>
      <c r="Q67" s="6" t="s">
        <v>4275</v>
      </c>
      <c r="R67" s="6">
        <v>0.03</v>
      </c>
      <c r="S67" s="6">
        <v>0.01</v>
      </c>
      <c r="T67" s="6">
        <v>18483812.780000001</v>
      </c>
      <c r="U67" s="6">
        <v>11722563.59</v>
      </c>
      <c r="V67" s="6">
        <v>0.13</v>
      </c>
      <c r="W67" s="6">
        <v>0.1</v>
      </c>
      <c r="X67" s="6" t="s">
        <v>542</v>
      </c>
      <c r="Y67" s="6">
        <v>11031503.92</v>
      </c>
      <c r="Z67" s="6">
        <v>6868452.5599999996</v>
      </c>
      <c r="AA67" s="6">
        <v>45</v>
      </c>
      <c r="AB67" s="6">
        <v>21</v>
      </c>
      <c r="AC67" s="6" t="s">
        <v>376</v>
      </c>
      <c r="AD67" s="6" t="s">
        <v>226</v>
      </c>
      <c r="AE67" s="6">
        <v>0.48</v>
      </c>
      <c r="AF67" s="6" t="s">
        <v>153</v>
      </c>
      <c r="AG67" s="6">
        <v>0.15</v>
      </c>
      <c r="AH67" s="6">
        <v>0.05</v>
      </c>
      <c r="AI67" s="6">
        <v>15</v>
      </c>
      <c r="AJ67" s="6">
        <v>385</v>
      </c>
      <c r="AK67" s="6">
        <v>2463099.15</v>
      </c>
      <c r="AL67" s="6">
        <v>7338154.1900000004</v>
      </c>
      <c r="AM67" s="6" t="s">
        <v>355</v>
      </c>
      <c r="AN67" s="6"/>
      <c r="AO67" s="6">
        <v>90</v>
      </c>
      <c r="AP67" s="6">
        <v>36</v>
      </c>
      <c r="AQ67" s="6" t="s">
        <v>387</v>
      </c>
      <c r="AR67" s="6" t="s">
        <v>224</v>
      </c>
      <c r="AS67" s="6" t="s">
        <v>357</v>
      </c>
    </row>
    <row r="68" spans="1:45" x14ac:dyDescent="0.3">
      <c r="A68" s="7" t="s">
        <v>543</v>
      </c>
      <c r="B68" s="7" t="s">
        <v>3409</v>
      </c>
      <c r="C68" s="7" t="s">
        <v>285</v>
      </c>
      <c r="D68" s="7" t="s">
        <v>253</v>
      </c>
      <c r="E68" s="7" t="s">
        <v>4265</v>
      </c>
      <c r="F68" s="7" t="s">
        <v>363</v>
      </c>
      <c r="G68" s="7"/>
      <c r="H68" s="7"/>
      <c r="I68" s="7" t="s">
        <v>198</v>
      </c>
      <c r="J68" s="6" t="s">
        <v>130</v>
      </c>
      <c r="K68" s="7" t="s">
        <v>326</v>
      </c>
      <c r="L68" s="7" t="s">
        <v>544</v>
      </c>
      <c r="M68" s="7" t="s">
        <v>4418</v>
      </c>
      <c r="N68" s="7" t="s">
        <v>3306</v>
      </c>
      <c r="O68" s="7" t="s">
        <v>4419</v>
      </c>
      <c r="P68" s="7">
        <v>24</v>
      </c>
      <c r="Q68" s="7">
        <v>22878336</v>
      </c>
      <c r="R68" s="7">
        <v>0.05</v>
      </c>
      <c r="S68" s="7">
        <v>0.05</v>
      </c>
      <c r="T68" s="7">
        <v>22821140.16</v>
      </c>
      <c r="U68" s="7">
        <v>16793020.690000001</v>
      </c>
      <c r="V68" s="7">
        <v>0.19</v>
      </c>
      <c r="W68" s="7">
        <v>0.16</v>
      </c>
      <c r="X68" s="7" t="s">
        <v>545</v>
      </c>
      <c r="Y68" s="7">
        <v>19115729.850000001</v>
      </c>
      <c r="Z68" s="7">
        <v>18541741.640000001</v>
      </c>
      <c r="AA68" s="7">
        <v>120</v>
      </c>
      <c r="AB68" s="7">
        <v>32</v>
      </c>
      <c r="AC68" s="7"/>
      <c r="AD68" s="7" t="s">
        <v>381</v>
      </c>
      <c r="AE68" s="7">
        <v>0.78</v>
      </c>
      <c r="AF68" s="7" t="s">
        <v>4319</v>
      </c>
      <c r="AG68" s="7">
        <v>0.1</v>
      </c>
      <c r="AH68" s="7">
        <v>0.05</v>
      </c>
      <c r="AI68" s="7">
        <v>4</v>
      </c>
      <c r="AJ68" s="7">
        <v>4544</v>
      </c>
      <c r="AK68" s="7">
        <v>1510861.92</v>
      </c>
      <c r="AL68" s="7">
        <v>4934656.17</v>
      </c>
      <c r="AM68" s="7" t="s">
        <v>385</v>
      </c>
      <c r="AN68" s="7" t="s">
        <v>356</v>
      </c>
      <c r="AO68" s="7">
        <v>92.2</v>
      </c>
      <c r="AP68" s="7">
        <v>24</v>
      </c>
      <c r="AQ68" s="7" t="s">
        <v>4275</v>
      </c>
      <c r="AR68" s="7" t="s">
        <v>192</v>
      </c>
      <c r="AS68" s="7" t="s">
        <v>324</v>
      </c>
    </row>
    <row r="69" spans="1:45" x14ac:dyDescent="0.3">
      <c r="A69" s="6" t="s">
        <v>546</v>
      </c>
      <c r="B69" s="6" t="s">
        <v>4420</v>
      </c>
      <c r="C69" s="6" t="s">
        <v>278</v>
      </c>
      <c r="D69" s="6" t="s">
        <v>232</v>
      </c>
      <c r="E69" s="6" t="s">
        <v>41</v>
      </c>
      <c r="F69" s="6" t="s">
        <v>350</v>
      </c>
      <c r="G69" s="6" t="s">
        <v>16</v>
      </c>
      <c r="H69" s="6" t="s">
        <v>4326</v>
      </c>
      <c r="I69" s="6" t="s">
        <v>198</v>
      </c>
      <c r="J69" s="6" t="s">
        <v>105</v>
      </c>
      <c r="K69" s="6" t="s">
        <v>184</v>
      </c>
      <c r="L69" s="6" t="s">
        <v>547</v>
      </c>
      <c r="M69" s="6" t="s">
        <v>4421</v>
      </c>
      <c r="N69" s="6"/>
      <c r="O69" s="6" t="s">
        <v>4422</v>
      </c>
      <c r="P69" s="6">
        <v>38</v>
      </c>
      <c r="Q69" s="6">
        <v>23838278</v>
      </c>
      <c r="R69" s="6">
        <v>0.2</v>
      </c>
      <c r="S69" s="6">
        <v>0.1</v>
      </c>
      <c r="T69" s="6">
        <v>20977684.640000001</v>
      </c>
      <c r="U69" s="6">
        <v>15802000.869999999</v>
      </c>
      <c r="V69" s="6">
        <v>0.28999999999999998</v>
      </c>
      <c r="W69" s="6">
        <v>0.15</v>
      </c>
      <c r="X69" s="6" t="s">
        <v>548</v>
      </c>
      <c r="Y69" s="6">
        <v>17857728.210000001</v>
      </c>
      <c r="Z69" s="6">
        <v>15502274.310000001</v>
      </c>
      <c r="AA69" s="6">
        <v>120</v>
      </c>
      <c r="AB69" s="6">
        <v>74</v>
      </c>
      <c r="AC69" s="6" t="s">
        <v>376</v>
      </c>
      <c r="AD69" s="6" t="s">
        <v>406</v>
      </c>
      <c r="AE69" s="6">
        <v>0.87</v>
      </c>
      <c r="AF69" s="6" t="s">
        <v>162</v>
      </c>
      <c r="AG69" s="6">
        <v>0.1</v>
      </c>
      <c r="AH69" s="6">
        <v>0.08</v>
      </c>
      <c r="AI69" s="6">
        <v>3</v>
      </c>
      <c r="AJ69" s="6">
        <v>2068</v>
      </c>
      <c r="AK69" s="6">
        <v>4611639.6100000003</v>
      </c>
      <c r="AL69" s="6">
        <v>5815549.9900000002</v>
      </c>
      <c r="AM69" s="6" t="s">
        <v>73</v>
      </c>
      <c r="AN69" s="6" t="s">
        <v>321</v>
      </c>
      <c r="AO69" s="6">
        <v>69.400000000000006</v>
      </c>
      <c r="AP69" s="6">
        <v>36</v>
      </c>
      <c r="AQ69" s="6" t="s">
        <v>392</v>
      </c>
      <c r="AR69" s="6" t="s">
        <v>229</v>
      </c>
      <c r="AS69" s="6"/>
    </row>
    <row r="70" spans="1:45" x14ac:dyDescent="0.3">
      <c r="A70" s="7" t="s">
        <v>549</v>
      </c>
      <c r="B70" s="7" t="s">
        <v>4423</v>
      </c>
      <c r="C70" s="7" t="s">
        <v>277</v>
      </c>
      <c r="D70" s="7" t="s">
        <v>250</v>
      </c>
      <c r="E70" s="7" t="s">
        <v>41</v>
      </c>
      <c r="F70" s="7" t="s">
        <v>350</v>
      </c>
      <c r="G70" s="7" t="s">
        <v>70</v>
      </c>
      <c r="H70" s="7" t="s">
        <v>236</v>
      </c>
      <c r="I70" s="7" t="s">
        <v>198</v>
      </c>
      <c r="J70" s="6" t="s">
        <v>130</v>
      </c>
      <c r="K70" s="7" t="s">
        <v>221</v>
      </c>
      <c r="L70" s="7" t="s">
        <v>550</v>
      </c>
      <c r="M70" s="7" t="s">
        <v>3364</v>
      </c>
      <c r="N70" s="7" t="s">
        <v>3411</v>
      </c>
      <c r="O70" s="7" t="s">
        <v>3412</v>
      </c>
      <c r="P70" s="7">
        <v>59</v>
      </c>
      <c r="Q70" s="7">
        <v>46012460</v>
      </c>
      <c r="R70" s="7">
        <v>0.04</v>
      </c>
      <c r="S70" s="7">
        <v>0.19</v>
      </c>
      <c r="T70" s="7">
        <v>52564634.299999997</v>
      </c>
      <c r="U70" s="7">
        <v>36772381.259999998</v>
      </c>
      <c r="V70" s="7">
        <v>0.13</v>
      </c>
      <c r="W70" s="7">
        <v>0.16</v>
      </c>
      <c r="X70" s="7" t="s">
        <v>551</v>
      </c>
      <c r="Y70" s="7">
        <v>35471538.420000002</v>
      </c>
      <c r="Z70" s="7">
        <v>14028392.17</v>
      </c>
      <c r="AA70" s="7">
        <v>30</v>
      </c>
      <c r="AB70" s="7">
        <v>110</v>
      </c>
      <c r="AC70" s="7" t="s">
        <v>353</v>
      </c>
      <c r="AD70" s="7" t="s">
        <v>381</v>
      </c>
      <c r="AE70" s="7">
        <v>0.31</v>
      </c>
      <c r="AF70" s="7" t="s">
        <v>159</v>
      </c>
      <c r="AG70" s="7">
        <v>0.1</v>
      </c>
      <c r="AH70" s="7">
        <v>0.02</v>
      </c>
      <c r="AI70" s="7">
        <v>8</v>
      </c>
      <c r="AJ70" s="7">
        <v>3660</v>
      </c>
      <c r="AK70" s="7">
        <v>8816182.6099999994</v>
      </c>
      <c r="AL70" s="7">
        <v>10383137.710000001</v>
      </c>
      <c r="AM70" s="7" t="s">
        <v>321</v>
      </c>
      <c r="AN70" s="7" t="s">
        <v>348</v>
      </c>
      <c r="AO70" s="7">
        <v>78.099999999999994</v>
      </c>
      <c r="AP70" s="7" t="s">
        <v>4275</v>
      </c>
      <c r="AQ70" s="7" t="s">
        <v>387</v>
      </c>
      <c r="AR70" s="7" t="s">
        <v>186</v>
      </c>
      <c r="AS70" s="7" t="s">
        <v>361</v>
      </c>
    </row>
    <row r="71" spans="1:45" x14ac:dyDescent="0.3">
      <c r="A71" s="6" t="s">
        <v>552</v>
      </c>
      <c r="B71" s="6" t="s">
        <v>3413</v>
      </c>
      <c r="C71" s="6" t="s">
        <v>278</v>
      </c>
      <c r="D71" s="6" t="s">
        <v>220</v>
      </c>
      <c r="E71" s="6" t="s">
        <v>52</v>
      </c>
      <c r="F71" s="6" t="s">
        <v>75</v>
      </c>
      <c r="G71" s="6" t="s">
        <v>73</v>
      </c>
      <c r="H71" s="6" t="s">
        <v>4266</v>
      </c>
      <c r="I71" s="6" t="s">
        <v>4291</v>
      </c>
      <c r="J71" s="6" t="s">
        <v>119</v>
      </c>
      <c r="K71" s="6" t="s">
        <v>326</v>
      </c>
      <c r="L71" s="6" t="s">
        <v>553</v>
      </c>
      <c r="M71" s="6" t="s">
        <v>3414</v>
      </c>
      <c r="N71" s="6"/>
      <c r="O71" s="6" t="s">
        <v>3415</v>
      </c>
      <c r="P71" s="6" t="s">
        <v>4275</v>
      </c>
      <c r="Q71" s="6">
        <v>34886412</v>
      </c>
      <c r="R71" s="6">
        <v>0.28999999999999998</v>
      </c>
      <c r="S71" s="6">
        <v>0.04</v>
      </c>
      <c r="T71" s="6">
        <v>25760126.620000001</v>
      </c>
      <c r="U71" s="6">
        <v>17402830.57</v>
      </c>
      <c r="V71" s="6">
        <v>0.34</v>
      </c>
      <c r="W71" s="6">
        <v>0.19</v>
      </c>
      <c r="X71" s="6" t="s">
        <v>554</v>
      </c>
      <c r="Y71" s="6">
        <v>18866568.02</v>
      </c>
      <c r="Z71" s="6">
        <v>12384874.02</v>
      </c>
      <c r="AA71" s="6">
        <v>30</v>
      </c>
      <c r="AB71" s="6">
        <v>76</v>
      </c>
      <c r="AC71" s="6" t="s">
        <v>353</v>
      </c>
      <c r="AD71" s="6" t="s">
        <v>320</v>
      </c>
      <c r="AE71" s="6">
        <v>0.89</v>
      </c>
      <c r="AF71" s="6" t="s">
        <v>153</v>
      </c>
      <c r="AG71" s="6">
        <v>0.05</v>
      </c>
      <c r="AH71" s="6">
        <v>0.04</v>
      </c>
      <c r="AI71" s="6">
        <v>2</v>
      </c>
      <c r="AJ71" s="6">
        <v>979</v>
      </c>
      <c r="AK71" s="6">
        <v>4315522.7</v>
      </c>
      <c r="AL71" s="6">
        <v>10365468.939999999</v>
      </c>
      <c r="AM71" s="6" t="s">
        <v>321</v>
      </c>
      <c r="AN71" s="6" t="s">
        <v>330</v>
      </c>
      <c r="AO71" s="6">
        <v>81.5</v>
      </c>
      <c r="AP71" s="6">
        <v>12</v>
      </c>
      <c r="AQ71" s="6" t="s">
        <v>337</v>
      </c>
      <c r="AR71" s="6" t="s">
        <v>192</v>
      </c>
      <c r="AS71" s="6"/>
    </row>
    <row r="72" spans="1:45" x14ac:dyDescent="0.3">
      <c r="A72" s="7" t="s">
        <v>555</v>
      </c>
      <c r="B72" s="7" t="s">
        <v>4424</v>
      </c>
      <c r="C72" s="7" t="s">
        <v>269</v>
      </c>
      <c r="D72" s="7"/>
      <c r="E72" s="7" t="s">
        <v>41</v>
      </c>
      <c r="F72" s="7" t="s">
        <v>363</v>
      </c>
      <c r="G72" s="7" t="s">
        <v>80</v>
      </c>
      <c r="H72" s="7" t="s">
        <v>4275</v>
      </c>
      <c r="I72" s="7"/>
      <c r="J72" s="6" t="s">
        <v>105</v>
      </c>
      <c r="K72" s="7" t="s">
        <v>210</v>
      </c>
      <c r="L72" s="7" t="s">
        <v>556</v>
      </c>
      <c r="M72" s="7" t="s">
        <v>4425</v>
      </c>
      <c r="N72" s="7" t="s">
        <v>4426</v>
      </c>
      <c r="O72" s="7" t="s">
        <v>3416</v>
      </c>
      <c r="P72" s="7">
        <v>17</v>
      </c>
      <c r="Q72" s="7">
        <v>29571949</v>
      </c>
      <c r="R72" s="7">
        <v>0.14000000000000001</v>
      </c>
      <c r="S72" s="7">
        <v>0.16</v>
      </c>
      <c r="T72" s="7">
        <v>29500976.32</v>
      </c>
      <c r="U72" s="7">
        <v>19937424.550000001</v>
      </c>
      <c r="V72" s="7">
        <v>0.28000000000000003</v>
      </c>
      <c r="W72" s="7">
        <v>0.14000000000000001</v>
      </c>
      <c r="X72" s="7" t="s">
        <v>557</v>
      </c>
      <c r="Y72" s="7">
        <v>2247864.61</v>
      </c>
      <c r="Z72" s="7">
        <v>955474.59</v>
      </c>
      <c r="AA72" s="7">
        <v>45</v>
      </c>
      <c r="AB72" s="7">
        <v>35</v>
      </c>
      <c r="AC72" s="7" t="s">
        <v>329</v>
      </c>
      <c r="AD72" s="7" t="s">
        <v>455</v>
      </c>
      <c r="AE72" s="7">
        <v>0.75</v>
      </c>
      <c r="AF72" s="7"/>
      <c r="AG72" s="7">
        <v>0.15</v>
      </c>
      <c r="AH72" s="7">
        <v>0.04</v>
      </c>
      <c r="AI72" s="7">
        <v>4</v>
      </c>
      <c r="AJ72" s="7">
        <v>2391</v>
      </c>
      <c r="AK72" s="7">
        <v>2290991.29</v>
      </c>
      <c r="AL72" s="7">
        <v>9801353.0800000001</v>
      </c>
      <c r="AM72" s="7" t="s">
        <v>385</v>
      </c>
      <c r="AN72" s="7" t="s">
        <v>321</v>
      </c>
      <c r="AO72" s="7">
        <v>96.6</v>
      </c>
      <c r="AP72" s="7">
        <v>36</v>
      </c>
      <c r="AQ72" s="7" t="s">
        <v>323</v>
      </c>
      <c r="AR72" s="7" t="s">
        <v>224</v>
      </c>
      <c r="AS72" s="7" t="s">
        <v>361</v>
      </c>
    </row>
    <row r="73" spans="1:45" x14ac:dyDescent="0.3">
      <c r="A73" s="6" t="s">
        <v>558</v>
      </c>
      <c r="B73" s="6" t="s">
        <v>3417</v>
      </c>
      <c r="C73" s="6" t="s">
        <v>261</v>
      </c>
      <c r="D73" s="6" t="s">
        <v>215</v>
      </c>
      <c r="E73" s="6" t="s">
        <v>20</v>
      </c>
      <c r="F73" s="6" t="s">
        <v>31</v>
      </c>
      <c r="G73" s="6" t="s">
        <v>73</v>
      </c>
      <c r="H73" s="6" t="s">
        <v>216</v>
      </c>
      <c r="I73" s="6" t="s">
        <v>4272</v>
      </c>
      <c r="J73" s="6" t="s">
        <v>136</v>
      </c>
      <c r="K73" s="6" t="s">
        <v>210</v>
      </c>
      <c r="L73" s="6" t="s">
        <v>559</v>
      </c>
      <c r="M73" s="6" t="s">
        <v>3418</v>
      </c>
      <c r="N73" s="6" t="s">
        <v>4427</v>
      </c>
      <c r="O73" s="6" t="s">
        <v>3420</v>
      </c>
      <c r="P73" s="6">
        <v>60</v>
      </c>
      <c r="Q73" s="6">
        <v>32805595</v>
      </c>
      <c r="R73" s="6">
        <v>0.16</v>
      </c>
      <c r="S73" s="6">
        <v>0.1</v>
      </c>
      <c r="T73" s="6">
        <v>30312369.780000001</v>
      </c>
      <c r="U73" s="6"/>
      <c r="V73" s="6">
        <v>0.06</v>
      </c>
      <c r="W73" s="6">
        <v>0.14000000000000001</v>
      </c>
      <c r="X73" s="6" t="s">
        <v>560</v>
      </c>
      <c r="Y73" s="6">
        <v>9391504.6899999995</v>
      </c>
      <c r="Z73" s="6">
        <v>7206439.1399999997</v>
      </c>
      <c r="AA73" s="6">
        <v>120</v>
      </c>
      <c r="AB73" s="6">
        <v>146</v>
      </c>
      <c r="AC73" s="6" t="s">
        <v>329</v>
      </c>
      <c r="AD73" s="6" t="s">
        <v>320</v>
      </c>
      <c r="AE73" s="6">
        <v>0.39</v>
      </c>
      <c r="AF73" s="6"/>
      <c r="AG73" s="6">
        <v>0.1</v>
      </c>
      <c r="AH73" s="6">
        <v>0.1</v>
      </c>
      <c r="AI73" s="6">
        <v>5</v>
      </c>
      <c r="AJ73" s="6">
        <v>4431</v>
      </c>
      <c r="AK73" s="6">
        <v>6010802.4299999997</v>
      </c>
      <c r="AL73" s="6">
        <v>5738818.4500000002</v>
      </c>
      <c r="AM73" s="6" t="s">
        <v>355</v>
      </c>
      <c r="AN73" s="6" t="s">
        <v>330</v>
      </c>
      <c r="AO73" s="6">
        <v>60.6</v>
      </c>
      <c r="AP73" s="6">
        <v>36</v>
      </c>
      <c r="AQ73" s="6" t="s">
        <v>323</v>
      </c>
      <c r="AR73" s="6" t="s">
        <v>192</v>
      </c>
      <c r="AS73" s="6" t="s">
        <v>377</v>
      </c>
    </row>
    <row r="74" spans="1:45" x14ac:dyDescent="0.3">
      <c r="A74" s="7" t="s">
        <v>561</v>
      </c>
      <c r="B74" s="7" t="s">
        <v>4428</v>
      </c>
      <c r="C74" s="7" t="s">
        <v>277</v>
      </c>
      <c r="D74" s="7" t="s">
        <v>562</v>
      </c>
      <c r="E74" s="7" t="s">
        <v>113</v>
      </c>
      <c r="F74" s="7" t="s">
        <v>181</v>
      </c>
      <c r="G74" s="7" t="s">
        <v>46</v>
      </c>
      <c r="H74" s="7" t="s">
        <v>182</v>
      </c>
      <c r="I74" s="7" t="s">
        <v>183</v>
      </c>
      <c r="J74" s="7" t="s">
        <v>127</v>
      </c>
      <c r="K74" s="7" t="s">
        <v>184</v>
      </c>
      <c r="L74" s="7" t="s">
        <v>563</v>
      </c>
      <c r="M74" s="7" t="s">
        <v>4429</v>
      </c>
      <c r="N74" s="7"/>
      <c r="O74" s="7" t="s">
        <v>4430</v>
      </c>
      <c r="P74" s="7">
        <v>19</v>
      </c>
      <c r="Q74" s="7">
        <v>16231019</v>
      </c>
      <c r="R74" s="7">
        <v>0.3</v>
      </c>
      <c r="S74" s="7">
        <v>0.15</v>
      </c>
      <c r="T74" s="7">
        <v>13065970.289999999</v>
      </c>
      <c r="U74" s="7">
        <v>10074490.859999999</v>
      </c>
      <c r="V74" s="7">
        <v>0.18</v>
      </c>
      <c r="W74" s="7">
        <v>0.14000000000000001</v>
      </c>
      <c r="X74" s="7" t="s">
        <v>564</v>
      </c>
      <c r="Y74" s="7">
        <v>7472827.9699999997</v>
      </c>
      <c r="Z74" s="7">
        <v>3233304.66</v>
      </c>
      <c r="AA74" s="7">
        <v>120</v>
      </c>
      <c r="AB74" s="7">
        <v>36</v>
      </c>
      <c r="AC74" s="7" t="s">
        <v>329</v>
      </c>
      <c r="AD74" s="7" t="s">
        <v>336</v>
      </c>
      <c r="AE74" s="7">
        <v>0.47</v>
      </c>
      <c r="AF74" s="7" t="s">
        <v>4294</v>
      </c>
      <c r="AG74" s="7">
        <v>0.05</v>
      </c>
      <c r="AH74" s="7">
        <v>0.06</v>
      </c>
      <c r="AI74" s="7">
        <v>4</v>
      </c>
      <c r="AJ74" s="7">
        <v>2900</v>
      </c>
      <c r="AK74" s="7">
        <v>1298201.28</v>
      </c>
      <c r="AL74" s="7">
        <v>5943301.9299999997</v>
      </c>
      <c r="AM74" s="7" t="s">
        <v>343</v>
      </c>
      <c r="AN74" s="7"/>
      <c r="AO74" s="7"/>
      <c r="AP74" s="7" t="s">
        <v>4275</v>
      </c>
      <c r="AQ74" s="7" t="s">
        <v>323</v>
      </c>
      <c r="AR74" s="7" t="s">
        <v>224</v>
      </c>
      <c r="AS74" s="7" t="s">
        <v>324</v>
      </c>
    </row>
    <row r="75" spans="1:45" x14ac:dyDescent="0.3">
      <c r="A75" s="6" t="s">
        <v>565</v>
      </c>
      <c r="B75" s="6" t="s">
        <v>3422</v>
      </c>
      <c r="C75" s="6" t="s">
        <v>222</v>
      </c>
      <c r="D75" s="6" t="s">
        <v>394</v>
      </c>
      <c r="E75" s="6" t="s">
        <v>4325</v>
      </c>
      <c r="F75" s="6" t="s">
        <v>19</v>
      </c>
      <c r="G75" s="6" t="s">
        <v>16</v>
      </c>
      <c r="H75" s="6" t="s">
        <v>216</v>
      </c>
      <c r="I75" s="6" t="s">
        <v>198</v>
      </c>
      <c r="J75" s="6" t="s">
        <v>115</v>
      </c>
      <c r="K75" s="6" t="s">
        <v>184</v>
      </c>
      <c r="L75" s="6" t="s">
        <v>566</v>
      </c>
      <c r="M75" s="6" t="s">
        <v>3423</v>
      </c>
      <c r="N75" s="6"/>
      <c r="O75" s="6" t="s">
        <v>4431</v>
      </c>
      <c r="P75" s="6">
        <v>56</v>
      </c>
      <c r="Q75" s="6">
        <v>10760073</v>
      </c>
      <c r="R75" s="6">
        <v>0.13</v>
      </c>
      <c r="S75" s="6">
        <v>0.13</v>
      </c>
      <c r="T75" s="6">
        <v>10578227.77</v>
      </c>
      <c r="U75" s="6">
        <v>6799829.1100000003</v>
      </c>
      <c r="V75" s="6">
        <v>0.32</v>
      </c>
      <c r="W75" s="6">
        <v>0.14000000000000001</v>
      </c>
      <c r="X75" s="6" t="s">
        <v>567</v>
      </c>
      <c r="Y75" s="6">
        <v>1592876.83</v>
      </c>
      <c r="Z75" s="6">
        <v>771393.72</v>
      </c>
      <c r="AA75" s="6">
        <v>60</v>
      </c>
      <c r="AB75" s="6">
        <v>30</v>
      </c>
      <c r="AC75" s="6"/>
      <c r="AD75" s="6" t="s">
        <v>354</v>
      </c>
      <c r="AE75" s="6">
        <v>0.5</v>
      </c>
      <c r="AF75" s="6" t="s">
        <v>159</v>
      </c>
      <c r="AG75" s="6">
        <v>0.1</v>
      </c>
      <c r="AH75" s="6">
        <v>0.05</v>
      </c>
      <c r="AI75" s="6">
        <v>5</v>
      </c>
      <c r="AJ75" s="6">
        <v>1892</v>
      </c>
      <c r="AK75" s="6">
        <v>533238.26</v>
      </c>
      <c r="AL75" s="6"/>
      <c r="AM75" s="6" t="s">
        <v>73</v>
      </c>
      <c r="AN75" s="6" t="s">
        <v>348</v>
      </c>
      <c r="AO75" s="6">
        <v>86.2</v>
      </c>
      <c r="AP75" s="6">
        <v>60</v>
      </c>
      <c r="AQ75" s="6" t="s">
        <v>4275</v>
      </c>
      <c r="AR75" s="6" t="s">
        <v>206</v>
      </c>
      <c r="AS75" s="6"/>
    </row>
    <row r="76" spans="1:45" x14ac:dyDescent="0.3">
      <c r="A76" s="7" t="s">
        <v>568</v>
      </c>
      <c r="B76" s="7" t="s">
        <v>3424</v>
      </c>
      <c r="C76" s="7" t="s">
        <v>249</v>
      </c>
      <c r="D76" s="7" t="s">
        <v>245</v>
      </c>
      <c r="E76" s="7" t="s">
        <v>4306</v>
      </c>
      <c r="F76" s="7" t="s">
        <v>75</v>
      </c>
      <c r="G76" s="7" t="s">
        <v>78</v>
      </c>
      <c r="H76" s="7" t="s">
        <v>182</v>
      </c>
      <c r="I76" s="7" t="s">
        <v>4272</v>
      </c>
      <c r="J76" s="6" t="s">
        <v>133</v>
      </c>
      <c r="K76" s="7" t="s">
        <v>204</v>
      </c>
      <c r="L76" s="7" t="s">
        <v>569</v>
      </c>
      <c r="M76" s="7" t="s">
        <v>4432</v>
      </c>
      <c r="N76" s="7" t="s">
        <v>3426</v>
      </c>
      <c r="O76" s="7" t="s">
        <v>3427</v>
      </c>
      <c r="P76" s="7">
        <v>3</v>
      </c>
      <c r="Q76" s="7">
        <v>2819699</v>
      </c>
      <c r="R76" s="7">
        <v>0.31</v>
      </c>
      <c r="S76" s="7">
        <v>0.08</v>
      </c>
      <c r="T76" s="7">
        <v>2101239.69</v>
      </c>
      <c r="U76" s="7">
        <v>1758373.57</v>
      </c>
      <c r="V76" s="7">
        <v>0.09</v>
      </c>
      <c r="W76" s="7">
        <v>0.05</v>
      </c>
      <c r="X76" s="7" t="s">
        <v>570</v>
      </c>
      <c r="Y76" s="7">
        <v>1448858.72</v>
      </c>
      <c r="Z76" s="7">
        <v>542672.89</v>
      </c>
      <c r="AA76" s="7">
        <v>45</v>
      </c>
      <c r="AB76" s="7">
        <v>155</v>
      </c>
      <c r="AC76" s="7" t="s">
        <v>329</v>
      </c>
      <c r="AD76" s="7" t="s">
        <v>320</v>
      </c>
      <c r="AE76" s="7">
        <v>0.56000000000000005</v>
      </c>
      <c r="AF76" s="7" t="s">
        <v>4319</v>
      </c>
      <c r="AG76" s="7">
        <v>0.05</v>
      </c>
      <c r="AH76" s="7">
        <v>0.09</v>
      </c>
      <c r="AI76" s="7">
        <v>13</v>
      </c>
      <c r="AJ76" s="7">
        <v>4805</v>
      </c>
      <c r="AK76" s="7">
        <v>455222.43</v>
      </c>
      <c r="AL76" s="7">
        <v>517446.32</v>
      </c>
      <c r="AM76" s="7" t="s">
        <v>321</v>
      </c>
      <c r="AN76" s="7" t="s">
        <v>356</v>
      </c>
      <c r="AO76" s="7">
        <v>90.2</v>
      </c>
      <c r="AP76" s="7">
        <v>48</v>
      </c>
      <c r="AQ76" s="7" t="s">
        <v>387</v>
      </c>
      <c r="AR76" s="7" t="s">
        <v>206</v>
      </c>
      <c r="AS76" s="7" t="s">
        <v>357</v>
      </c>
    </row>
    <row r="77" spans="1:45" x14ac:dyDescent="0.3">
      <c r="A77" s="6" t="s">
        <v>571</v>
      </c>
      <c r="B77" s="6" t="s">
        <v>4433</v>
      </c>
      <c r="C77" s="6" t="s">
        <v>211</v>
      </c>
      <c r="D77" s="6" t="s">
        <v>265</v>
      </c>
      <c r="E77" s="6" t="s">
        <v>113</v>
      </c>
      <c r="F77" s="6" t="s">
        <v>181</v>
      </c>
      <c r="G77" s="6" t="s">
        <v>50</v>
      </c>
      <c r="H77" s="6" t="s">
        <v>4275</v>
      </c>
      <c r="I77" s="6" t="s">
        <v>213</v>
      </c>
      <c r="J77" s="6" t="s">
        <v>123</v>
      </c>
      <c r="K77" s="6" t="s">
        <v>223</v>
      </c>
      <c r="L77" s="6" t="s">
        <v>572</v>
      </c>
      <c r="M77" s="6" t="s">
        <v>4434</v>
      </c>
      <c r="N77" s="6" t="s">
        <v>3428</v>
      </c>
      <c r="O77" s="6" t="s">
        <v>4435</v>
      </c>
      <c r="P77" s="6">
        <v>41</v>
      </c>
      <c r="Q77" s="6">
        <v>17230729</v>
      </c>
      <c r="R77" s="6">
        <v>0.35</v>
      </c>
      <c r="S77" s="6">
        <v>0.09</v>
      </c>
      <c r="T77" s="6">
        <v>12207971.5</v>
      </c>
      <c r="U77" s="6">
        <v>10158039.880000001</v>
      </c>
      <c r="V77" s="6">
        <v>0.22</v>
      </c>
      <c r="W77" s="6">
        <v>0.05</v>
      </c>
      <c r="X77" s="6" t="s">
        <v>573</v>
      </c>
      <c r="Y77" s="6">
        <v>8644041.1400000006</v>
      </c>
      <c r="Z77" s="6">
        <v>5346372.3</v>
      </c>
      <c r="AA77" s="6">
        <v>45</v>
      </c>
      <c r="AB77" s="6">
        <v>169</v>
      </c>
      <c r="AC77" s="6" t="s">
        <v>329</v>
      </c>
      <c r="AD77" s="6" t="s">
        <v>354</v>
      </c>
      <c r="AE77" s="6">
        <v>0.16</v>
      </c>
      <c r="AF77" s="6" t="s">
        <v>4319</v>
      </c>
      <c r="AG77" s="6">
        <v>0.05</v>
      </c>
      <c r="AH77" s="6">
        <v>0.05</v>
      </c>
      <c r="AI77" s="6">
        <v>5</v>
      </c>
      <c r="AJ77" s="6">
        <v>4192</v>
      </c>
      <c r="AK77" s="6">
        <v>894652.94</v>
      </c>
      <c r="AL77" s="6">
        <v>1396890.46</v>
      </c>
      <c r="AM77" s="6" t="s">
        <v>321</v>
      </c>
      <c r="AN77" s="6"/>
      <c r="AO77" s="6">
        <v>90.2</v>
      </c>
      <c r="AP77" s="6">
        <v>12</v>
      </c>
      <c r="AQ77" s="6" t="s">
        <v>387</v>
      </c>
      <c r="AR77" s="6" t="s">
        <v>206</v>
      </c>
      <c r="AS77" s="6" t="s">
        <v>361</v>
      </c>
    </row>
    <row r="78" spans="1:45" x14ac:dyDescent="0.3">
      <c r="A78" s="7" t="s">
        <v>574</v>
      </c>
      <c r="B78" s="7" t="s">
        <v>3430</v>
      </c>
      <c r="C78" s="7" t="s">
        <v>241</v>
      </c>
      <c r="D78" s="7" t="s">
        <v>253</v>
      </c>
      <c r="E78" s="7" t="s">
        <v>36</v>
      </c>
      <c r="F78" s="7" t="s">
        <v>19</v>
      </c>
      <c r="G78" s="7" t="s">
        <v>62</v>
      </c>
      <c r="H78" s="7" t="s">
        <v>182</v>
      </c>
      <c r="I78" s="7" t="s">
        <v>240</v>
      </c>
      <c r="J78" s="7" t="s">
        <v>115</v>
      </c>
      <c r="K78" s="7" t="s">
        <v>199</v>
      </c>
      <c r="L78" s="7" t="s">
        <v>575</v>
      </c>
      <c r="M78" s="7" t="s">
        <v>3431</v>
      </c>
      <c r="N78" s="7" t="s">
        <v>4436</v>
      </c>
      <c r="O78" s="7" t="s">
        <v>3786</v>
      </c>
      <c r="P78" s="7">
        <v>58</v>
      </c>
      <c r="Q78" s="7">
        <v>34945124</v>
      </c>
      <c r="R78" s="7">
        <v>0.02</v>
      </c>
      <c r="S78" s="7">
        <v>0.13</v>
      </c>
      <c r="T78" s="7">
        <v>38698230.32</v>
      </c>
      <c r="U78" s="7"/>
      <c r="V78" s="7">
        <v>7.0000000000000007E-2</v>
      </c>
      <c r="W78" s="7">
        <v>0.15</v>
      </c>
      <c r="X78" s="7" t="s">
        <v>576</v>
      </c>
      <c r="Y78" s="7">
        <v>32169870.129999999</v>
      </c>
      <c r="Z78" s="7">
        <v>23795220.469999999</v>
      </c>
      <c r="AA78" s="7">
        <v>120</v>
      </c>
      <c r="AB78" s="7">
        <v>150</v>
      </c>
      <c r="AC78" s="7" t="s">
        <v>347</v>
      </c>
      <c r="AD78" s="7" t="s">
        <v>336</v>
      </c>
      <c r="AE78" s="7">
        <v>0.38</v>
      </c>
      <c r="AF78" s="7" t="s">
        <v>159</v>
      </c>
      <c r="AG78" s="7">
        <v>0.1</v>
      </c>
      <c r="AH78" s="7">
        <v>0.03</v>
      </c>
      <c r="AI78" s="7">
        <v>6</v>
      </c>
      <c r="AJ78" s="7">
        <v>89</v>
      </c>
      <c r="AK78" s="7">
        <v>3117933.02</v>
      </c>
      <c r="AL78" s="7">
        <v>10044986.890000001</v>
      </c>
      <c r="AM78" s="7" t="s">
        <v>355</v>
      </c>
      <c r="AN78" s="7" t="s">
        <v>322</v>
      </c>
      <c r="AO78" s="7">
        <v>61.5</v>
      </c>
      <c r="AP78" s="7">
        <v>36</v>
      </c>
      <c r="AQ78" s="7" t="s">
        <v>387</v>
      </c>
      <c r="AR78" s="7" t="s">
        <v>206</v>
      </c>
      <c r="AS78" s="7" t="s">
        <v>361</v>
      </c>
    </row>
    <row r="79" spans="1:45" x14ac:dyDescent="0.3">
      <c r="A79" s="6" t="s">
        <v>577</v>
      </c>
      <c r="B79" s="6" t="s">
        <v>3432</v>
      </c>
      <c r="C79" s="6" t="s">
        <v>273</v>
      </c>
      <c r="D79" s="6" t="s">
        <v>202</v>
      </c>
      <c r="E79" s="6"/>
      <c r="F79" s="6" t="s">
        <v>35</v>
      </c>
      <c r="G79" s="6" t="s">
        <v>62</v>
      </c>
      <c r="H79" s="6" t="s">
        <v>197</v>
      </c>
      <c r="I79" s="6" t="s">
        <v>191</v>
      </c>
      <c r="J79" s="6" t="s">
        <v>105</v>
      </c>
      <c r="K79" s="6" t="s">
        <v>223</v>
      </c>
      <c r="L79" s="6" t="s">
        <v>578</v>
      </c>
      <c r="M79" s="6" t="s">
        <v>4437</v>
      </c>
      <c r="N79" s="6" t="s">
        <v>4438</v>
      </c>
      <c r="O79" s="6" t="s">
        <v>3279</v>
      </c>
      <c r="P79" s="6" t="s">
        <v>4275</v>
      </c>
      <c r="Q79" s="6" t="s">
        <v>4275</v>
      </c>
      <c r="R79" s="6">
        <v>0.33</v>
      </c>
      <c r="S79" s="6">
        <v>0.12</v>
      </c>
      <c r="T79" s="6">
        <v>9354828.5800000001</v>
      </c>
      <c r="U79" s="6">
        <v>6955277.8399999999</v>
      </c>
      <c r="V79" s="6">
        <v>0.23</v>
      </c>
      <c r="W79" s="6">
        <v>0.11</v>
      </c>
      <c r="X79" s="6" t="s">
        <v>579</v>
      </c>
      <c r="Y79" s="6">
        <v>7703124.5199999996</v>
      </c>
      <c r="Z79" s="6">
        <v>5386020.5999999996</v>
      </c>
      <c r="AA79" s="6">
        <v>45</v>
      </c>
      <c r="AB79" s="6">
        <v>61</v>
      </c>
      <c r="AC79" s="6" t="s">
        <v>353</v>
      </c>
      <c r="AD79" s="6" t="s">
        <v>320</v>
      </c>
      <c r="AE79" s="6">
        <v>0.74</v>
      </c>
      <c r="AF79" s="6" t="s">
        <v>152</v>
      </c>
      <c r="AG79" s="6">
        <v>0.1</v>
      </c>
      <c r="AH79" s="6">
        <v>0.03</v>
      </c>
      <c r="AI79" s="6">
        <v>6</v>
      </c>
      <c r="AJ79" s="6">
        <v>78</v>
      </c>
      <c r="AK79" s="6"/>
      <c r="AL79" s="6">
        <v>3109575.77</v>
      </c>
      <c r="AM79" s="6" t="s">
        <v>391</v>
      </c>
      <c r="AN79" s="6" t="s">
        <v>356</v>
      </c>
      <c r="AO79" s="6">
        <v>72.900000000000006</v>
      </c>
      <c r="AP79" s="6">
        <v>60</v>
      </c>
      <c r="AQ79" s="6" t="s">
        <v>392</v>
      </c>
      <c r="AR79" s="6" t="s">
        <v>186</v>
      </c>
      <c r="AS79" s="6" t="s">
        <v>361</v>
      </c>
    </row>
    <row r="80" spans="1:45" x14ac:dyDescent="0.3">
      <c r="A80" s="7" t="s">
        <v>580</v>
      </c>
      <c r="B80" s="7" t="s">
        <v>3433</v>
      </c>
      <c r="C80" s="7" t="s">
        <v>261</v>
      </c>
      <c r="D80" s="7" t="s">
        <v>281</v>
      </c>
      <c r="E80" s="7"/>
      <c r="F80" s="7" t="s">
        <v>363</v>
      </c>
      <c r="G80" s="7" t="s">
        <v>38</v>
      </c>
      <c r="H80" s="7" t="s">
        <v>4275</v>
      </c>
      <c r="I80" s="7" t="s">
        <v>183</v>
      </c>
      <c r="J80" s="7" t="s">
        <v>105</v>
      </c>
      <c r="K80" s="7" t="s">
        <v>223</v>
      </c>
      <c r="L80" s="7" t="s">
        <v>581</v>
      </c>
      <c r="M80" s="7" t="s">
        <v>4439</v>
      </c>
      <c r="N80" s="7"/>
      <c r="O80" s="7" t="s">
        <v>3435</v>
      </c>
      <c r="P80" s="7" t="s">
        <v>4275</v>
      </c>
      <c r="Q80" s="7">
        <v>12542237</v>
      </c>
      <c r="R80" s="7">
        <v>0.18</v>
      </c>
      <c r="S80" s="7">
        <v>0</v>
      </c>
      <c r="T80" s="7">
        <v>10284634.34</v>
      </c>
      <c r="U80" s="7">
        <v>6835581.4000000004</v>
      </c>
      <c r="V80" s="7">
        <v>0.34</v>
      </c>
      <c r="W80" s="7">
        <v>0.06</v>
      </c>
      <c r="X80" s="7" t="s">
        <v>582</v>
      </c>
      <c r="Y80" s="7">
        <v>6639818.8899999997</v>
      </c>
      <c r="Z80" s="7">
        <v>3969600.47</v>
      </c>
      <c r="AA80" s="7">
        <v>90</v>
      </c>
      <c r="AB80" s="7">
        <v>72</v>
      </c>
      <c r="AC80" s="7" t="s">
        <v>329</v>
      </c>
      <c r="AD80" s="7" t="s">
        <v>354</v>
      </c>
      <c r="AE80" s="7">
        <v>0.47</v>
      </c>
      <c r="AF80" s="7" t="s">
        <v>4319</v>
      </c>
      <c r="AG80" s="7">
        <v>0.15</v>
      </c>
      <c r="AH80" s="7">
        <v>0.02</v>
      </c>
      <c r="AI80" s="7">
        <v>7</v>
      </c>
      <c r="AJ80" s="7">
        <v>172</v>
      </c>
      <c r="AK80" s="7">
        <v>1036185.27</v>
      </c>
      <c r="AL80" s="7">
        <v>3519714.66</v>
      </c>
      <c r="AM80" s="7"/>
      <c r="AN80" s="7" t="s">
        <v>356</v>
      </c>
      <c r="AO80" s="7">
        <v>68</v>
      </c>
      <c r="AP80" s="7">
        <v>60</v>
      </c>
      <c r="AQ80" s="7" t="s">
        <v>337</v>
      </c>
      <c r="AR80" s="7" t="s">
        <v>229</v>
      </c>
      <c r="AS80" s="7" t="s">
        <v>361</v>
      </c>
    </row>
    <row r="81" spans="1:45" x14ac:dyDescent="0.3">
      <c r="A81" s="6" t="s">
        <v>583</v>
      </c>
      <c r="B81" s="6" t="s">
        <v>4440</v>
      </c>
      <c r="C81" s="6" t="s">
        <v>239</v>
      </c>
      <c r="D81" s="6" t="s">
        <v>245</v>
      </c>
      <c r="E81" s="6" t="s">
        <v>36</v>
      </c>
      <c r="F81" s="6" t="s">
        <v>339</v>
      </c>
      <c r="G81" s="6" t="s">
        <v>33</v>
      </c>
      <c r="H81" s="6" t="s">
        <v>197</v>
      </c>
      <c r="I81" s="6" t="s">
        <v>213</v>
      </c>
      <c r="J81" s="6" t="s">
        <v>115</v>
      </c>
      <c r="K81" s="6" t="s">
        <v>333</v>
      </c>
      <c r="L81" s="6" t="s">
        <v>584</v>
      </c>
      <c r="M81" s="6" t="s">
        <v>3437</v>
      </c>
      <c r="N81" s="6"/>
      <c r="O81" s="6" t="s">
        <v>4274</v>
      </c>
      <c r="P81" s="6">
        <v>45</v>
      </c>
      <c r="Q81" s="6">
        <v>25773241</v>
      </c>
      <c r="R81" s="6">
        <v>0.22</v>
      </c>
      <c r="S81" s="6">
        <v>7.0000000000000007E-2</v>
      </c>
      <c r="T81" s="6">
        <v>21510346.940000001</v>
      </c>
      <c r="U81" s="6">
        <v>17706513.190000001</v>
      </c>
      <c r="V81" s="6">
        <v>0.12</v>
      </c>
      <c r="W81" s="6">
        <v>0.11</v>
      </c>
      <c r="X81" s="6" t="s">
        <v>585</v>
      </c>
      <c r="Y81" s="6">
        <v>18565693.719999999</v>
      </c>
      <c r="Z81" s="6">
        <v>18465552.600000001</v>
      </c>
      <c r="AA81" s="6">
        <v>60</v>
      </c>
      <c r="AB81" s="6">
        <v>108</v>
      </c>
      <c r="AC81" s="6" t="s">
        <v>353</v>
      </c>
      <c r="AD81" s="6" t="s">
        <v>336</v>
      </c>
      <c r="AE81" s="6">
        <v>0.64</v>
      </c>
      <c r="AF81" s="6" t="s">
        <v>4361</v>
      </c>
      <c r="AG81" s="6">
        <v>0.15</v>
      </c>
      <c r="AH81" s="6">
        <v>0.05</v>
      </c>
      <c r="AI81" s="6">
        <v>2</v>
      </c>
      <c r="AJ81" s="6"/>
      <c r="AK81" s="6">
        <v>4214934.53</v>
      </c>
      <c r="AL81" s="6">
        <v>4409210.4000000004</v>
      </c>
      <c r="AM81" s="6" t="s">
        <v>321</v>
      </c>
      <c r="AN81" s="6" t="s">
        <v>321</v>
      </c>
      <c r="AO81" s="6"/>
      <c r="AP81" s="6">
        <v>48</v>
      </c>
      <c r="AQ81" s="6" t="s">
        <v>387</v>
      </c>
      <c r="AR81" s="6" t="s">
        <v>206</v>
      </c>
      <c r="AS81" s="6" t="s">
        <v>188</v>
      </c>
    </row>
    <row r="82" spans="1:45" x14ac:dyDescent="0.3">
      <c r="A82" s="7" t="s">
        <v>586</v>
      </c>
      <c r="B82" s="7" t="s">
        <v>3438</v>
      </c>
      <c r="C82" s="7" t="s">
        <v>249</v>
      </c>
      <c r="D82" s="7" t="s">
        <v>232</v>
      </c>
      <c r="E82" s="7" t="s">
        <v>4270</v>
      </c>
      <c r="F82" s="7" t="s">
        <v>367</v>
      </c>
      <c r="G82" s="7" t="s">
        <v>66</v>
      </c>
      <c r="H82" s="7"/>
      <c r="I82" s="7" t="s">
        <v>4372</v>
      </c>
      <c r="J82" s="7" t="s">
        <v>111</v>
      </c>
      <c r="K82" s="7" t="s">
        <v>204</v>
      </c>
      <c r="L82" s="7" t="s">
        <v>587</v>
      </c>
      <c r="M82" s="7" t="s">
        <v>4441</v>
      </c>
      <c r="N82" s="7"/>
      <c r="O82" s="7" t="s">
        <v>4442</v>
      </c>
      <c r="P82" s="7">
        <v>37</v>
      </c>
      <c r="Q82" s="7">
        <v>2117387</v>
      </c>
      <c r="R82" s="7">
        <v>0.02</v>
      </c>
      <c r="S82" s="7">
        <v>0.04</v>
      </c>
      <c r="T82" s="7">
        <v>2158040.83</v>
      </c>
      <c r="U82" s="7"/>
      <c r="V82" s="7">
        <v>0.38</v>
      </c>
      <c r="W82" s="7">
        <v>0.12</v>
      </c>
      <c r="X82" s="7" t="s">
        <v>588</v>
      </c>
      <c r="Y82" s="7">
        <v>1786817.95</v>
      </c>
      <c r="Z82" s="7">
        <v>1771438.65</v>
      </c>
      <c r="AA82" s="7">
        <v>90</v>
      </c>
      <c r="AB82" s="7">
        <v>139</v>
      </c>
      <c r="AC82" s="7" t="s">
        <v>342</v>
      </c>
      <c r="AD82" s="7" t="s">
        <v>320</v>
      </c>
      <c r="AE82" s="7">
        <v>0.93</v>
      </c>
      <c r="AF82" s="7" t="s">
        <v>4312</v>
      </c>
      <c r="AG82" s="7">
        <v>0.15</v>
      </c>
      <c r="AH82" s="7">
        <v>0.05</v>
      </c>
      <c r="AI82" s="7">
        <v>5</v>
      </c>
      <c r="AJ82" s="7"/>
      <c r="AK82" s="7">
        <v>247525.66</v>
      </c>
      <c r="AL82" s="7">
        <v>556560.53</v>
      </c>
      <c r="AM82" s="7"/>
      <c r="AN82" s="7" t="s">
        <v>321</v>
      </c>
      <c r="AO82" s="7">
        <v>89.9</v>
      </c>
      <c r="AP82" s="7">
        <v>48</v>
      </c>
      <c r="AQ82" s="7" t="s">
        <v>387</v>
      </c>
      <c r="AR82" s="7" t="s">
        <v>206</v>
      </c>
      <c r="AS82" s="7" t="s">
        <v>188</v>
      </c>
    </row>
    <row r="83" spans="1:45" x14ac:dyDescent="0.3">
      <c r="A83" s="6" t="s">
        <v>589</v>
      </c>
      <c r="B83" s="6" t="s">
        <v>2467</v>
      </c>
      <c r="C83" s="6" t="s">
        <v>201</v>
      </c>
      <c r="D83" s="6"/>
      <c r="E83" s="6" t="s">
        <v>20</v>
      </c>
      <c r="F83" s="6" t="s">
        <v>196</v>
      </c>
      <c r="G83" s="6" t="s">
        <v>54</v>
      </c>
      <c r="H83" s="6" t="s">
        <v>212</v>
      </c>
      <c r="I83" s="6" t="s">
        <v>4272</v>
      </c>
      <c r="J83" s="6" t="s">
        <v>136</v>
      </c>
      <c r="K83" s="6" t="s">
        <v>333</v>
      </c>
      <c r="L83" s="6" t="s">
        <v>590</v>
      </c>
      <c r="M83" s="6" t="s">
        <v>4443</v>
      </c>
      <c r="N83" s="6"/>
      <c r="O83" s="6" t="s">
        <v>4274</v>
      </c>
      <c r="P83" s="6">
        <v>29</v>
      </c>
      <c r="Q83" s="6">
        <v>46768488</v>
      </c>
      <c r="R83" s="6">
        <v>0.24</v>
      </c>
      <c r="S83" s="6">
        <v>0.02</v>
      </c>
      <c r="T83" s="6">
        <v>36254931.899999999</v>
      </c>
      <c r="U83" s="6">
        <v>30448295.079999998</v>
      </c>
      <c r="V83" s="6">
        <v>0.21</v>
      </c>
      <c r="W83" s="6">
        <v>0.17</v>
      </c>
      <c r="X83" s="6" t="s">
        <v>591</v>
      </c>
      <c r="Y83" s="6">
        <v>24707295.890000001</v>
      </c>
      <c r="Z83" s="6">
        <v>23398968.460000001</v>
      </c>
      <c r="AA83" s="6">
        <v>90</v>
      </c>
      <c r="AB83" s="6">
        <v>49</v>
      </c>
      <c r="AC83" s="6" t="s">
        <v>347</v>
      </c>
      <c r="AD83" s="6" t="s">
        <v>336</v>
      </c>
      <c r="AE83" s="6">
        <v>0.85</v>
      </c>
      <c r="AF83" s="6" t="s">
        <v>4312</v>
      </c>
      <c r="AG83" s="6">
        <v>0.05</v>
      </c>
      <c r="AH83" s="6">
        <v>0.02</v>
      </c>
      <c r="AI83" s="6">
        <v>3</v>
      </c>
      <c r="AJ83" s="6">
        <v>594</v>
      </c>
      <c r="AK83" s="6">
        <v>2239425.81</v>
      </c>
      <c r="AL83" s="6">
        <v>7252138.7999999998</v>
      </c>
      <c r="AM83" s="6" t="s">
        <v>355</v>
      </c>
      <c r="AN83" s="6" t="s">
        <v>386</v>
      </c>
      <c r="AO83" s="6"/>
      <c r="AP83" s="6">
        <v>12</v>
      </c>
      <c r="AQ83" s="6" t="s">
        <v>387</v>
      </c>
      <c r="AR83" s="6" t="s">
        <v>192</v>
      </c>
      <c r="AS83" s="6"/>
    </row>
    <row r="84" spans="1:45" x14ac:dyDescent="0.3">
      <c r="A84" s="7" t="s">
        <v>592</v>
      </c>
      <c r="B84" s="7" t="s">
        <v>4444</v>
      </c>
      <c r="C84" s="7" t="s">
        <v>217</v>
      </c>
      <c r="D84" s="7" t="s">
        <v>220</v>
      </c>
      <c r="E84" s="7" t="s">
        <v>4325</v>
      </c>
      <c r="F84" s="7" t="s">
        <v>19</v>
      </c>
      <c r="G84" s="7" t="s">
        <v>57</v>
      </c>
      <c r="H84" s="7" t="s">
        <v>263</v>
      </c>
      <c r="I84" s="7" t="s">
        <v>240</v>
      </c>
      <c r="J84" s="7" t="s">
        <v>115</v>
      </c>
      <c r="K84" s="7" t="s">
        <v>326</v>
      </c>
      <c r="L84" s="7" t="s">
        <v>593</v>
      </c>
      <c r="M84" s="7" t="s">
        <v>4445</v>
      </c>
      <c r="N84" s="7" t="s">
        <v>594</v>
      </c>
      <c r="O84" s="7" t="s">
        <v>4446</v>
      </c>
      <c r="P84" s="7">
        <v>18</v>
      </c>
      <c r="Q84" s="7">
        <v>31126088</v>
      </c>
      <c r="R84" s="7">
        <v>0.26</v>
      </c>
      <c r="S84" s="7">
        <v>-0.03</v>
      </c>
      <c r="T84" s="7">
        <v>22342305.969999999</v>
      </c>
      <c r="U84" s="7">
        <v>14018020.02</v>
      </c>
      <c r="V84" s="7">
        <v>0.38</v>
      </c>
      <c r="W84" s="7">
        <v>0.2</v>
      </c>
      <c r="X84" s="7" t="s">
        <v>595</v>
      </c>
      <c r="Y84" s="7">
        <v>13765244.43</v>
      </c>
      <c r="Z84" s="7" t="s">
        <v>4357</v>
      </c>
      <c r="AA84" s="7">
        <v>90</v>
      </c>
      <c r="AB84" s="7">
        <v>175</v>
      </c>
      <c r="AC84" s="7"/>
      <c r="AD84" s="7" t="s">
        <v>406</v>
      </c>
      <c r="AE84" s="7">
        <v>0.95</v>
      </c>
      <c r="AF84" s="7" t="s">
        <v>4294</v>
      </c>
      <c r="AG84" s="7">
        <v>0.1</v>
      </c>
      <c r="AH84" s="7">
        <v>0.02</v>
      </c>
      <c r="AI84" s="7">
        <v>1</v>
      </c>
      <c r="AJ84" s="7">
        <v>889</v>
      </c>
      <c r="AK84" s="7">
        <v>1642498.31</v>
      </c>
      <c r="AL84" s="7">
        <v>9281546.4299999997</v>
      </c>
      <c r="AM84" s="7" t="s">
        <v>343</v>
      </c>
      <c r="AN84" s="7" t="s">
        <v>356</v>
      </c>
      <c r="AO84" s="7"/>
      <c r="AP84" s="7">
        <v>48</v>
      </c>
      <c r="AQ84" s="7" t="s">
        <v>337</v>
      </c>
      <c r="AR84" s="7" t="s">
        <v>192</v>
      </c>
      <c r="AS84" s="7" t="s">
        <v>188</v>
      </c>
    </row>
    <row r="85" spans="1:45" x14ac:dyDescent="0.3">
      <c r="A85" s="6" t="s">
        <v>596</v>
      </c>
      <c r="B85" s="6" t="s">
        <v>4447</v>
      </c>
      <c r="C85" s="6" t="s">
        <v>252</v>
      </c>
      <c r="D85" s="6" t="s">
        <v>253</v>
      </c>
      <c r="E85" s="6" t="s">
        <v>4376</v>
      </c>
      <c r="F85" s="6" t="s">
        <v>35</v>
      </c>
      <c r="G85" s="6" t="s">
        <v>54</v>
      </c>
      <c r="H85" s="6" t="s">
        <v>212</v>
      </c>
      <c r="I85" s="6"/>
      <c r="J85" s="6" t="s">
        <v>136</v>
      </c>
      <c r="K85" s="6" t="s">
        <v>223</v>
      </c>
      <c r="L85" s="6" t="s">
        <v>597</v>
      </c>
      <c r="M85" s="6" t="s">
        <v>3443</v>
      </c>
      <c r="N85" s="6"/>
      <c r="O85" s="6" t="s">
        <v>3444</v>
      </c>
      <c r="P85" s="6">
        <v>23</v>
      </c>
      <c r="Q85" s="6">
        <v>47620866</v>
      </c>
      <c r="R85" s="6">
        <v>0.16</v>
      </c>
      <c r="S85" s="6">
        <v>0.02</v>
      </c>
      <c r="T85" s="6">
        <v>40801557.990000002</v>
      </c>
      <c r="U85" s="6">
        <v>28422659.75</v>
      </c>
      <c r="V85" s="6">
        <v>0.28000000000000003</v>
      </c>
      <c r="W85" s="6">
        <v>0.06</v>
      </c>
      <c r="X85" s="6" t="s">
        <v>598</v>
      </c>
      <c r="Y85" s="6">
        <v>26214271.02</v>
      </c>
      <c r="Z85" s="6">
        <v>11844149.470000001</v>
      </c>
      <c r="AA85" s="6">
        <v>45</v>
      </c>
      <c r="AB85" s="6">
        <v>140</v>
      </c>
      <c r="AC85" s="6" t="s">
        <v>353</v>
      </c>
      <c r="AD85" s="6" t="s">
        <v>226</v>
      </c>
      <c r="AE85" s="6">
        <v>0.38</v>
      </c>
      <c r="AF85" s="6" t="s">
        <v>155</v>
      </c>
      <c r="AG85" s="6">
        <v>0.15</v>
      </c>
      <c r="AH85" s="6">
        <v>0.05</v>
      </c>
      <c r="AI85" s="6">
        <v>5</v>
      </c>
      <c r="AJ85" s="6">
        <v>4687</v>
      </c>
      <c r="AK85" s="6">
        <v>4462781.7300000004</v>
      </c>
      <c r="AL85" s="6">
        <v>14263742.949999999</v>
      </c>
      <c r="AM85" s="6" t="s">
        <v>343</v>
      </c>
      <c r="AN85" s="6" t="s">
        <v>322</v>
      </c>
      <c r="AO85" s="6">
        <v>51.6</v>
      </c>
      <c r="AP85" s="6">
        <v>12</v>
      </c>
      <c r="AQ85" s="6" t="s">
        <v>323</v>
      </c>
      <c r="AR85" s="6" t="s">
        <v>192</v>
      </c>
      <c r="AS85" s="6" t="s">
        <v>357</v>
      </c>
    </row>
    <row r="86" spans="1:45" x14ac:dyDescent="0.3">
      <c r="A86" s="7" t="s">
        <v>599</v>
      </c>
      <c r="B86" s="7" t="s">
        <v>4448</v>
      </c>
      <c r="C86" s="7" t="s">
        <v>277</v>
      </c>
      <c r="D86" s="7" t="s">
        <v>253</v>
      </c>
      <c r="E86" s="7"/>
      <c r="F86" s="7" t="s">
        <v>19</v>
      </c>
      <c r="G86" s="7" t="s">
        <v>33</v>
      </c>
      <c r="H86" s="7" t="s">
        <v>4266</v>
      </c>
      <c r="I86" s="7" t="s">
        <v>203</v>
      </c>
      <c r="J86" s="7" t="s">
        <v>105</v>
      </c>
      <c r="K86" s="7" t="s">
        <v>210</v>
      </c>
      <c r="L86" s="7" t="s">
        <v>600</v>
      </c>
      <c r="M86" s="7" t="s">
        <v>4449</v>
      </c>
      <c r="N86" s="7" t="s">
        <v>3446</v>
      </c>
      <c r="O86" s="7" t="s">
        <v>3447</v>
      </c>
      <c r="P86" s="7">
        <v>35</v>
      </c>
      <c r="Q86" s="7">
        <v>43076975</v>
      </c>
      <c r="R86" s="7">
        <v>0.03</v>
      </c>
      <c r="S86" s="7">
        <v>0.09</v>
      </c>
      <c r="T86" s="7">
        <v>45545285.670000002</v>
      </c>
      <c r="U86" s="7">
        <v>29488428.960000001</v>
      </c>
      <c r="V86" s="7">
        <v>0.21</v>
      </c>
      <c r="W86" s="7">
        <v>0.1</v>
      </c>
      <c r="X86" s="7" t="s">
        <v>601</v>
      </c>
      <c r="Y86" s="7">
        <v>38599961.130000003</v>
      </c>
      <c r="Z86" s="7">
        <v>24424610.300000001</v>
      </c>
      <c r="AA86" s="7">
        <v>60</v>
      </c>
      <c r="AB86" s="7">
        <v>15</v>
      </c>
      <c r="AC86" s="7" t="s">
        <v>353</v>
      </c>
      <c r="AD86" s="7" t="s">
        <v>406</v>
      </c>
      <c r="AE86" s="7">
        <v>0.82</v>
      </c>
      <c r="AF86" s="7" t="s">
        <v>152</v>
      </c>
      <c r="AG86" s="7">
        <v>0.1</v>
      </c>
      <c r="AH86" s="7">
        <v>0.06</v>
      </c>
      <c r="AI86" s="7">
        <v>2</v>
      </c>
      <c r="AJ86" s="7">
        <v>2659</v>
      </c>
      <c r="AK86" s="7">
        <v>6810080.5800000001</v>
      </c>
      <c r="AL86" s="7">
        <v>18504288.41</v>
      </c>
      <c r="AM86" s="7"/>
      <c r="AN86" s="7" t="s">
        <v>386</v>
      </c>
      <c r="AO86" s="7">
        <v>99.8</v>
      </c>
      <c r="AP86" s="7">
        <v>36</v>
      </c>
      <c r="AQ86" s="7" t="s">
        <v>387</v>
      </c>
      <c r="AR86" s="7" t="s">
        <v>206</v>
      </c>
      <c r="AS86" s="7"/>
    </row>
    <row r="87" spans="1:45" x14ac:dyDescent="0.3">
      <c r="A87" s="6" t="s">
        <v>602</v>
      </c>
      <c r="B87" s="6" t="s">
        <v>4367</v>
      </c>
      <c r="C87" s="6" t="s">
        <v>237</v>
      </c>
      <c r="D87" s="6" t="s">
        <v>274</v>
      </c>
      <c r="E87" s="6" t="s">
        <v>41</v>
      </c>
      <c r="F87" s="6" t="s">
        <v>228</v>
      </c>
      <c r="G87" s="6"/>
      <c r="H87" s="6" t="s">
        <v>197</v>
      </c>
      <c r="I87" s="6" t="s">
        <v>191</v>
      </c>
      <c r="J87" s="6" t="s">
        <v>130</v>
      </c>
      <c r="K87" s="6" t="s">
        <v>223</v>
      </c>
      <c r="L87" s="6" t="s">
        <v>603</v>
      </c>
      <c r="M87" s="6" t="s">
        <v>3448</v>
      </c>
      <c r="N87" s="6" t="s">
        <v>3449</v>
      </c>
      <c r="O87" s="6" t="s">
        <v>4450</v>
      </c>
      <c r="P87" s="6">
        <v>39</v>
      </c>
      <c r="Q87" s="6">
        <v>34936176</v>
      </c>
      <c r="R87" s="6">
        <v>0.06</v>
      </c>
      <c r="S87" s="6">
        <v>0.17</v>
      </c>
      <c r="T87" s="6">
        <v>38422806.359999999</v>
      </c>
      <c r="U87" s="6">
        <v>32046025.719999999</v>
      </c>
      <c r="V87" s="6">
        <v>0.17</v>
      </c>
      <c r="W87" s="6">
        <v>0.18</v>
      </c>
      <c r="X87" s="6" t="s">
        <v>604</v>
      </c>
      <c r="Y87" s="6">
        <v>2135674.2400000002</v>
      </c>
      <c r="Z87" s="6">
        <v>2322578.92</v>
      </c>
      <c r="AA87" s="6">
        <v>45</v>
      </c>
      <c r="AB87" s="6">
        <v>81</v>
      </c>
      <c r="AC87" s="6" t="s">
        <v>376</v>
      </c>
      <c r="AD87" s="6" t="s">
        <v>336</v>
      </c>
      <c r="AE87" s="6">
        <v>7.0000000000000007E-2</v>
      </c>
      <c r="AF87" s="6" t="s">
        <v>159</v>
      </c>
      <c r="AG87" s="6">
        <v>0.15</v>
      </c>
      <c r="AH87" s="6">
        <v>0.08</v>
      </c>
      <c r="AI87" s="6">
        <v>4</v>
      </c>
      <c r="AJ87" s="6">
        <v>103</v>
      </c>
      <c r="AK87" s="6">
        <v>6355306.3300000001</v>
      </c>
      <c r="AL87" s="6"/>
      <c r="AM87" s="6"/>
      <c r="AN87" s="6" t="s">
        <v>330</v>
      </c>
      <c r="AO87" s="6">
        <v>93.4</v>
      </c>
      <c r="AP87" s="6">
        <v>36</v>
      </c>
      <c r="AQ87" s="6" t="s">
        <v>4275</v>
      </c>
      <c r="AR87" s="6" t="s">
        <v>192</v>
      </c>
      <c r="AS87" s="6" t="s">
        <v>188</v>
      </c>
    </row>
    <row r="88" spans="1:45" x14ac:dyDescent="0.3">
      <c r="A88" s="7" t="s">
        <v>605</v>
      </c>
      <c r="B88" s="7" t="s">
        <v>4356</v>
      </c>
      <c r="C88" s="7" t="s">
        <v>284</v>
      </c>
      <c r="D88" s="7" t="s">
        <v>281</v>
      </c>
      <c r="E88" s="7" t="s">
        <v>36</v>
      </c>
      <c r="F88" s="7" t="s">
        <v>339</v>
      </c>
      <c r="G88" s="7" t="s">
        <v>70</v>
      </c>
      <c r="H88" s="7" t="s">
        <v>182</v>
      </c>
      <c r="I88" s="7" t="s">
        <v>4291</v>
      </c>
      <c r="J88" s="7" t="s">
        <v>115</v>
      </c>
      <c r="K88" s="7" t="s">
        <v>221</v>
      </c>
      <c r="L88" s="7" t="s">
        <v>606</v>
      </c>
      <c r="M88" s="7" t="s">
        <v>3451</v>
      </c>
      <c r="N88" s="7"/>
      <c r="O88" s="7" t="s">
        <v>3297</v>
      </c>
      <c r="P88" s="7">
        <v>29</v>
      </c>
      <c r="Q88" s="7">
        <v>49295406</v>
      </c>
      <c r="R88" s="7">
        <v>0.35</v>
      </c>
      <c r="S88" s="7">
        <v>0.19</v>
      </c>
      <c r="T88" s="7">
        <v>38129996.539999999</v>
      </c>
      <c r="U88" s="7">
        <v>26862291.140000001</v>
      </c>
      <c r="V88" s="7">
        <v>0.26</v>
      </c>
      <c r="W88" s="7">
        <v>0.05</v>
      </c>
      <c r="X88" s="7" t="s">
        <v>607</v>
      </c>
      <c r="Y88" s="7">
        <v>26306425.010000002</v>
      </c>
      <c r="Z88" s="7">
        <v>19998246.440000001</v>
      </c>
      <c r="AA88" s="7">
        <v>30</v>
      </c>
      <c r="AB88" s="7">
        <v>57</v>
      </c>
      <c r="AC88" s="7" t="s">
        <v>329</v>
      </c>
      <c r="AD88" s="7" t="s">
        <v>381</v>
      </c>
      <c r="AE88" s="7">
        <v>0.46</v>
      </c>
      <c r="AF88" s="7" t="s">
        <v>4303</v>
      </c>
      <c r="AG88" s="7">
        <v>0.1</v>
      </c>
      <c r="AH88" s="7">
        <v>0.02</v>
      </c>
      <c r="AI88" s="7">
        <v>10</v>
      </c>
      <c r="AJ88" s="7">
        <v>1922</v>
      </c>
      <c r="AK88" s="7">
        <v>4040970.58</v>
      </c>
      <c r="AL88" s="7">
        <v>16819357.219999999</v>
      </c>
      <c r="AM88" s="7" t="s">
        <v>343</v>
      </c>
      <c r="AN88" s="7" t="s">
        <v>386</v>
      </c>
      <c r="AO88" s="7">
        <v>67.5</v>
      </c>
      <c r="AP88" s="7">
        <v>12</v>
      </c>
      <c r="AQ88" s="7" t="s">
        <v>337</v>
      </c>
      <c r="AR88" s="7" t="s">
        <v>192</v>
      </c>
      <c r="AS88" s="7"/>
    </row>
    <row r="89" spans="1:45" x14ac:dyDescent="0.3">
      <c r="A89" s="6" t="s">
        <v>608</v>
      </c>
      <c r="B89" s="6" t="s">
        <v>4451</v>
      </c>
      <c r="C89" s="6" t="s">
        <v>286</v>
      </c>
      <c r="D89" s="6" t="s">
        <v>220</v>
      </c>
      <c r="E89" s="6" t="s">
        <v>4325</v>
      </c>
      <c r="F89" s="6" t="s">
        <v>339</v>
      </c>
      <c r="G89" s="6" t="s">
        <v>16</v>
      </c>
      <c r="H89" s="6" t="s">
        <v>4280</v>
      </c>
      <c r="I89" s="6" t="s">
        <v>4307</v>
      </c>
      <c r="J89" s="6" t="s">
        <v>115</v>
      </c>
      <c r="K89" s="6" t="s">
        <v>199</v>
      </c>
      <c r="L89" s="6" t="s">
        <v>609</v>
      </c>
      <c r="M89" s="6" t="s">
        <v>3452</v>
      </c>
      <c r="N89" s="6"/>
      <c r="O89" s="6" t="s">
        <v>3453</v>
      </c>
      <c r="P89" s="6">
        <v>27</v>
      </c>
      <c r="Q89" s="6">
        <v>30403120</v>
      </c>
      <c r="R89" s="6">
        <v>0.17</v>
      </c>
      <c r="S89" s="6">
        <v>0.03</v>
      </c>
      <c r="T89" s="6">
        <v>25991627.289999999</v>
      </c>
      <c r="U89" s="6">
        <v>21128766.399999999</v>
      </c>
      <c r="V89" s="6">
        <v>0.22</v>
      </c>
      <c r="W89" s="6">
        <v>0.14000000000000001</v>
      </c>
      <c r="X89" s="6" t="s">
        <v>610</v>
      </c>
      <c r="Y89" s="6">
        <v>17648601.809999999</v>
      </c>
      <c r="Z89" s="6">
        <v>8286022.9800000004</v>
      </c>
      <c r="AA89" s="6">
        <v>120</v>
      </c>
      <c r="AB89" s="6">
        <v>134</v>
      </c>
      <c r="AC89" s="6"/>
      <c r="AD89" s="6" t="s">
        <v>406</v>
      </c>
      <c r="AE89" s="6">
        <v>0.76</v>
      </c>
      <c r="AF89" s="6" t="s">
        <v>4361</v>
      </c>
      <c r="AG89" s="6">
        <v>0.15</v>
      </c>
      <c r="AH89" s="6">
        <v>0.05</v>
      </c>
      <c r="AI89" s="6">
        <v>4</v>
      </c>
      <c r="AJ89" s="6"/>
      <c r="AK89" s="6">
        <v>3684716.91</v>
      </c>
      <c r="AL89" s="6">
        <v>6689203.3099999996</v>
      </c>
      <c r="AM89" s="6" t="s">
        <v>385</v>
      </c>
      <c r="AN89" s="6" t="s">
        <v>321</v>
      </c>
      <c r="AO89" s="6">
        <v>75</v>
      </c>
      <c r="AP89" s="6">
        <v>36</v>
      </c>
      <c r="AQ89" s="6" t="s">
        <v>337</v>
      </c>
      <c r="AR89" s="6" t="s">
        <v>192</v>
      </c>
      <c r="AS89" s="6" t="s">
        <v>357</v>
      </c>
    </row>
    <row r="90" spans="1:45" x14ac:dyDescent="0.3">
      <c r="A90" s="7" t="s">
        <v>611</v>
      </c>
      <c r="B90" s="7" t="s">
        <v>4277</v>
      </c>
      <c r="C90" s="7" t="s">
        <v>243</v>
      </c>
      <c r="D90" s="7" t="s">
        <v>248</v>
      </c>
      <c r="E90" s="7" t="s">
        <v>4306</v>
      </c>
      <c r="F90" s="7" t="s">
        <v>75</v>
      </c>
      <c r="G90" s="7" t="s">
        <v>57</v>
      </c>
      <c r="H90" s="7" t="s">
        <v>4326</v>
      </c>
      <c r="I90" s="7" t="s">
        <v>4307</v>
      </c>
      <c r="J90" s="6" t="s">
        <v>133</v>
      </c>
      <c r="K90" s="7" t="s">
        <v>221</v>
      </c>
      <c r="L90" s="7" t="s">
        <v>612</v>
      </c>
      <c r="M90" s="7" t="s">
        <v>4339</v>
      </c>
      <c r="N90" s="7" t="s">
        <v>3454</v>
      </c>
      <c r="O90" s="7" t="s">
        <v>3455</v>
      </c>
      <c r="P90" s="7">
        <v>38</v>
      </c>
      <c r="Q90" s="7">
        <v>17492569</v>
      </c>
      <c r="R90" s="7">
        <v>0.31</v>
      </c>
      <c r="S90" s="7">
        <v>0.17</v>
      </c>
      <c r="T90" s="7">
        <v>14121750.949999999</v>
      </c>
      <c r="U90" s="7">
        <v>11520978.460000001</v>
      </c>
      <c r="V90" s="7">
        <v>0.34</v>
      </c>
      <c r="W90" s="7">
        <v>7.0000000000000007E-2</v>
      </c>
      <c r="X90" s="7" t="s">
        <v>613</v>
      </c>
      <c r="Y90" s="7">
        <v>10487233.68</v>
      </c>
      <c r="Z90" s="7">
        <v>3393382.71</v>
      </c>
      <c r="AA90" s="7">
        <v>120</v>
      </c>
      <c r="AB90" s="7">
        <v>72</v>
      </c>
      <c r="AC90" s="7" t="s">
        <v>353</v>
      </c>
      <c r="AD90" s="7" t="s">
        <v>336</v>
      </c>
      <c r="AE90" s="7">
        <v>0.26</v>
      </c>
      <c r="AF90" s="7" t="s">
        <v>4361</v>
      </c>
      <c r="AG90" s="7">
        <v>0.1</v>
      </c>
      <c r="AH90" s="7">
        <v>0.09</v>
      </c>
      <c r="AI90" s="7">
        <v>4</v>
      </c>
      <c r="AJ90" s="7">
        <v>2252</v>
      </c>
      <c r="AK90" s="7">
        <v>892843.87</v>
      </c>
      <c r="AL90" s="7">
        <v>1560161</v>
      </c>
      <c r="AM90" s="7" t="s">
        <v>355</v>
      </c>
      <c r="AN90" s="7" t="s">
        <v>321</v>
      </c>
      <c r="AO90" s="7">
        <v>94</v>
      </c>
      <c r="AP90" s="7">
        <v>60</v>
      </c>
      <c r="AQ90" s="7" t="s">
        <v>392</v>
      </c>
      <c r="AR90" s="7" t="s">
        <v>192</v>
      </c>
      <c r="AS90" s="7" t="s">
        <v>324</v>
      </c>
    </row>
    <row r="91" spans="1:45" x14ac:dyDescent="0.3">
      <c r="A91" s="6" t="s">
        <v>614</v>
      </c>
      <c r="B91" s="6" t="s">
        <v>3372</v>
      </c>
      <c r="C91" s="6" t="s">
        <v>284</v>
      </c>
      <c r="D91" s="6" t="s">
        <v>220</v>
      </c>
      <c r="E91" s="6" t="s">
        <v>20</v>
      </c>
      <c r="F91" s="6" t="s">
        <v>31</v>
      </c>
      <c r="G91" s="6" t="s">
        <v>50</v>
      </c>
      <c r="H91" s="6" t="s">
        <v>4275</v>
      </c>
      <c r="I91" s="6" t="s">
        <v>198</v>
      </c>
      <c r="J91" s="6" t="s">
        <v>136</v>
      </c>
      <c r="K91" s="6" t="s">
        <v>223</v>
      </c>
      <c r="L91" s="6" t="s">
        <v>615</v>
      </c>
      <c r="M91" s="6" t="s">
        <v>4452</v>
      </c>
      <c r="N91" s="6" t="s">
        <v>4453</v>
      </c>
      <c r="O91" s="6" t="s">
        <v>4318</v>
      </c>
      <c r="P91" s="6">
        <v>50</v>
      </c>
      <c r="Q91" s="6">
        <v>5533505</v>
      </c>
      <c r="R91" s="6">
        <v>0.24</v>
      </c>
      <c r="S91" s="6">
        <v>7.0000000000000007E-2</v>
      </c>
      <c r="T91" s="6">
        <v>4499846.2699999996</v>
      </c>
      <c r="U91" s="6">
        <v>3423698.2</v>
      </c>
      <c r="V91" s="6">
        <v>0.3</v>
      </c>
      <c r="W91" s="6">
        <v>0.06</v>
      </c>
      <c r="X91" s="6" t="s">
        <v>616</v>
      </c>
      <c r="Y91" s="6">
        <v>2146318.2200000002</v>
      </c>
      <c r="Z91" s="6">
        <v>1682218.56</v>
      </c>
      <c r="AA91" s="6">
        <v>60</v>
      </c>
      <c r="AB91" s="6">
        <v>48</v>
      </c>
      <c r="AC91" s="6" t="s">
        <v>353</v>
      </c>
      <c r="AD91" s="6" t="s">
        <v>406</v>
      </c>
      <c r="AE91" s="6">
        <v>0.85</v>
      </c>
      <c r="AF91" s="6" t="s">
        <v>155</v>
      </c>
      <c r="AG91" s="6">
        <v>0.1</v>
      </c>
      <c r="AH91" s="6">
        <v>0.05</v>
      </c>
      <c r="AI91" s="6">
        <v>5</v>
      </c>
      <c r="AJ91" s="6">
        <v>331</v>
      </c>
      <c r="AK91" s="6">
        <v>624169.79</v>
      </c>
      <c r="AL91" s="6">
        <v>538713.4</v>
      </c>
      <c r="AM91" s="6" t="s">
        <v>73</v>
      </c>
      <c r="AN91" s="6" t="s">
        <v>321</v>
      </c>
      <c r="AO91" s="6">
        <v>91.4</v>
      </c>
      <c r="AP91" s="6">
        <v>48</v>
      </c>
      <c r="AQ91" s="6" t="s">
        <v>387</v>
      </c>
      <c r="AR91" s="6" t="s">
        <v>206</v>
      </c>
      <c r="AS91" s="6" t="s">
        <v>357</v>
      </c>
    </row>
    <row r="92" spans="1:45" x14ac:dyDescent="0.3">
      <c r="A92" s="7" t="s">
        <v>617</v>
      </c>
      <c r="B92" s="7" t="s">
        <v>4273</v>
      </c>
      <c r="C92" s="7" t="s">
        <v>279</v>
      </c>
      <c r="D92" s="7" t="s">
        <v>215</v>
      </c>
      <c r="E92" s="7" t="s">
        <v>4270</v>
      </c>
      <c r="F92" s="7" t="s">
        <v>181</v>
      </c>
      <c r="G92" s="7" t="s">
        <v>54</v>
      </c>
      <c r="H92" s="7" t="s">
        <v>182</v>
      </c>
      <c r="I92" s="7" t="s">
        <v>191</v>
      </c>
      <c r="J92" s="7" t="s">
        <v>111</v>
      </c>
      <c r="K92" s="7" t="s">
        <v>333</v>
      </c>
      <c r="L92" s="7" t="s">
        <v>618</v>
      </c>
      <c r="M92" s="7" t="s">
        <v>3457</v>
      </c>
      <c r="N92" s="7" t="s">
        <v>3458</v>
      </c>
      <c r="O92" s="7" t="s">
        <v>4454</v>
      </c>
      <c r="P92" s="7">
        <v>24</v>
      </c>
      <c r="Q92" s="7">
        <v>46501959</v>
      </c>
      <c r="R92" s="7">
        <v>0.19</v>
      </c>
      <c r="S92" s="7">
        <v>-0.01</v>
      </c>
      <c r="T92" s="7">
        <v>37289920.920000002</v>
      </c>
      <c r="U92" s="7">
        <v>29752102.829999998</v>
      </c>
      <c r="V92" s="7">
        <v>0.35</v>
      </c>
      <c r="W92" s="7">
        <v>0.08</v>
      </c>
      <c r="X92" s="7"/>
      <c r="Y92" s="7">
        <v>28169159.73</v>
      </c>
      <c r="Z92" s="7">
        <v>18629912.390000001</v>
      </c>
      <c r="AA92" s="7">
        <v>120</v>
      </c>
      <c r="AB92" s="7">
        <v>29</v>
      </c>
      <c r="AC92" s="7" t="s">
        <v>353</v>
      </c>
      <c r="AD92" s="7" t="s">
        <v>320</v>
      </c>
      <c r="AE92" s="7">
        <v>0.22</v>
      </c>
      <c r="AF92" s="7" t="s">
        <v>4294</v>
      </c>
      <c r="AG92" s="7">
        <v>0.15</v>
      </c>
      <c r="AH92" s="7">
        <v>0.09</v>
      </c>
      <c r="AI92" s="7">
        <v>4</v>
      </c>
      <c r="AJ92" s="7">
        <v>3665</v>
      </c>
      <c r="AK92" s="7">
        <v>2295570.7400000002</v>
      </c>
      <c r="AL92" s="7">
        <v>18054793.460000001</v>
      </c>
      <c r="AM92" s="7" t="s">
        <v>385</v>
      </c>
      <c r="AN92" s="7" t="s">
        <v>356</v>
      </c>
      <c r="AO92" s="7"/>
      <c r="AP92" s="7" t="s">
        <v>4275</v>
      </c>
      <c r="AQ92" s="7" t="s">
        <v>387</v>
      </c>
      <c r="AR92" s="7" t="s">
        <v>192</v>
      </c>
      <c r="AS92" s="7"/>
    </row>
    <row r="93" spans="1:45" x14ac:dyDescent="0.3">
      <c r="A93" s="6" t="s">
        <v>619</v>
      </c>
      <c r="B93" s="6" t="s">
        <v>3460</v>
      </c>
      <c r="C93" s="6" t="s">
        <v>222</v>
      </c>
      <c r="D93" s="6" t="s">
        <v>562</v>
      </c>
      <c r="E93" s="6" t="s">
        <v>41</v>
      </c>
      <c r="F93" s="6" t="s">
        <v>363</v>
      </c>
      <c r="G93" s="6" t="s">
        <v>78</v>
      </c>
      <c r="H93" s="6" t="s">
        <v>212</v>
      </c>
      <c r="I93" s="6" t="s">
        <v>183</v>
      </c>
      <c r="J93" s="6" t="s">
        <v>105</v>
      </c>
      <c r="K93" s="6" t="s">
        <v>184</v>
      </c>
      <c r="L93" s="6" t="s">
        <v>620</v>
      </c>
      <c r="M93" s="6" t="s">
        <v>3461</v>
      </c>
      <c r="N93" s="6" t="s">
        <v>4317</v>
      </c>
      <c r="O93" s="6" t="s">
        <v>3462</v>
      </c>
      <c r="P93" s="6">
        <v>50</v>
      </c>
      <c r="Q93" s="6">
        <v>33315996</v>
      </c>
      <c r="R93" s="6">
        <v>0.09</v>
      </c>
      <c r="S93" s="6">
        <v>0.1</v>
      </c>
      <c r="T93" s="6">
        <v>33349312</v>
      </c>
      <c r="U93" s="6">
        <v>29328850.539999999</v>
      </c>
      <c r="V93" s="6">
        <v>0.15</v>
      </c>
      <c r="W93" s="6">
        <v>0.11</v>
      </c>
      <c r="X93" s="6" t="s">
        <v>621</v>
      </c>
      <c r="Y93" s="6">
        <v>15152433.029999999</v>
      </c>
      <c r="Z93" s="6">
        <v>9517562.7899999991</v>
      </c>
      <c r="AA93" s="6">
        <v>30</v>
      </c>
      <c r="AB93" s="6">
        <v>154</v>
      </c>
      <c r="AC93" s="6" t="s">
        <v>347</v>
      </c>
      <c r="AD93" s="6" t="s">
        <v>381</v>
      </c>
      <c r="AE93" s="6">
        <v>0.61</v>
      </c>
      <c r="AF93" s="6" t="s">
        <v>153</v>
      </c>
      <c r="AG93" s="6">
        <v>0.05</v>
      </c>
      <c r="AH93" s="6">
        <v>0.09</v>
      </c>
      <c r="AI93" s="6">
        <v>8</v>
      </c>
      <c r="AJ93" s="6">
        <v>1009</v>
      </c>
      <c r="AK93" s="6">
        <v>2771870.25</v>
      </c>
      <c r="AL93" s="6">
        <v>10333567.25</v>
      </c>
      <c r="AM93" s="6" t="s">
        <v>355</v>
      </c>
      <c r="AN93" s="6" t="s">
        <v>330</v>
      </c>
      <c r="AO93" s="6">
        <v>87.9</v>
      </c>
      <c r="AP93" s="6">
        <v>60</v>
      </c>
      <c r="AQ93" s="6" t="s">
        <v>4275</v>
      </c>
      <c r="AR93" s="6" t="s">
        <v>206</v>
      </c>
      <c r="AS93" s="6"/>
    </row>
    <row r="94" spans="1:45" x14ac:dyDescent="0.3">
      <c r="A94" s="7" t="s">
        <v>622</v>
      </c>
      <c r="B94" s="7" t="s">
        <v>4455</v>
      </c>
      <c r="C94" s="7" t="s">
        <v>189</v>
      </c>
      <c r="D94" s="7"/>
      <c r="E94" s="7" t="s">
        <v>4265</v>
      </c>
      <c r="F94" s="7"/>
      <c r="G94" s="7" t="s">
        <v>80</v>
      </c>
      <c r="H94" s="7" t="s">
        <v>4271</v>
      </c>
      <c r="I94" s="7" t="s">
        <v>183</v>
      </c>
      <c r="J94" s="6" t="s">
        <v>105</v>
      </c>
      <c r="K94" s="7" t="s">
        <v>326</v>
      </c>
      <c r="L94" s="7" t="s">
        <v>623</v>
      </c>
      <c r="M94" s="7" t="s">
        <v>4456</v>
      </c>
      <c r="N94" s="7" t="s">
        <v>4457</v>
      </c>
      <c r="O94" s="7" t="s">
        <v>4274</v>
      </c>
      <c r="P94" s="7">
        <v>21</v>
      </c>
      <c r="Q94" s="7">
        <v>47632923</v>
      </c>
      <c r="R94" s="7">
        <v>0.11</v>
      </c>
      <c r="S94" s="7">
        <v>0.1</v>
      </c>
      <c r="T94" s="7">
        <v>46632631.619999997</v>
      </c>
      <c r="U94" s="7">
        <v>28928591.219999999</v>
      </c>
      <c r="V94" s="7">
        <v>0.24</v>
      </c>
      <c r="W94" s="7">
        <v>0.17</v>
      </c>
      <c r="X94" s="7" t="s">
        <v>624</v>
      </c>
      <c r="Y94" s="7">
        <v>14876521.789999999</v>
      </c>
      <c r="Z94" s="7">
        <v>10715751.75</v>
      </c>
      <c r="AA94" s="7">
        <v>120</v>
      </c>
      <c r="AB94" s="7">
        <v>91</v>
      </c>
      <c r="AC94" s="7"/>
      <c r="AD94" s="7" t="s">
        <v>406</v>
      </c>
      <c r="AE94" s="7">
        <v>0.92</v>
      </c>
      <c r="AF94" s="7"/>
      <c r="AG94" s="7">
        <v>0.15</v>
      </c>
      <c r="AH94" s="7">
        <v>0.06</v>
      </c>
      <c r="AI94" s="7">
        <v>15</v>
      </c>
      <c r="AJ94" s="7">
        <v>1448</v>
      </c>
      <c r="AK94" s="7">
        <v>9875850.2899999991</v>
      </c>
      <c r="AL94" s="7">
        <v>13600095.01</v>
      </c>
      <c r="AM94" s="7" t="s">
        <v>73</v>
      </c>
      <c r="AN94" s="7" t="s">
        <v>321</v>
      </c>
      <c r="AO94" s="7">
        <v>67.099999999999994</v>
      </c>
      <c r="AP94" s="7">
        <v>12</v>
      </c>
      <c r="AQ94" s="7"/>
      <c r="AR94" s="7" t="s">
        <v>229</v>
      </c>
      <c r="AS94" s="7" t="s">
        <v>377</v>
      </c>
    </row>
    <row r="95" spans="1:45" x14ac:dyDescent="0.3">
      <c r="A95" s="6" t="s">
        <v>625</v>
      </c>
      <c r="B95" s="6" t="s">
        <v>4458</v>
      </c>
      <c r="C95" s="6" t="s">
        <v>275</v>
      </c>
      <c r="D95" s="6" t="s">
        <v>245</v>
      </c>
      <c r="E95" s="6"/>
      <c r="F95" s="6" t="s">
        <v>228</v>
      </c>
      <c r="G95" s="6" t="s">
        <v>73</v>
      </c>
      <c r="H95" s="6" t="s">
        <v>197</v>
      </c>
      <c r="I95" s="6" t="s">
        <v>203</v>
      </c>
      <c r="J95" s="6" t="s">
        <v>136</v>
      </c>
      <c r="K95" s="6" t="s">
        <v>199</v>
      </c>
      <c r="L95" s="6" t="s">
        <v>626</v>
      </c>
      <c r="M95" s="6" t="s">
        <v>4459</v>
      </c>
      <c r="N95" s="6"/>
      <c r="O95" s="6" t="s">
        <v>4274</v>
      </c>
      <c r="P95" s="6">
        <v>26</v>
      </c>
      <c r="Q95" s="6">
        <v>27979919</v>
      </c>
      <c r="R95" s="6">
        <v>0.33</v>
      </c>
      <c r="S95" s="6">
        <v>-0.04</v>
      </c>
      <c r="T95" s="6">
        <v>17996683.899999999</v>
      </c>
      <c r="U95" s="6">
        <v>15930988.98</v>
      </c>
      <c r="V95" s="6">
        <v>0.16</v>
      </c>
      <c r="W95" s="6">
        <v>7.0000000000000007E-2</v>
      </c>
      <c r="X95" s="6" t="s">
        <v>627</v>
      </c>
      <c r="Y95" s="6">
        <v>8870785.7899999991</v>
      </c>
      <c r="Z95" s="6">
        <v>6670423.8600000003</v>
      </c>
      <c r="AA95" s="6">
        <v>60</v>
      </c>
      <c r="AB95" s="6">
        <v>143</v>
      </c>
      <c r="AC95" s="6" t="s">
        <v>353</v>
      </c>
      <c r="AD95" s="6" t="s">
        <v>336</v>
      </c>
      <c r="AE95" s="6">
        <v>0.55000000000000004</v>
      </c>
      <c r="AF95" s="6" t="s">
        <v>159</v>
      </c>
      <c r="AG95" s="6">
        <v>0.05</v>
      </c>
      <c r="AH95" s="6">
        <v>0.06</v>
      </c>
      <c r="AI95" s="6">
        <v>10</v>
      </c>
      <c r="AJ95" s="6">
        <v>3963</v>
      </c>
      <c r="AK95" s="6">
        <v>997698.16</v>
      </c>
      <c r="AL95" s="6">
        <v>5280025.08</v>
      </c>
      <c r="AM95" s="6" t="s">
        <v>391</v>
      </c>
      <c r="AN95" s="6"/>
      <c r="AO95" s="6"/>
      <c r="AP95" s="6">
        <v>36</v>
      </c>
      <c r="AQ95" s="6" t="s">
        <v>4275</v>
      </c>
      <c r="AR95" s="6" t="s">
        <v>192</v>
      </c>
      <c r="AS95" s="6" t="s">
        <v>188</v>
      </c>
    </row>
    <row r="96" spans="1:45" x14ac:dyDescent="0.3">
      <c r="A96" s="7" t="s">
        <v>628</v>
      </c>
      <c r="B96" s="7" t="s">
        <v>4460</v>
      </c>
      <c r="C96" s="7" t="s">
        <v>285</v>
      </c>
      <c r="D96" s="7" t="s">
        <v>215</v>
      </c>
      <c r="E96" s="7" t="s">
        <v>52</v>
      </c>
      <c r="F96" s="7" t="s">
        <v>75</v>
      </c>
      <c r="G96" s="7" t="s">
        <v>38</v>
      </c>
      <c r="H96" s="7" t="s">
        <v>4326</v>
      </c>
      <c r="I96" s="7" t="s">
        <v>183</v>
      </c>
      <c r="J96" s="7" t="s">
        <v>133</v>
      </c>
      <c r="K96" s="7" t="s">
        <v>210</v>
      </c>
      <c r="L96" s="7" t="s">
        <v>629</v>
      </c>
      <c r="M96" s="7" t="s">
        <v>4461</v>
      </c>
      <c r="N96" s="7" t="s">
        <v>3317</v>
      </c>
      <c r="O96" s="7" t="s">
        <v>4462</v>
      </c>
      <c r="P96" s="7">
        <v>22</v>
      </c>
      <c r="Q96" s="7">
        <v>26210604</v>
      </c>
      <c r="R96" s="7">
        <v>0.25</v>
      </c>
      <c r="S96" s="7">
        <v>0.08</v>
      </c>
      <c r="T96" s="7">
        <v>21230589.239999998</v>
      </c>
      <c r="U96" s="7">
        <v>14895841.43</v>
      </c>
      <c r="V96" s="7">
        <v>0.1</v>
      </c>
      <c r="W96" s="7">
        <v>0.12</v>
      </c>
      <c r="X96" s="7" t="s">
        <v>630</v>
      </c>
      <c r="Y96" s="7">
        <v>1135696.17</v>
      </c>
      <c r="Z96" s="7">
        <v>1187790.4099999999</v>
      </c>
      <c r="AA96" s="7">
        <v>120</v>
      </c>
      <c r="AB96" s="7">
        <v>23</v>
      </c>
      <c r="AC96" s="7" t="s">
        <v>353</v>
      </c>
      <c r="AD96" s="7" t="s">
        <v>455</v>
      </c>
      <c r="AE96" s="7">
        <v>0.36</v>
      </c>
      <c r="AF96" s="7" t="s">
        <v>4276</v>
      </c>
      <c r="AG96" s="7">
        <v>0.05</v>
      </c>
      <c r="AH96" s="7">
        <v>0.02</v>
      </c>
      <c r="AI96" s="7">
        <v>9</v>
      </c>
      <c r="AJ96" s="7">
        <v>1476</v>
      </c>
      <c r="AK96" s="7">
        <v>4776743.6399999997</v>
      </c>
      <c r="AL96" s="7">
        <v>7983762.21</v>
      </c>
      <c r="AM96" s="7" t="s">
        <v>321</v>
      </c>
      <c r="AN96" s="7" t="s">
        <v>356</v>
      </c>
      <c r="AO96" s="7"/>
      <c r="AP96" s="7">
        <v>36</v>
      </c>
      <c r="AQ96" s="7"/>
      <c r="AR96" s="7" t="s">
        <v>229</v>
      </c>
      <c r="AS96" s="7"/>
    </row>
    <row r="97" spans="1:45" x14ac:dyDescent="0.3">
      <c r="A97" s="6" t="s">
        <v>631</v>
      </c>
      <c r="B97" s="6" t="s">
        <v>3447</v>
      </c>
      <c r="C97" s="6" t="s">
        <v>260</v>
      </c>
      <c r="D97" s="6" t="s">
        <v>215</v>
      </c>
      <c r="E97" s="6" t="s">
        <v>113</v>
      </c>
      <c r="F97" s="6"/>
      <c r="G97" s="6" t="s">
        <v>62</v>
      </c>
      <c r="H97" s="6" t="s">
        <v>212</v>
      </c>
      <c r="I97" s="6" t="s">
        <v>213</v>
      </c>
      <c r="J97" s="6" t="s">
        <v>111</v>
      </c>
      <c r="K97" s="6" t="s">
        <v>199</v>
      </c>
      <c r="L97" s="6" t="s">
        <v>632</v>
      </c>
      <c r="M97" s="6" t="s">
        <v>3464</v>
      </c>
      <c r="N97" s="6" t="s">
        <v>3465</v>
      </c>
      <c r="O97" s="6" t="s">
        <v>3384</v>
      </c>
      <c r="P97" s="6">
        <v>37</v>
      </c>
      <c r="Q97" s="6">
        <v>9044631</v>
      </c>
      <c r="R97" s="6">
        <v>0.04</v>
      </c>
      <c r="S97" s="6">
        <v>0.15</v>
      </c>
      <c r="T97" s="6">
        <v>9985272.6199999992</v>
      </c>
      <c r="U97" s="6">
        <v>7760162.3300000001</v>
      </c>
      <c r="V97" s="6">
        <v>0.14000000000000001</v>
      </c>
      <c r="W97" s="6">
        <v>7.0000000000000007E-2</v>
      </c>
      <c r="X97" s="6" t="s">
        <v>633</v>
      </c>
      <c r="Y97" s="6">
        <v>6428613.3499999996</v>
      </c>
      <c r="Z97" s="6">
        <v>2428796.9700000002</v>
      </c>
      <c r="AA97" s="6">
        <v>60</v>
      </c>
      <c r="AB97" s="6">
        <v>176</v>
      </c>
      <c r="AC97" s="6" t="s">
        <v>342</v>
      </c>
      <c r="AD97" s="6" t="s">
        <v>455</v>
      </c>
      <c r="AE97" s="6">
        <v>0.66</v>
      </c>
      <c r="AF97" s="6" t="s">
        <v>4303</v>
      </c>
      <c r="AG97" s="6">
        <v>0.1</v>
      </c>
      <c r="AH97" s="6">
        <v>0.05</v>
      </c>
      <c r="AI97" s="6">
        <v>7</v>
      </c>
      <c r="AJ97" s="6">
        <v>3576</v>
      </c>
      <c r="AK97" s="6">
        <v>985608.24</v>
      </c>
      <c r="AL97" s="6">
        <v>1689849.45</v>
      </c>
      <c r="AM97" s="6" t="s">
        <v>391</v>
      </c>
      <c r="AN97" s="6" t="s">
        <v>330</v>
      </c>
      <c r="AO97" s="6">
        <v>67</v>
      </c>
      <c r="AP97" s="6">
        <v>60</v>
      </c>
      <c r="AQ97" s="6" t="s">
        <v>387</v>
      </c>
      <c r="AR97" s="6" t="s">
        <v>229</v>
      </c>
      <c r="AS97" s="6" t="s">
        <v>361</v>
      </c>
    </row>
    <row r="98" spans="1:45" x14ac:dyDescent="0.3">
      <c r="A98" s="7" t="s">
        <v>634</v>
      </c>
      <c r="B98" s="7" t="s">
        <v>3466</v>
      </c>
      <c r="C98" s="7" t="s">
        <v>252</v>
      </c>
      <c r="D98" s="7" t="s">
        <v>232</v>
      </c>
      <c r="E98" s="7"/>
      <c r="F98" s="7" t="s">
        <v>181</v>
      </c>
      <c r="G98" s="7" t="s">
        <v>62</v>
      </c>
      <c r="H98" s="7" t="s">
        <v>4275</v>
      </c>
      <c r="I98" s="7" t="s">
        <v>4372</v>
      </c>
      <c r="J98" s="7" t="s">
        <v>136</v>
      </c>
      <c r="K98" s="7" t="s">
        <v>199</v>
      </c>
      <c r="L98" s="7" t="s">
        <v>635</v>
      </c>
      <c r="M98" s="7" t="s">
        <v>4463</v>
      </c>
      <c r="N98" s="7" t="s">
        <v>4464</v>
      </c>
      <c r="O98" s="7" t="s">
        <v>3468</v>
      </c>
      <c r="P98" s="7">
        <v>57</v>
      </c>
      <c r="Q98" s="7">
        <v>20871927</v>
      </c>
      <c r="R98" s="7">
        <v>0.34</v>
      </c>
      <c r="S98" s="7">
        <v>-0.03</v>
      </c>
      <c r="T98" s="7">
        <v>13362207.67</v>
      </c>
      <c r="U98" s="7">
        <v>9497414.5</v>
      </c>
      <c r="V98" s="7">
        <v>7.0000000000000007E-2</v>
      </c>
      <c r="W98" s="7">
        <v>0.16</v>
      </c>
      <c r="X98" s="7" t="s">
        <v>636</v>
      </c>
      <c r="Y98" s="7">
        <v>1903218.51</v>
      </c>
      <c r="Z98" s="7">
        <v>1810443.03</v>
      </c>
      <c r="AA98" s="7">
        <v>90</v>
      </c>
      <c r="AB98" s="7">
        <v>84</v>
      </c>
      <c r="AC98" s="7" t="s">
        <v>342</v>
      </c>
      <c r="AD98" s="7" t="s">
        <v>226</v>
      </c>
      <c r="AE98" s="7">
        <v>0.51</v>
      </c>
      <c r="AF98" s="7" t="s">
        <v>153</v>
      </c>
      <c r="AG98" s="7">
        <v>0.15</v>
      </c>
      <c r="AH98" s="7">
        <v>0.02</v>
      </c>
      <c r="AI98" s="7">
        <v>6</v>
      </c>
      <c r="AJ98" s="7">
        <v>4844</v>
      </c>
      <c r="AK98" s="7">
        <v>1244947.28</v>
      </c>
      <c r="AL98" s="7">
        <v>3375641.32</v>
      </c>
      <c r="AM98" s="7" t="s">
        <v>343</v>
      </c>
      <c r="AN98" s="7"/>
      <c r="AO98" s="7">
        <v>55.5</v>
      </c>
      <c r="AP98" s="7">
        <v>24</v>
      </c>
      <c r="AQ98" s="7" t="s">
        <v>387</v>
      </c>
      <c r="AR98" s="7" t="s">
        <v>229</v>
      </c>
      <c r="AS98" s="7"/>
    </row>
    <row r="99" spans="1:45" x14ac:dyDescent="0.3">
      <c r="A99" s="6" t="s">
        <v>637</v>
      </c>
      <c r="B99" s="6" t="s">
        <v>3469</v>
      </c>
      <c r="C99" s="6" t="s">
        <v>269</v>
      </c>
      <c r="D99" s="6" t="s">
        <v>248</v>
      </c>
      <c r="E99" s="6" t="s">
        <v>113</v>
      </c>
      <c r="F99" s="6" t="s">
        <v>181</v>
      </c>
      <c r="G99" s="6" t="s">
        <v>73</v>
      </c>
      <c r="H99" s="6" t="s">
        <v>4280</v>
      </c>
      <c r="I99" s="6"/>
      <c r="J99" s="6" t="s">
        <v>111</v>
      </c>
      <c r="K99" s="6" t="s">
        <v>333</v>
      </c>
      <c r="L99" s="6" t="s">
        <v>638</v>
      </c>
      <c r="M99" s="6" t="s">
        <v>4465</v>
      </c>
      <c r="N99" s="6" t="s">
        <v>4466</v>
      </c>
      <c r="O99" s="6" t="s">
        <v>4274</v>
      </c>
      <c r="P99" s="6" t="s">
        <v>4275</v>
      </c>
      <c r="Q99" s="6">
        <v>19558952</v>
      </c>
      <c r="R99" s="6">
        <v>0.35</v>
      </c>
      <c r="S99" s="6">
        <v>0.12</v>
      </c>
      <c r="T99" s="6">
        <v>14238917.060000001</v>
      </c>
      <c r="U99" s="6">
        <v>10117798.27</v>
      </c>
      <c r="V99" s="6">
        <v>0.39</v>
      </c>
      <c r="W99" s="6">
        <v>0.06</v>
      </c>
      <c r="X99" s="6" t="s">
        <v>639</v>
      </c>
      <c r="Y99" s="6">
        <v>2337116.48</v>
      </c>
      <c r="Z99" s="6">
        <v>835277.94</v>
      </c>
      <c r="AA99" s="6">
        <v>30</v>
      </c>
      <c r="AB99" s="6">
        <v>37</v>
      </c>
      <c r="AC99" s="6" t="s">
        <v>376</v>
      </c>
      <c r="AD99" s="6" t="s">
        <v>354</v>
      </c>
      <c r="AE99" s="6" t="s">
        <v>4467</v>
      </c>
      <c r="AF99" s="6" t="s">
        <v>4294</v>
      </c>
      <c r="AG99" s="6">
        <v>0.1</v>
      </c>
      <c r="AH99" s="6">
        <v>7.0000000000000007E-2</v>
      </c>
      <c r="AI99" s="6">
        <v>4</v>
      </c>
      <c r="AJ99" s="6">
        <v>734</v>
      </c>
      <c r="AK99" s="6">
        <v>2350168.2200000002</v>
      </c>
      <c r="AL99" s="6">
        <v>5232614.8600000003</v>
      </c>
      <c r="AM99" s="6" t="s">
        <v>73</v>
      </c>
      <c r="AN99" s="6" t="s">
        <v>356</v>
      </c>
      <c r="AO99" s="6">
        <v>99.2</v>
      </c>
      <c r="AP99" s="6">
        <v>60</v>
      </c>
      <c r="AQ99" s="6" t="s">
        <v>337</v>
      </c>
      <c r="AR99" s="6" t="s">
        <v>229</v>
      </c>
      <c r="AS99" s="6" t="s">
        <v>324</v>
      </c>
    </row>
    <row r="100" spans="1:45" x14ac:dyDescent="0.3">
      <c r="A100" s="7" t="s">
        <v>640</v>
      </c>
      <c r="B100" s="7" t="s">
        <v>3470</v>
      </c>
      <c r="C100" s="7" t="s">
        <v>283</v>
      </c>
      <c r="D100" s="7" t="s">
        <v>232</v>
      </c>
      <c r="E100" s="7" t="s">
        <v>4265</v>
      </c>
      <c r="F100" s="7" t="s">
        <v>363</v>
      </c>
      <c r="G100" s="7" t="s">
        <v>38</v>
      </c>
      <c r="H100" s="7" t="s">
        <v>182</v>
      </c>
      <c r="I100" s="7" t="s">
        <v>4372</v>
      </c>
      <c r="J100" s="6" t="s">
        <v>105</v>
      </c>
      <c r="K100" s="7" t="s">
        <v>199</v>
      </c>
      <c r="L100" s="7" t="s">
        <v>641</v>
      </c>
      <c r="M100" s="7" t="s">
        <v>3471</v>
      </c>
      <c r="N100" s="7" t="s">
        <v>4468</v>
      </c>
      <c r="O100" s="7" t="s">
        <v>4274</v>
      </c>
      <c r="P100" s="7">
        <v>14</v>
      </c>
      <c r="Q100" s="7">
        <v>31689652</v>
      </c>
      <c r="R100" s="7">
        <v>0.21</v>
      </c>
      <c r="S100" s="7">
        <v>0.03</v>
      </c>
      <c r="T100" s="7">
        <v>25785869.829999998</v>
      </c>
      <c r="U100" s="7">
        <v>21187995.77</v>
      </c>
      <c r="V100" s="7">
        <v>0.18</v>
      </c>
      <c r="W100" s="7">
        <v>0.08</v>
      </c>
      <c r="X100" s="7" t="s">
        <v>642</v>
      </c>
      <c r="Y100" s="7">
        <v>9024470.6600000001</v>
      </c>
      <c r="Z100" s="7">
        <v>9766358.0600000005</v>
      </c>
      <c r="AA100" s="7">
        <v>60</v>
      </c>
      <c r="AB100" s="7">
        <v>75</v>
      </c>
      <c r="AC100" s="7" t="s">
        <v>329</v>
      </c>
      <c r="AD100" s="7" t="s">
        <v>381</v>
      </c>
      <c r="AE100" s="7">
        <v>0.21</v>
      </c>
      <c r="AF100" s="7" t="s">
        <v>4294</v>
      </c>
      <c r="AG100" s="7">
        <v>0.15</v>
      </c>
      <c r="AH100" s="7">
        <v>0.09</v>
      </c>
      <c r="AI100" s="7">
        <v>9</v>
      </c>
      <c r="AJ100" s="7">
        <v>1198</v>
      </c>
      <c r="AK100" s="7">
        <v>5389155.6799999997</v>
      </c>
      <c r="AL100" s="7">
        <v>10342828.91</v>
      </c>
      <c r="AM100" s="7" t="s">
        <v>355</v>
      </c>
      <c r="AN100" s="7"/>
      <c r="AO100" s="7">
        <v>74.2</v>
      </c>
      <c r="AP100" s="7">
        <v>48</v>
      </c>
      <c r="AQ100" s="7" t="s">
        <v>392</v>
      </c>
      <c r="AR100" s="7" t="s">
        <v>186</v>
      </c>
      <c r="AS100" s="7" t="s">
        <v>357</v>
      </c>
    </row>
    <row r="101" spans="1:45" x14ac:dyDescent="0.3">
      <c r="A101" s="6" t="s">
        <v>643</v>
      </c>
      <c r="B101" s="6" t="s">
        <v>4469</v>
      </c>
      <c r="C101" s="6" t="s">
        <v>267</v>
      </c>
      <c r="D101" s="6" t="s">
        <v>215</v>
      </c>
      <c r="E101" s="6" t="s">
        <v>20</v>
      </c>
      <c r="F101" s="6" t="s">
        <v>31</v>
      </c>
      <c r="G101" s="6" t="s">
        <v>57</v>
      </c>
      <c r="H101" s="6" t="s">
        <v>212</v>
      </c>
      <c r="I101" s="6" t="s">
        <v>233</v>
      </c>
      <c r="J101" s="6" t="s">
        <v>136</v>
      </c>
      <c r="K101" s="6" t="s">
        <v>326</v>
      </c>
      <c r="L101" s="6" t="s">
        <v>644</v>
      </c>
      <c r="M101" s="6" t="s">
        <v>4470</v>
      </c>
      <c r="N101" s="6" t="s">
        <v>3473</v>
      </c>
      <c r="O101" s="6" t="s">
        <v>3474</v>
      </c>
      <c r="P101" s="6">
        <v>46</v>
      </c>
      <c r="Q101" s="6">
        <v>43301412</v>
      </c>
      <c r="R101" s="6">
        <v>0.1</v>
      </c>
      <c r="S101" s="6">
        <v>0.15</v>
      </c>
      <c r="T101" s="6">
        <v>44816961.420000002</v>
      </c>
      <c r="U101" s="6">
        <v>36763086.200000003</v>
      </c>
      <c r="V101" s="6">
        <v>0.12</v>
      </c>
      <c r="W101" s="6">
        <v>0.1</v>
      </c>
      <c r="X101" s="6"/>
      <c r="Y101" s="6">
        <v>4241688.6500000004</v>
      </c>
      <c r="Z101" s="6">
        <v>2847072.08</v>
      </c>
      <c r="AA101" s="6">
        <v>90</v>
      </c>
      <c r="AB101" s="6">
        <v>78</v>
      </c>
      <c r="AC101" s="6" t="s">
        <v>329</v>
      </c>
      <c r="AD101" s="6" t="s">
        <v>320</v>
      </c>
      <c r="AE101" s="6">
        <v>0.5</v>
      </c>
      <c r="AF101" s="6" t="s">
        <v>153</v>
      </c>
      <c r="AG101" s="6">
        <v>0.15</v>
      </c>
      <c r="AH101" s="6">
        <v>0.03</v>
      </c>
      <c r="AI101" s="6">
        <v>12</v>
      </c>
      <c r="AJ101" s="6">
        <v>107</v>
      </c>
      <c r="AK101" s="6">
        <v>6310711.3300000001</v>
      </c>
      <c r="AL101" s="6">
        <v>10783255.27</v>
      </c>
      <c r="AM101" s="6" t="s">
        <v>321</v>
      </c>
      <c r="AN101" s="6" t="s">
        <v>356</v>
      </c>
      <c r="AO101" s="6">
        <v>65.7</v>
      </c>
      <c r="AP101" s="6">
        <v>36</v>
      </c>
      <c r="AQ101" s="6" t="s">
        <v>4275</v>
      </c>
      <c r="AR101" s="6" t="s">
        <v>224</v>
      </c>
      <c r="AS101" s="6"/>
    </row>
    <row r="102" spans="1:45" x14ac:dyDescent="0.3">
      <c r="A102" s="7" t="s">
        <v>645</v>
      </c>
      <c r="B102" s="7" t="s">
        <v>3475</v>
      </c>
      <c r="C102" s="7" t="s">
        <v>285</v>
      </c>
      <c r="D102" s="7" t="s">
        <v>180</v>
      </c>
      <c r="E102" s="7" t="s">
        <v>41</v>
      </c>
      <c r="F102" s="7" t="s">
        <v>350</v>
      </c>
      <c r="G102" s="7" t="s">
        <v>38</v>
      </c>
      <c r="H102" s="7" t="s">
        <v>212</v>
      </c>
      <c r="I102" s="7" t="s">
        <v>246</v>
      </c>
      <c r="J102" s="6" t="s">
        <v>130</v>
      </c>
      <c r="K102" s="7" t="s">
        <v>210</v>
      </c>
      <c r="L102" s="7" t="s">
        <v>646</v>
      </c>
      <c r="M102" s="7" t="s">
        <v>4471</v>
      </c>
      <c r="N102" s="7" t="s">
        <v>4472</v>
      </c>
      <c r="O102" s="7" t="s">
        <v>3477</v>
      </c>
      <c r="P102" s="7">
        <v>34</v>
      </c>
      <c r="Q102" s="7">
        <v>43021017</v>
      </c>
      <c r="R102" s="7">
        <v>0.05</v>
      </c>
      <c r="S102" s="7">
        <v>0.19</v>
      </c>
      <c r="T102" s="7">
        <v>48635259.719999999</v>
      </c>
      <c r="U102" s="7">
        <v>32109034.18</v>
      </c>
      <c r="V102" s="7">
        <v>0.28000000000000003</v>
      </c>
      <c r="W102" s="7">
        <v>7.0000000000000007E-2</v>
      </c>
      <c r="X102" s="7" t="s">
        <v>647</v>
      </c>
      <c r="Y102" s="7">
        <v>6002973.1600000001</v>
      </c>
      <c r="Z102" s="7">
        <v>4704821.97</v>
      </c>
      <c r="AA102" s="7">
        <v>90</v>
      </c>
      <c r="AB102" s="7">
        <v>169</v>
      </c>
      <c r="AC102" s="7" t="s">
        <v>347</v>
      </c>
      <c r="AD102" s="7" t="s">
        <v>455</v>
      </c>
      <c r="AE102" s="7">
        <v>0.77</v>
      </c>
      <c r="AF102" s="7" t="s">
        <v>4361</v>
      </c>
      <c r="AG102" s="7">
        <v>0.15</v>
      </c>
      <c r="AH102" s="7">
        <v>0.06</v>
      </c>
      <c r="AI102" s="7">
        <v>5</v>
      </c>
      <c r="AJ102" s="7">
        <v>856</v>
      </c>
      <c r="AK102" s="7"/>
      <c r="AL102" s="7"/>
      <c r="AM102" s="7" t="s">
        <v>391</v>
      </c>
      <c r="AN102" s="7" t="s">
        <v>348</v>
      </c>
      <c r="AO102" s="7">
        <v>60.9</v>
      </c>
      <c r="AP102" s="7">
        <v>48</v>
      </c>
      <c r="AQ102" s="7"/>
      <c r="AR102" s="7" t="s">
        <v>229</v>
      </c>
      <c r="AS102" s="7" t="s">
        <v>188</v>
      </c>
    </row>
    <row r="103" spans="1:45" x14ac:dyDescent="0.3">
      <c r="A103" s="6" t="s">
        <v>648</v>
      </c>
      <c r="B103" s="6" t="s">
        <v>3478</v>
      </c>
      <c r="C103" s="6" t="s">
        <v>247</v>
      </c>
      <c r="D103" s="6" t="s">
        <v>190</v>
      </c>
      <c r="E103" s="6" t="s">
        <v>36</v>
      </c>
      <c r="F103" s="6" t="s">
        <v>339</v>
      </c>
      <c r="G103" s="6" t="s">
        <v>50</v>
      </c>
      <c r="H103" s="6"/>
      <c r="I103" s="6"/>
      <c r="J103" s="6" t="s">
        <v>115</v>
      </c>
      <c r="K103" s="6" t="s">
        <v>223</v>
      </c>
      <c r="L103" s="6" t="s">
        <v>649</v>
      </c>
      <c r="M103" s="6" t="s">
        <v>1469</v>
      </c>
      <c r="N103" s="6" t="s">
        <v>4473</v>
      </c>
      <c r="O103" s="6" t="s">
        <v>4274</v>
      </c>
      <c r="P103" s="6" t="s">
        <v>4275</v>
      </c>
      <c r="Q103" s="6">
        <v>10374205</v>
      </c>
      <c r="R103" s="6">
        <v>0.25</v>
      </c>
      <c r="S103" s="6">
        <v>0.18</v>
      </c>
      <c r="T103" s="6">
        <v>9181171.4199999999</v>
      </c>
      <c r="U103" s="6">
        <v>6034792.6799999997</v>
      </c>
      <c r="V103" s="6">
        <v>0.36</v>
      </c>
      <c r="W103" s="6">
        <v>0.14000000000000001</v>
      </c>
      <c r="X103" s="6" t="s">
        <v>650</v>
      </c>
      <c r="Y103" s="6">
        <v>4943548.63</v>
      </c>
      <c r="Z103" s="6">
        <v>3521321.34</v>
      </c>
      <c r="AA103" s="6">
        <v>90</v>
      </c>
      <c r="AB103" s="6">
        <v>123</v>
      </c>
      <c r="AC103" s="6"/>
      <c r="AD103" s="6" t="s">
        <v>406</v>
      </c>
      <c r="AE103" s="6">
        <v>0.46</v>
      </c>
      <c r="AF103" s="6" t="s">
        <v>4294</v>
      </c>
      <c r="AG103" s="6">
        <v>0.15</v>
      </c>
      <c r="AH103" s="6">
        <v>0.08</v>
      </c>
      <c r="AI103" s="6">
        <v>2</v>
      </c>
      <c r="AJ103" s="6"/>
      <c r="AK103" s="6"/>
      <c r="AL103" s="6">
        <v>1793946.29</v>
      </c>
      <c r="AM103" s="6" t="s">
        <v>343</v>
      </c>
      <c r="AN103" s="6" t="s">
        <v>386</v>
      </c>
      <c r="AO103" s="6">
        <v>94.3</v>
      </c>
      <c r="AP103" s="6">
        <v>60</v>
      </c>
      <c r="AQ103" s="6" t="s">
        <v>387</v>
      </c>
      <c r="AR103" s="6" t="s">
        <v>192</v>
      </c>
      <c r="AS103" s="6"/>
    </row>
    <row r="104" spans="1:45" x14ac:dyDescent="0.3">
      <c r="A104" s="7" t="s">
        <v>651</v>
      </c>
      <c r="B104" s="7" t="s">
        <v>4474</v>
      </c>
      <c r="C104" s="7" t="s">
        <v>235</v>
      </c>
      <c r="D104" s="7" t="s">
        <v>562</v>
      </c>
      <c r="E104" s="7" t="s">
        <v>41</v>
      </c>
      <c r="F104" s="7" t="s">
        <v>350</v>
      </c>
      <c r="G104" s="7"/>
      <c r="H104" s="7" t="s">
        <v>236</v>
      </c>
      <c r="I104" s="7" t="s">
        <v>246</v>
      </c>
      <c r="J104" s="6" t="s">
        <v>105</v>
      </c>
      <c r="K104" s="7" t="s">
        <v>210</v>
      </c>
      <c r="L104" s="7" t="s">
        <v>652</v>
      </c>
      <c r="M104" s="7" t="s">
        <v>3482</v>
      </c>
      <c r="N104" s="7" t="s">
        <v>3333</v>
      </c>
      <c r="O104" s="7" t="s">
        <v>4274</v>
      </c>
      <c r="P104" s="7">
        <v>42</v>
      </c>
      <c r="Q104" s="7">
        <v>48586295</v>
      </c>
      <c r="R104" s="7">
        <v>0.02</v>
      </c>
      <c r="S104" s="7">
        <v>-0.02</v>
      </c>
      <c r="T104" s="7">
        <v>46662277.719999999</v>
      </c>
      <c r="U104" s="7">
        <v>39258656.850000001</v>
      </c>
      <c r="V104" s="7">
        <v>0.33</v>
      </c>
      <c r="W104" s="7">
        <v>0.2</v>
      </c>
      <c r="X104" s="7" t="s">
        <v>653</v>
      </c>
      <c r="Y104" s="7">
        <v>34345216.560000002</v>
      </c>
      <c r="Z104" s="7">
        <v>28638866.489999998</v>
      </c>
      <c r="AA104" s="7">
        <v>90</v>
      </c>
      <c r="AB104" s="7">
        <v>174</v>
      </c>
      <c r="AC104" s="7" t="s">
        <v>329</v>
      </c>
      <c r="AD104" s="7" t="s">
        <v>320</v>
      </c>
      <c r="AE104" s="7">
        <v>0.87</v>
      </c>
      <c r="AF104" s="7" t="s">
        <v>4361</v>
      </c>
      <c r="AG104" s="7">
        <v>0.15</v>
      </c>
      <c r="AH104" s="7">
        <v>0.02</v>
      </c>
      <c r="AI104" s="7">
        <v>7</v>
      </c>
      <c r="AJ104" s="7">
        <v>1756</v>
      </c>
      <c r="AK104" s="7">
        <v>7298428.5800000001</v>
      </c>
      <c r="AL104" s="7">
        <v>6919931.5999999996</v>
      </c>
      <c r="AM104" s="7" t="s">
        <v>73</v>
      </c>
      <c r="AN104" s="7" t="s">
        <v>356</v>
      </c>
      <c r="AO104" s="7">
        <v>56</v>
      </c>
      <c r="AP104" s="7">
        <v>48</v>
      </c>
      <c r="AQ104" s="7" t="s">
        <v>392</v>
      </c>
      <c r="AR104" s="7" t="s">
        <v>192</v>
      </c>
      <c r="AS104" s="7" t="s">
        <v>377</v>
      </c>
    </row>
    <row r="105" spans="1:45" x14ac:dyDescent="0.3">
      <c r="A105" s="6" t="s">
        <v>654</v>
      </c>
      <c r="B105" s="6" t="s">
        <v>3483</v>
      </c>
      <c r="C105" s="6" t="s">
        <v>258</v>
      </c>
      <c r="D105" s="6" t="s">
        <v>253</v>
      </c>
      <c r="E105" s="6" t="s">
        <v>113</v>
      </c>
      <c r="F105" s="6" t="s">
        <v>181</v>
      </c>
      <c r="G105" s="6" t="s">
        <v>73</v>
      </c>
      <c r="H105" s="6" t="s">
        <v>4275</v>
      </c>
      <c r="I105" s="6" t="s">
        <v>246</v>
      </c>
      <c r="J105" s="6" t="s">
        <v>123</v>
      </c>
      <c r="K105" s="6" t="s">
        <v>333</v>
      </c>
      <c r="L105" s="6" t="s">
        <v>655</v>
      </c>
      <c r="M105" s="6" t="s">
        <v>3484</v>
      </c>
      <c r="N105" s="6" t="s">
        <v>4475</v>
      </c>
      <c r="O105" s="6" t="s">
        <v>4476</v>
      </c>
      <c r="P105" s="6">
        <v>36</v>
      </c>
      <c r="Q105" s="6">
        <v>6908728</v>
      </c>
      <c r="R105" s="6">
        <v>0.28000000000000003</v>
      </c>
      <c r="S105" s="6">
        <v>0.11</v>
      </c>
      <c r="T105" s="6">
        <v>5521455.4199999999</v>
      </c>
      <c r="U105" s="6">
        <v>4338076.57</v>
      </c>
      <c r="V105" s="6">
        <v>0.4</v>
      </c>
      <c r="W105" s="6">
        <v>0.13</v>
      </c>
      <c r="X105" s="6" t="s">
        <v>656</v>
      </c>
      <c r="Y105" s="6">
        <v>2041345</v>
      </c>
      <c r="Z105" s="6">
        <v>870027.22</v>
      </c>
      <c r="AA105" s="6">
        <v>90</v>
      </c>
      <c r="AB105" s="6">
        <v>21</v>
      </c>
      <c r="AC105" s="6" t="s">
        <v>347</v>
      </c>
      <c r="AD105" s="6" t="s">
        <v>406</v>
      </c>
      <c r="AE105" s="6">
        <v>0.06</v>
      </c>
      <c r="AF105" s="6"/>
      <c r="AG105" s="6">
        <v>0.05</v>
      </c>
      <c r="AH105" s="6">
        <v>0.09</v>
      </c>
      <c r="AI105" s="6">
        <v>9</v>
      </c>
      <c r="AJ105" s="6">
        <v>1232</v>
      </c>
      <c r="AK105" s="6">
        <v>1340454.68</v>
      </c>
      <c r="AL105" s="6">
        <v>941571.18</v>
      </c>
      <c r="AM105" s="6" t="s">
        <v>343</v>
      </c>
      <c r="AN105" s="6" t="s">
        <v>330</v>
      </c>
      <c r="AO105" s="6">
        <v>83</v>
      </c>
      <c r="AP105" s="6">
        <v>12</v>
      </c>
      <c r="AQ105" s="6" t="s">
        <v>392</v>
      </c>
      <c r="AR105" s="6" t="s">
        <v>206</v>
      </c>
      <c r="AS105" s="6" t="s">
        <v>377</v>
      </c>
    </row>
    <row r="106" spans="1:45" x14ac:dyDescent="0.3">
      <c r="A106" s="7" t="s">
        <v>657</v>
      </c>
      <c r="B106" s="7" t="s">
        <v>4477</v>
      </c>
      <c r="C106" s="7" t="s">
        <v>214</v>
      </c>
      <c r="D106" s="7" t="s">
        <v>274</v>
      </c>
      <c r="E106" s="7" t="s">
        <v>4376</v>
      </c>
      <c r="F106" s="7" t="s">
        <v>196</v>
      </c>
      <c r="G106" s="7" t="s">
        <v>50</v>
      </c>
      <c r="H106" s="7" t="s">
        <v>216</v>
      </c>
      <c r="I106" s="7" t="s">
        <v>4272</v>
      </c>
      <c r="J106" s="7" t="s">
        <v>136</v>
      </c>
      <c r="K106" s="7" t="s">
        <v>333</v>
      </c>
      <c r="L106" s="7" t="s">
        <v>658</v>
      </c>
      <c r="M106" s="7" t="s">
        <v>3487</v>
      </c>
      <c r="N106" s="7"/>
      <c r="O106" s="7" t="s">
        <v>3488</v>
      </c>
      <c r="P106" s="7">
        <v>11</v>
      </c>
      <c r="Q106" s="7">
        <v>30610222</v>
      </c>
      <c r="R106" s="7">
        <v>0.02</v>
      </c>
      <c r="S106" s="7">
        <v>0.14000000000000001</v>
      </c>
      <c r="T106" s="7">
        <v>34197740.020000003</v>
      </c>
      <c r="U106" s="7">
        <v>22510541.890000001</v>
      </c>
      <c r="V106" s="7">
        <v>0.14000000000000001</v>
      </c>
      <c r="W106" s="7">
        <v>0.1</v>
      </c>
      <c r="X106" s="7" t="s">
        <v>659</v>
      </c>
      <c r="Y106" s="7">
        <v>28593829.68</v>
      </c>
      <c r="Z106" s="7">
        <v>12601589.15</v>
      </c>
      <c r="AA106" s="7">
        <v>30</v>
      </c>
      <c r="AB106" s="7">
        <v>125</v>
      </c>
      <c r="AC106" s="7" t="s">
        <v>329</v>
      </c>
      <c r="AD106" s="7" t="s">
        <v>226</v>
      </c>
      <c r="AE106" s="7">
        <v>0.53</v>
      </c>
      <c r="AF106" s="7" t="s">
        <v>4361</v>
      </c>
      <c r="AG106" s="7">
        <v>0.05</v>
      </c>
      <c r="AH106" s="7">
        <v>0.09</v>
      </c>
      <c r="AI106" s="7">
        <v>14</v>
      </c>
      <c r="AJ106" s="7">
        <v>3436</v>
      </c>
      <c r="AK106" s="7">
        <v>3386345.09</v>
      </c>
      <c r="AL106" s="7">
        <v>11676968.57</v>
      </c>
      <c r="AM106" s="7"/>
      <c r="AN106" s="7" t="s">
        <v>321</v>
      </c>
      <c r="AO106" s="7">
        <v>53</v>
      </c>
      <c r="AP106" s="7">
        <v>60</v>
      </c>
      <c r="AQ106" s="7" t="s">
        <v>392</v>
      </c>
      <c r="AR106" s="7" t="s">
        <v>206</v>
      </c>
      <c r="AS106" s="7"/>
    </row>
    <row r="107" spans="1:45" x14ac:dyDescent="0.3">
      <c r="A107" s="6" t="s">
        <v>660</v>
      </c>
      <c r="B107" s="6" t="s">
        <v>4478</v>
      </c>
      <c r="C107" s="6" t="s">
        <v>258</v>
      </c>
      <c r="D107" s="6" t="s">
        <v>255</v>
      </c>
      <c r="E107" s="6" t="s">
        <v>4306</v>
      </c>
      <c r="F107" s="6" t="s">
        <v>75</v>
      </c>
      <c r="G107" s="6" t="s">
        <v>50</v>
      </c>
      <c r="H107" s="6" t="s">
        <v>182</v>
      </c>
      <c r="I107" s="6" t="s">
        <v>198</v>
      </c>
      <c r="J107" s="6" t="s">
        <v>119</v>
      </c>
      <c r="K107" s="6" t="s">
        <v>221</v>
      </c>
      <c r="L107" s="6" t="s">
        <v>661</v>
      </c>
      <c r="M107" s="6" t="s">
        <v>4479</v>
      </c>
      <c r="N107" s="6"/>
      <c r="O107" s="6" t="s">
        <v>4480</v>
      </c>
      <c r="P107" s="6">
        <v>22</v>
      </c>
      <c r="Q107" s="6">
        <v>14725217</v>
      </c>
      <c r="R107" s="6">
        <v>0.21</v>
      </c>
      <c r="S107" s="6">
        <v>0.16</v>
      </c>
      <c r="T107" s="6">
        <v>13494188.859999999</v>
      </c>
      <c r="U107" s="6">
        <v>9955808.1199999992</v>
      </c>
      <c r="V107" s="6">
        <v>0.25</v>
      </c>
      <c r="W107" s="6">
        <v>0.2</v>
      </c>
      <c r="X107" s="6" t="s">
        <v>662</v>
      </c>
      <c r="Y107" s="6">
        <v>3876816.32</v>
      </c>
      <c r="Z107" s="6">
        <v>3427160.69</v>
      </c>
      <c r="AA107" s="6">
        <v>45</v>
      </c>
      <c r="AB107" s="6">
        <v>64</v>
      </c>
      <c r="AC107" s="6" t="s">
        <v>347</v>
      </c>
      <c r="AD107" s="6" t="s">
        <v>320</v>
      </c>
      <c r="AE107" s="6">
        <v>0.36</v>
      </c>
      <c r="AF107" s="6" t="s">
        <v>4294</v>
      </c>
      <c r="AG107" s="6">
        <v>0.15</v>
      </c>
      <c r="AH107" s="6">
        <v>0.03</v>
      </c>
      <c r="AI107" s="6">
        <v>4</v>
      </c>
      <c r="AJ107" s="6">
        <v>3813</v>
      </c>
      <c r="AK107" s="6">
        <v>274116.08</v>
      </c>
      <c r="AL107" s="6">
        <v>3426872.3</v>
      </c>
      <c r="AM107" s="6"/>
      <c r="AN107" s="6" t="s">
        <v>330</v>
      </c>
      <c r="AO107" s="6">
        <v>93.7</v>
      </c>
      <c r="AP107" s="6">
        <v>60</v>
      </c>
      <c r="AQ107" s="6"/>
      <c r="AR107" s="6" t="s">
        <v>224</v>
      </c>
      <c r="AS107" s="6" t="s">
        <v>324</v>
      </c>
    </row>
    <row r="108" spans="1:45" x14ac:dyDescent="0.3">
      <c r="A108" s="7" t="s">
        <v>663</v>
      </c>
      <c r="B108" s="7" t="s">
        <v>4358</v>
      </c>
      <c r="C108" s="7" t="s">
        <v>217</v>
      </c>
      <c r="D108" s="7" t="s">
        <v>262</v>
      </c>
      <c r="E108" s="7" t="s">
        <v>41</v>
      </c>
      <c r="F108" s="7" t="s">
        <v>350</v>
      </c>
      <c r="G108" s="7" t="s">
        <v>66</v>
      </c>
      <c r="H108" s="7" t="s">
        <v>4266</v>
      </c>
      <c r="I108" s="7" t="s">
        <v>4272</v>
      </c>
      <c r="J108" s="6" t="s">
        <v>130</v>
      </c>
      <c r="K108" s="7" t="s">
        <v>221</v>
      </c>
      <c r="L108" s="7" t="s">
        <v>664</v>
      </c>
      <c r="M108" s="7" t="s">
        <v>4481</v>
      </c>
      <c r="N108" s="7" t="s">
        <v>3490</v>
      </c>
      <c r="O108" s="7" t="s">
        <v>4482</v>
      </c>
      <c r="P108" s="7">
        <v>34</v>
      </c>
      <c r="Q108" s="7">
        <v>46147102</v>
      </c>
      <c r="R108" s="7">
        <v>0.04</v>
      </c>
      <c r="S108" s="7">
        <v>0.17</v>
      </c>
      <c r="T108" s="7">
        <v>51832424.969999999</v>
      </c>
      <c r="U108" s="7">
        <v>43998884.219999999</v>
      </c>
      <c r="V108" s="7">
        <v>0.24</v>
      </c>
      <c r="W108" s="7">
        <v>0.17</v>
      </c>
      <c r="X108" s="7" t="s">
        <v>665</v>
      </c>
      <c r="Y108" s="7">
        <v>35007447.090000004</v>
      </c>
      <c r="Z108" s="7">
        <v>12037287.58</v>
      </c>
      <c r="AA108" s="7">
        <v>60</v>
      </c>
      <c r="AB108" s="7">
        <v>14</v>
      </c>
      <c r="AC108" s="7" t="s">
        <v>329</v>
      </c>
      <c r="AD108" s="7" t="s">
        <v>320</v>
      </c>
      <c r="AE108" s="7">
        <v>0.15</v>
      </c>
      <c r="AF108" s="7" t="s">
        <v>152</v>
      </c>
      <c r="AG108" s="7">
        <v>0.1</v>
      </c>
      <c r="AH108" s="7">
        <v>0.05</v>
      </c>
      <c r="AI108" s="7">
        <v>1</v>
      </c>
      <c r="AJ108" s="7">
        <v>3760</v>
      </c>
      <c r="AK108" s="7">
        <v>5694153.4500000002</v>
      </c>
      <c r="AL108" s="7">
        <v>25050745.859999999</v>
      </c>
      <c r="AM108" s="7" t="s">
        <v>343</v>
      </c>
      <c r="AN108" s="7" t="s">
        <v>386</v>
      </c>
      <c r="AO108" s="7">
        <v>68.400000000000006</v>
      </c>
      <c r="AP108" s="7" t="s">
        <v>4275</v>
      </c>
      <c r="AQ108" s="7" t="s">
        <v>387</v>
      </c>
      <c r="AR108" s="7" t="s">
        <v>192</v>
      </c>
      <c r="AS108" s="7" t="s">
        <v>357</v>
      </c>
    </row>
    <row r="109" spans="1:45" x14ac:dyDescent="0.3">
      <c r="A109" s="6" t="s">
        <v>666</v>
      </c>
      <c r="B109" s="6" t="s">
        <v>4446</v>
      </c>
      <c r="C109" s="6" t="s">
        <v>271</v>
      </c>
      <c r="D109" s="6" t="s">
        <v>202</v>
      </c>
      <c r="E109" s="6"/>
      <c r="F109" s="6" t="s">
        <v>350</v>
      </c>
      <c r="G109" s="6" t="s">
        <v>66</v>
      </c>
      <c r="H109" s="6" t="s">
        <v>197</v>
      </c>
      <c r="I109" s="6" t="s">
        <v>233</v>
      </c>
      <c r="J109" s="6" t="s">
        <v>130</v>
      </c>
      <c r="K109" s="6" t="s">
        <v>199</v>
      </c>
      <c r="L109" s="6" t="s">
        <v>667</v>
      </c>
      <c r="M109" s="6" t="s">
        <v>4483</v>
      </c>
      <c r="N109" s="6"/>
      <c r="O109" s="6" t="s">
        <v>4484</v>
      </c>
      <c r="P109" s="6">
        <v>21</v>
      </c>
      <c r="Q109" s="6">
        <v>28153301</v>
      </c>
      <c r="R109" s="6">
        <v>0.34</v>
      </c>
      <c r="S109" s="6">
        <v>0.09</v>
      </c>
      <c r="T109" s="6">
        <v>20253484.739999998</v>
      </c>
      <c r="U109" s="6">
        <v>13162920.43</v>
      </c>
      <c r="V109" s="6">
        <v>0.3</v>
      </c>
      <c r="W109" s="6">
        <v>0.09</v>
      </c>
      <c r="X109" s="6" t="s">
        <v>668</v>
      </c>
      <c r="Y109" s="6">
        <v>3285586.39</v>
      </c>
      <c r="Z109" s="6">
        <v>1896966.81</v>
      </c>
      <c r="AA109" s="6">
        <v>90</v>
      </c>
      <c r="AB109" s="6">
        <v>166</v>
      </c>
      <c r="AC109" s="6"/>
      <c r="AD109" s="6" t="s">
        <v>320</v>
      </c>
      <c r="AE109" s="6">
        <v>7.0000000000000007E-2</v>
      </c>
      <c r="AF109" s="6" t="s">
        <v>4312</v>
      </c>
      <c r="AG109" s="6">
        <v>0.05</v>
      </c>
      <c r="AH109" s="6">
        <v>0.02</v>
      </c>
      <c r="AI109" s="6">
        <v>7</v>
      </c>
      <c r="AJ109" s="6">
        <v>347</v>
      </c>
      <c r="AK109" s="6">
        <v>3081381.15</v>
      </c>
      <c r="AL109" s="6">
        <v>5020208.12</v>
      </c>
      <c r="AM109" s="6" t="s">
        <v>343</v>
      </c>
      <c r="AN109" s="6" t="s">
        <v>322</v>
      </c>
      <c r="AO109" s="6">
        <v>84.6</v>
      </c>
      <c r="AP109" s="6">
        <v>12</v>
      </c>
      <c r="AQ109" s="6" t="s">
        <v>392</v>
      </c>
      <c r="AR109" s="6" t="s">
        <v>224</v>
      </c>
      <c r="AS109" s="6" t="s">
        <v>361</v>
      </c>
    </row>
    <row r="110" spans="1:45" x14ac:dyDescent="0.3">
      <c r="A110" s="7" t="s">
        <v>669</v>
      </c>
      <c r="B110" s="7" t="s">
        <v>3349</v>
      </c>
      <c r="C110" s="7" t="s">
        <v>247</v>
      </c>
      <c r="D110" s="7" t="s">
        <v>242</v>
      </c>
      <c r="E110" s="7" t="s">
        <v>20</v>
      </c>
      <c r="F110" s="7" t="s">
        <v>35</v>
      </c>
      <c r="G110" s="7" t="s">
        <v>54</v>
      </c>
      <c r="H110" s="7" t="s">
        <v>212</v>
      </c>
      <c r="I110" s="7" t="s">
        <v>4289</v>
      </c>
      <c r="J110" s="7" t="s">
        <v>136</v>
      </c>
      <c r="K110" s="7" t="s">
        <v>199</v>
      </c>
      <c r="L110" s="7" t="s">
        <v>670</v>
      </c>
      <c r="M110" s="7" t="s">
        <v>3493</v>
      </c>
      <c r="N110" s="7" t="s">
        <v>671</v>
      </c>
      <c r="O110" s="7" t="s">
        <v>4485</v>
      </c>
      <c r="P110" s="7">
        <v>15</v>
      </c>
      <c r="Q110" s="7">
        <v>20437333</v>
      </c>
      <c r="R110" s="7">
        <v>0.05</v>
      </c>
      <c r="S110" s="7">
        <v>-0.04</v>
      </c>
      <c r="T110" s="7">
        <v>18638847.699999999</v>
      </c>
      <c r="U110" s="7">
        <v>12425460.279999999</v>
      </c>
      <c r="V110" s="7">
        <v>0.15</v>
      </c>
      <c r="W110" s="7">
        <v>0.05</v>
      </c>
      <c r="X110" s="7" t="s">
        <v>672</v>
      </c>
      <c r="Y110" s="7">
        <v>15682886.35</v>
      </c>
      <c r="Z110" s="7">
        <v>14346932.35</v>
      </c>
      <c r="AA110" s="7">
        <v>90</v>
      </c>
      <c r="AB110" s="7">
        <v>82</v>
      </c>
      <c r="AC110" s="7" t="s">
        <v>329</v>
      </c>
      <c r="AD110" s="7" t="s">
        <v>455</v>
      </c>
      <c r="AE110" s="7">
        <v>0.2</v>
      </c>
      <c r="AF110" s="7" t="s">
        <v>4312</v>
      </c>
      <c r="AG110" s="7">
        <v>0.15</v>
      </c>
      <c r="AH110" s="7">
        <v>0.06</v>
      </c>
      <c r="AI110" s="7">
        <v>10</v>
      </c>
      <c r="AJ110" s="7">
        <v>2613</v>
      </c>
      <c r="AK110" s="7">
        <v>2565783.59</v>
      </c>
      <c r="AL110" s="7"/>
      <c r="AM110" s="7" t="s">
        <v>391</v>
      </c>
      <c r="AN110" s="7" t="s">
        <v>348</v>
      </c>
      <c r="AO110" s="7">
        <v>83.9</v>
      </c>
      <c r="AP110" s="7">
        <v>48</v>
      </c>
      <c r="AQ110" s="7" t="s">
        <v>337</v>
      </c>
      <c r="AR110" s="7" t="s">
        <v>186</v>
      </c>
      <c r="AS110" s="7" t="s">
        <v>377</v>
      </c>
    </row>
    <row r="111" spans="1:45" x14ac:dyDescent="0.3">
      <c r="A111" s="6" t="s">
        <v>673</v>
      </c>
      <c r="B111" s="6" t="s">
        <v>3333</v>
      </c>
      <c r="C111" s="6" t="s">
        <v>247</v>
      </c>
      <c r="D111" s="6" t="s">
        <v>253</v>
      </c>
      <c r="E111" s="6" t="s">
        <v>20</v>
      </c>
      <c r="F111" s="6" t="s">
        <v>31</v>
      </c>
      <c r="G111" s="6" t="s">
        <v>28</v>
      </c>
      <c r="H111" s="6" t="s">
        <v>212</v>
      </c>
      <c r="I111" s="6" t="s">
        <v>4307</v>
      </c>
      <c r="J111" s="6" t="s">
        <v>136</v>
      </c>
      <c r="K111" s="6" t="s">
        <v>199</v>
      </c>
      <c r="L111" s="6" t="s">
        <v>674</v>
      </c>
      <c r="M111" s="6" t="s">
        <v>3495</v>
      </c>
      <c r="N111" s="6" t="s">
        <v>3496</v>
      </c>
      <c r="O111" s="6" t="s">
        <v>4274</v>
      </c>
      <c r="P111" s="6">
        <v>21</v>
      </c>
      <c r="Q111" s="6">
        <v>23779037</v>
      </c>
      <c r="R111" s="6">
        <v>0.11</v>
      </c>
      <c r="S111" s="6">
        <v>0.06</v>
      </c>
      <c r="T111" s="6">
        <v>22433143.510000002</v>
      </c>
      <c r="U111" s="6">
        <v>13744111.220000001</v>
      </c>
      <c r="V111" s="6">
        <v>0.34</v>
      </c>
      <c r="W111" s="6">
        <v>0.1</v>
      </c>
      <c r="X111" s="6" t="s">
        <v>675</v>
      </c>
      <c r="Y111" s="6">
        <v>11819531.119999999</v>
      </c>
      <c r="Z111" s="6">
        <v>5585391.8200000003</v>
      </c>
      <c r="AA111" s="6">
        <v>90</v>
      </c>
      <c r="AB111" s="6">
        <v>107</v>
      </c>
      <c r="AC111" s="6" t="s">
        <v>347</v>
      </c>
      <c r="AD111" s="6" t="s">
        <v>381</v>
      </c>
      <c r="AE111" s="6">
        <v>0.81</v>
      </c>
      <c r="AF111" s="6" t="s">
        <v>4312</v>
      </c>
      <c r="AG111" s="6">
        <v>0.1</v>
      </c>
      <c r="AH111" s="6">
        <v>0.02</v>
      </c>
      <c r="AI111" s="6">
        <v>13</v>
      </c>
      <c r="AJ111" s="6">
        <v>3881</v>
      </c>
      <c r="AK111" s="6">
        <v>3884525.29</v>
      </c>
      <c r="AL111" s="6">
        <v>3852868.23</v>
      </c>
      <c r="AM111" s="6" t="s">
        <v>355</v>
      </c>
      <c r="AN111" s="6" t="s">
        <v>348</v>
      </c>
      <c r="AO111" s="6">
        <v>61.2</v>
      </c>
      <c r="AP111" s="6">
        <v>24</v>
      </c>
      <c r="AQ111" s="6" t="s">
        <v>387</v>
      </c>
      <c r="AR111" s="6" t="s">
        <v>186</v>
      </c>
      <c r="AS111" s="6"/>
    </row>
    <row r="112" spans="1:45" x14ac:dyDescent="0.3">
      <c r="A112" s="7" t="s">
        <v>676</v>
      </c>
      <c r="B112" s="7" t="s">
        <v>3497</v>
      </c>
      <c r="C112" s="7" t="s">
        <v>256</v>
      </c>
      <c r="D112" s="7" t="s">
        <v>190</v>
      </c>
      <c r="E112" s="7" t="s">
        <v>4376</v>
      </c>
      <c r="F112" s="7" t="s">
        <v>31</v>
      </c>
      <c r="G112" s="7" t="s">
        <v>28</v>
      </c>
      <c r="H112" s="7" t="s">
        <v>197</v>
      </c>
      <c r="I112" s="7" t="s">
        <v>246</v>
      </c>
      <c r="J112" s="7" t="s">
        <v>136</v>
      </c>
      <c r="K112" s="7" t="s">
        <v>210</v>
      </c>
      <c r="L112" s="7" t="s">
        <v>677</v>
      </c>
      <c r="M112" s="7" t="s">
        <v>4341</v>
      </c>
      <c r="N112" s="7" t="s">
        <v>3498</v>
      </c>
      <c r="O112" s="7" t="s">
        <v>4486</v>
      </c>
      <c r="P112" s="7">
        <v>55</v>
      </c>
      <c r="Q112" s="7">
        <v>32444863</v>
      </c>
      <c r="R112" s="7">
        <v>0.2</v>
      </c>
      <c r="S112" s="7">
        <v>0.17</v>
      </c>
      <c r="T112" s="7">
        <v>30368391.77</v>
      </c>
      <c r="U112" s="7">
        <v>25508330.370000001</v>
      </c>
      <c r="V112" s="7">
        <v>0.28999999999999998</v>
      </c>
      <c r="W112" s="7">
        <v>0.1</v>
      </c>
      <c r="X112" s="7" t="s">
        <v>678</v>
      </c>
      <c r="Y112" s="7">
        <v>17728965.09</v>
      </c>
      <c r="Z112" s="7">
        <v>12070456.880000001</v>
      </c>
      <c r="AA112" s="7">
        <v>30</v>
      </c>
      <c r="AB112" s="7">
        <v>96</v>
      </c>
      <c r="AC112" s="7" t="s">
        <v>376</v>
      </c>
      <c r="AD112" s="7" t="s">
        <v>381</v>
      </c>
      <c r="AE112" s="7">
        <v>0.53</v>
      </c>
      <c r="AF112" s="7"/>
      <c r="AG112" s="7">
        <v>0.15</v>
      </c>
      <c r="AH112" s="7">
        <v>0.01</v>
      </c>
      <c r="AI112" s="7">
        <v>8</v>
      </c>
      <c r="AJ112" s="7">
        <v>3982</v>
      </c>
      <c r="AK112" s="7">
        <v>7039657.3200000003</v>
      </c>
      <c r="AL112" s="7">
        <v>5683459.2400000002</v>
      </c>
      <c r="AM112" s="7" t="s">
        <v>73</v>
      </c>
      <c r="AN112" s="7" t="s">
        <v>348</v>
      </c>
      <c r="AO112" s="7">
        <v>91.2</v>
      </c>
      <c r="AP112" s="7">
        <v>24</v>
      </c>
      <c r="AQ112" s="7" t="s">
        <v>4275</v>
      </c>
      <c r="AR112" s="7" t="s">
        <v>192</v>
      </c>
      <c r="AS112" s="7" t="s">
        <v>188</v>
      </c>
    </row>
    <row r="113" spans="1:45" x14ac:dyDescent="0.3">
      <c r="A113" s="6" t="s">
        <v>679</v>
      </c>
      <c r="B113" s="6" t="s">
        <v>4465</v>
      </c>
      <c r="C113" s="6" t="s">
        <v>243</v>
      </c>
      <c r="D113" s="6" t="s">
        <v>274</v>
      </c>
      <c r="E113" s="6" t="s">
        <v>113</v>
      </c>
      <c r="F113" s="6" t="s">
        <v>367</v>
      </c>
      <c r="G113" s="6" t="s">
        <v>16</v>
      </c>
      <c r="H113" s="6"/>
      <c r="I113" s="6"/>
      <c r="J113" s="6" t="s">
        <v>111</v>
      </c>
      <c r="K113" s="6" t="s">
        <v>210</v>
      </c>
      <c r="L113" s="6" t="s">
        <v>680</v>
      </c>
      <c r="M113" s="6" t="s">
        <v>4487</v>
      </c>
      <c r="N113" s="6" t="s">
        <v>4488</v>
      </c>
      <c r="O113" s="6" t="s">
        <v>4274</v>
      </c>
      <c r="P113" s="6">
        <v>35</v>
      </c>
      <c r="Q113" s="6">
        <v>31103051</v>
      </c>
      <c r="R113" s="6">
        <v>0.32</v>
      </c>
      <c r="S113" s="6">
        <v>-0.02</v>
      </c>
      <c r="T113" s="6">
        <v>20727073.190000001</v>
      </c>
      <c r="U113" s="6">
        <v>15353055.119999999</v>
      </c>
      <c r="V113" s="6">
        <v>7.0000000000000007E-2</v>
      </c>
      <c r="W113" s="6">
        <v>0.1</v>
      </c>
      <c r="X113" s="6" t="s">
        <v>681</v>
      </c>
      <c r="Y113" s="6">
        <v>3348403.4</v>
      </c>
      <c r="Z113" s="6">
        <v>1051075.6100000001</v>
      </c>
      <c r="AA113" s="6">
        <v>60</v>
      </c>
      <c r="AB113" s="6">
        <v>80</v>
      </c>
      <c r="AC113" s="6" t="s">
        <v>353</v>
      </c>
      <c r="AD113" s="6" t="s">
        <v>320</v>
      </c>
      <c r="AE113" s="6">
        <v>0.7</v>
      </c>
      <c r="AF113" s="6" t="s">
        <v>152</v>
      </c>
      <c r="AG113" s="6">
        <v>0.05</v>
      </c>
      <c r="AH113" s="6">
        <v>0.08</v>
      </c>
      <c r="AI113" s="6">
        <v>10</v>
      </c>
      <c r="AJ113" s="6">
        <v>1523</v>
      </c>
      <c r="AK113" s="6">
        <v>554026.31000000006</v>
      </c>
      <c r="AL113" s="6">
        <v>8259307.6500000004</v>
      </c>
      <c r="AM113" s="6" t="s">
        <v>73</v>
      </c>
      <c r="AN113" s="6" t="s">
        <v>321</v>
      </c>
      <c r="AO113" s="6">
        <v>89.1</v>
      </c>
      <c r="AP113" s="6">
        <v>60</v>
      </c>
      <c r="AQ113" s="6"/>
      <c r="AR113" s="6" t="s">
        <v>206</v>
      </c>
      <c r="AS113" s="6" t="s">
        <v>324</v>
      </c>
    </row>
    <row r="114" spans="1:45" x14ac:dyDescent="0.3">
      <c r="A114" s="7" t="s">
        <v>682</v>
      </c>
      <c r="B114" s="7" t="s">
        <v>3500</v>
      </c>
      <c r="C114" s="7" t="s">
        <v>249</v>
      </c>
      <c r="D114" s="7" t="s">
        <v>209</v>
      </c>
      <c r="E114" s="7" t="s">
        <v>4325</v>
      </c>
      <c r="F114" s="7" t="s">
        <v>339</v>
      </c>
      <c r="G114" s="7" t="s">
        <v>78</v>
      </c>
      <c r="H114" s="7"/>
      <c r="I114" s="7" t="s">
        <v>246</v>
      </c>
      <c r="J114" s="7" t="s">
        <v>115</v>
      </c>
      <c r="K114" s="7" t="s">
        <v>223</v>
      </c>
      <c r="L114" s="7" t="s">
        <v>683</v>
      </c>
      <c r="M114" s="7" t="s">
        <v>4489</v>
      </c>
      <c r="N114" s="7"/>
      <c r="O114" s="7" t="s">
        <v>4274</v>
      </c>
      <c r="P114" s="7">
        <v>48</v>
      </c>
      <c r="Q114" s="7">
        <v>6850869</v>
      </c>
      <c r="R114" s="7">
        <v>0.28999999999999998</v>
      </c>
      <c r="S114" s="7">
        <v>0.14000000000000001</v>
      </c>
      <c r="T114" s="7">
        <v>5545093.3700000001</v>
      </c>
      <c r="U114" s="7">
        <v>4528350.4400000004</v>
      </c>
      <c r="V114" s="7">
        <v>0.22</v>
      </c>
      <c r="W114" s="7">
        <v>0.11</v>
      </c>
      <c r="X114" s="7" t="s">
        <v>684</v>
      </c>
      <c r="Y114" s="7">
        <v>2769845.83</v>
      </c>
      <c r="Z114" s="7">
        <v>2417104.04</v>
      </c>
      <c r="AA114" s="7">
        <v>60</v>
      </c>
      <c r="AB114" s="7">
        <v>44</v>
      </c>
      <c r="AC114" s="7" t="s">
        <v>347</v>
      </c>
      <c r="AD114" s="7" t="s">
        <v>354</v>
      </c>
      <c r="AE114" s="7">
        <v>0.9</v>
      </c>
      <c r="AF114" s="7" t="s">
        <v>4276</v>
      </c>
      <c r="AG114" s="7">
        <v>0.15</v>
      </c>
      <c r="AH114" s="7">
        <v>0.01</v>
      </c>
      <c r="AI114" s="7">
        <v>3</v>
      </c>
      <c r="AJ114" s="7">
        <v>3515</v>
      </c>
      <c r="AK114" s="7">
        <v>199679.4</v>
      </c>
      <c r="AL114" s="7">
        <v>1609578.24</v>
      </c>
      <c r="AM114" s="7" t="s">
        <v>73</v>
      </c>
      <c r="AN114" s="7" t="s">
        <v>330</v>
      </c>
      <c r="AO114" s="7">
        <v>65.599999999999994</v>
      </c>
      <c r="AP114" s="7">
        <v>24</v>
      </c>
      <c r="AQ114" s="7"/>
      <c r="AR114" s="7" t="s">
        <v>206</v>
      </c>
      <c r="AS114" s="7"/>
    </row>
    <row r="115" spans="1:45" x14ac:dyDescent="0.3">
      <c r="A115" s="6" t="s">
        <v>685</v>
      </c>
      <c r="B115" s="6" t="s">
        <v>4490</v>
      </c>
      <c r="C115" s="6" t="s">
        <v>249</v>
      </c>
      <c r="D115" s="6" t="s">
        <v>245</v>
      </c>
      <c r="E115" s="6" t="s">
        <v>113</v>
      </c>
      <c r="F115" s="6" t="s">
        <v>367</v>
      </c>
      <c r="G115" s="6" t="s">
        <v>50</v>
      </c>
      <c r="H115" s="6"/>
      <c r="I115" s="6" t="s">
        <v>246</v>
      </c>
      <c r="J115" s="6" t="s">
        <v>111</v>
      </c>
      <c r="K115" s="6" t="s">
        <v>333</v>
      </c>
      <c r="L115" s="6" t="s">
        <v>686</v>
      </c>
      <c r="M115" s="6" t="s">
        <v>3502</v>
      </c>
      <c r="N115" s="6"/>
      <c r="O115" s="6" t="s">
        <v>3503</v>
      </c>
      <c r="P115" s="6" t="s">
        <v>4275</v>
      </c>
      <c r="Q115" s="6">
        <v>45600399</v>
      </c>
      <c r="R115" s="6">
        <v>0.04</v>
      </c>
      <c r="S115" s="6">
        <v>-0.01</v>
      </c>
      <c r="T115" s="6">
        <v>43338619.210000001</v>
      </c>
      <c r="U115" s="6">
        <v>36798550.299999997</v>
      </c>
      <c r="V115" s="6">
        <v>0.06</v>
      </c>
      <c r="W115" s="6">
        <v>0.08</v>
      </c>
      <c r="X115" s="6" t="s">
        <v>687</v>
      </c>
      <c r="Y115" s="6">
        <v>16925058.899999999</v>
      </c>
      <c r="Z115" s="6">
        <v>13073690.42</v>
      </c>
      <c r="AA115" s="6">
        <v>30</v>
      </c>
      <c r="AB115" s="6">
        <v>44</v>
      </c>
      <c r="AC115" s="6" t="s">
        <v>376</v>
      </c>
      <c r="AD115" s="6" t="s">
        <v>354</v>
      </c>
      <c r="AE115" s="6">
        <v>0.11</v>
      </c>
      <c r="AF115" s="6" t="s">
        <v>155</v>
      </c>
      <c r="AG115" s="6">
        <v>0.05</v>
      </c>
      <c r="AH115" s="6">
        <v>0.04</v>
      </c>
      <c r="AI115" s="6">
        <v>12</v>
      </c>
      <c r="AJ115" s="6">
        <v>4269</v>
      </c>
      <c r="AK115" s="6">
        <v>8768625.9199999999</v>
      </c>
      <c r="AL115" s="6">
        <v>15811544.529999999</v>
      </c>
      <c r="AM115" s="6" t="s">
        <v>321</v>
      </c>
      <c r="AN115" s="6" t="s">
        <v>348</v>
      </c>
      <c r="AO115" s="6">
        <v>57.6</v>
      </c>
      <c r="AP115" s="6">
        <v>36</v>
      </c>
      <c r="AQ115" s="6" t="s">
        <v>4275</v>
      </c>
      <c r="AR115" s="6" t="s">
        <v>192</v>
      </c>
      <c r="AS115" s="6"/>
    </row>
    <row r="116" spans="1:45" x14ac:dyDescent="0.3">
      <c r="A116" s="7" t="s">
        <v>688</v>
      </c>
      <c r="B116" s="7" t="s">
        <v>3504</v>
      </c>
      <c r="C116" s="7" t="s">
        <v>278</v>
      </c>
      <c r="D116" s="7" t="s">
        <v>262</v>
      </c>
      <c r="E116" s="7" t="s">
        <v>36</v>
      </c>
      <c r="F116" s="7" t="s">
        <v>19</v>
      </c>
      <c r="G116" s="7" t="s">
        <v>38</v>
      </c>
      <c r="H116" s="7"/>
      <c r="I116" s="7" t="s">
        <v>233</v>
      </c>
      <c r="J116" s="7" t="s">
        <v>115</v>
      </c>
      <c r="K116" s="7" t="s">
        <v>199</v>
      </c>
      <c r="L116" s="7" t="s">
        <v>689</v>
      </c>
      <c r="M116" s="7" t="s">
        <v>3505</v>
      </c>
      <c r="N116" s="7" t="s">
        <v>4491</v>
      </c>
      <c r="O116" s="7" t="s">
        <v>4492</v>
      </c>
      <c r="P116" s="7">
        <v>26</v>
      </c>
      <c r="Q116" s="7">
        <v>30406741</v>
      </c>
      <c r="R116" s="7">
        <v>0.12</v>
      </c>
      <c r="S116" s="7">
        <v>0.04</v>
      </c>
      <c r="T116" s="7">
        <v>27828249.359999999</v>
      </c>
      <c r="U116" s="7">
        <v>22891994.91</v>
      </c>
      <c r="V116" s="7" t="s">
        <v>4374</v>
      </c>
      <c r="W116" s="7">
        <v>0.18</v>
      </c>
      <c r="X116" s="7" t="s">
        <v>690</v>
      </c>
      <c r="Y116" s="7">
        <v>12264126.640000001</v>
      </c>
      <c r="Z116" s="7">
        <v>4001635.35</v>
      </c>
      <c r="AA116" s="7">
        <v>120</v>
      </c>
      <c r="AB116" s="7">
        <v>169</v>
      </c>
      <c r="AC116" s="7" t="s">
        <v>353</v>
      </c>
      <c r="AD116" s="7" t="s">
        <v>455</v>
      </c>
      <c r="AE116" s="7">
        <v>0.86</v>
      </c>
      <c r="AF116" s="7" t="s">
        <v>4294</v>
      </c>
      <c r="AG116" s="7">
        <v>0.1</v>
      </c>
      <c r="AH116" s="7">
        <v>0.09</v>
      </c>
      <c r="AI116" s="7">
        <v>5</v>
      </c>
      <c r="AJ116" s="7">
        <v>2010</v>
      </c>
      <c r="AK116" s="7">
        <v>4704617.3899999997</v>
      </c>
      <c r="AL116" s="7">
        <v>12916637.99</v>
      </c>
      <c r="AM116" s="7" t="s">
        <v>355</v>
      </c>
      <c r="AN116" s="7" t="s">
        <v>386</v>
      </c>
      <c r="AO116" s="7">
        <v>71.400000000000006</v>
      </c>
      <c r="AP116" s="7" t="s">
        <v>4275</v>
      </c>
      <c r="AQ116" s="7" t="s">
        <v>323</v>
      </c>
      <c r="AR116" s="7" t="s">
        <v>229</v>
      </c>
      <c r="AS116" s="7" t="s">
        <v>324</v>
      </c>
    </row>
    <row r="117" spans="1:45" x14ac:dyDescent="0.3">
      <c r="A117" s="6" t="s">
        <v>691</v>
      </c>
      <c r="B117" s="6" t="s">
        <v>4493</v>
      </c>
      <c r="C117" s="6" t="s">
        <v>225</v>
      </c>
      <c r="D117" s="6" t="s">
        <v>215</v>
      </c>
      <c r="E117" s="6" t="s">
        <v>4265</v>
      </c>
      <c r="F117" s="6" t="s">
        <v>363</v>
      </c>
      <c r="G117" s="6" t="s">
        <v>54</v>
      </c>
      <c r="H117" s="6" t="s">
        <v>263</v>
      </c>
      <c r="I117" s="6" t="s">
        <v>4272</v>
      </c>
      <c r="J117" s="6" t="s">
        <v>130</v>
      </c>
      <c r="K117" s="6" t="s">
        <v>210</v>
      </c>
      <c r="L117" s="6" t="s">
        <v>692</v>
      </c>
      <c r="M117" s="6" t="s">
        <v>4494</v>
      </c>
      <c r="N117" s="6"/>
      <c r="O117" s="6" t="s">
        <v>4274</v>
      </c>
      <c r="P117" s="6">
        <v>28</v>
      </c>
      <c r="Q117" s="6">
        <v>28551685</v>
      </c>
      <c r="R117" s="6">
        <v>0.2</v>
      </c>
      <c r="S117" s="6">
        <v>0.18</v>
      </c>
      <c r="T117" s="6">
        <v>26952790.640000001</v>
      </c>
      <c r="U117" s="6">
        <v>21221864.239999998</v>
      </c>
      <c r="V117" s="6">
        <v>0.3</v>
      </c>
      <c r="W117" s="6">
        <v>0.14000000000000001</v>
      </c>
      <c r="X117" s="6" t="s">
        <v>693</v>
      </c>
      <c r="Y117" s="6">
        <v>7455844.0800000001</v>
      </c>
      <c r="Z117" s="6">
        <v>6387919.5300000003</v>
      </c>
      <c r="AA117" s="6">
        <v>120</v>
      </c>
      <c r="AB117" s="6">
        <v>6</v>
      </c>
      <c r="AC117" s="6" t="s">
        <v>342</v>
      </c>
      <c r="AD117" s="6" t="s">
        <v>336</v>
      </c>
      <c r="AE117" s="6">
        <v>0.98</v>
      </c>
      <c r="AF117" s="6" t="s">
        <v>4361</v>
      </c>
      <c r="AG117" s="6">
        <v>0.1</v>
      </c>
      <c r="AH117" s="6">
        <v>0.06</v>
      </c>
      <c r="AI117" s="6">
        <v>10</v>
      </c>
      <c r="AJ117" s="6">
        <v>638</v>
      </c>
      <c r="AK117" s="6">
        <v>2410248.27</v>
      </c>
      <c r="AL117" s="6">
        <v>7362537.3300000001</v>
      </c>
      <c r="AM117" s="6" t="s">
        <v>391</v>
      </c>
      <c r="AN117" s="6" t="s">
        <v>348</v>
      </c>
      <c r="AO117" s="6">
        <v>53.4</v>
      </c>
      <c r="AP117" s="6">
        <v>24</v>
      </c>
      <c r="AQ117" s="6" t="s">
        <v>4275</v>
      </c>
      <c r="AR117" s="6" t="s">
        <v>192</v>
      </c>
      <c r="AS117" s="6" t="s">
        <v>377</v>
      </c>
    </row>
    <row r="118" spans="1:45" x14ac:dyDescent="0.3">
      <c r="A118" s="7" t="s">
        <v>694</v>
      </c>
      <c r="B118" s="7" t="s">
        <v>4495</v>
      </c>
      <c r="C118" s="7" t="s">
        <v>257</v>
      </c>
      <c r="D118" s="7" t="s">
        <v>232</v>
      </c>
      <c r="E118" s="7" t="s">
        <v>41</v>
      </c>
      <c r="F118" s="7" t="s">
        <v>228</v>
      </c>
      <c r="G118" s="7" t="s">
        <v>16</v>
      </c>
      <c r="H118" s="7" t="s">
        <v>4266</v>
      </c>
      <c r="I118" s="7" t="s">
        <v>183</v>
      </c>
      <c r="J118" s="7" t="s">
        <v>105</v>
      </c>
      <c r="K118" s="7" t="s">
        <v>199</v>
      </c>
      <c r="L118" s="7" t="s">
        <v>695</v>
      </c>
      <c r="M118" s="7" t="s">
        <v>3341</v>
      </c>
      <c r="N118" s="7"/>
      <c r="O118" s="7" t="s">
        <v>4443</v>
      </c>
      <c r="P118" s="7">
        <v>15</v>
      </c>
      <c r="Q118" s="7">
        <v>47399787</v>
      </c>
      <c r="R118" s="7">
        <v>0.19</v>
      </c>
      <c r="S118" s="7">
        <v>0</v>
      </c>
      <c r="T118" s="7">
        <v>38393827.469999999</v>
      </c>
      <c r="U118" s="7"/>
      <c r="V118" s="7">
        <v>0.16</v>
      </c>
      <c r="W118" s="7">
        <v>0.12</v>
      </c>
      <c r="X118" s="7" t="s">
        <v>696</v>
      </c>
      <c r="Y118" s="7">
        <v>18211078.75</v>
      </c>
      <c r="Z118" s="7">
        <v>15090518.859999999</v>
      </c>
      <c r="AA118" s="7">
        <v>90</v>
      </c>
      <c r="AB118" s="7">
        <v>69</v>
      </c>
      <c r="AC118" s="7"/>
      <c r="AD118" s="7" t="s">
        <v>406</v>
      </c>
      <c r="AE118" s="7">
        <v>0.93</v>
      </c>
      <c r="AF118" s="7" t="s">
        <v>4276</v>
      </c>
      <c r="AG118" s="7">
        <v>0.15</v>
      </c>
      <c r="AH118" s="7">
        <v>0.08</v>
      </c>
      <c r="AI118" s="7">
        <v>13</v>
      </c>
      <c r="AJ118" s="7">
        <v>2126</v>
      </c>
      <c r="AK118" s="7">
        <v>3220764.43</v>
      </c>
      <c r="AL118" s="7">
        <v>13734145.07</v>
      </c>
      <c r="AM118" s="7" t="s">
        <v>355</v>
      </c>
      <c r="AN118" s="7" t="s">
        <v>330</v>
      </c>
      <c r="AO118" s="7">
        <v>95.3</v>
      </c>
      <c r="AP118" s="7" t="s">
        <v>4275</v>
      </c>
      <c r="AQ118" s="7" t="s">
        <v>323</v>
      </c>
      <c r="AR118" s="7" t="s">
        <v>206</v>
      </c>
      <c r="AS118" s="7"/>
    </row>
    <row r="119" spans="1:45" x14ac:dyDescent="0.3">
      <c r="A119" s="6" t="s">
        <v>697</v>
      </c>
      <c r="B119" s="6" t="s">
        <v>4496</v>
      </c>
      <c r="C119" s="6" t="s">
        <v>217</v>
      </c>
      <c r="D119" s="6" t="s">
        <v>250</v>
      </c>
      <c r="E119" s="6" t="s">
        <v>4265</v>
      </c>
      <c r="F119" s="6" t="s">
        <v>350</v>
      </c>
      <c r="G119" s="6" t="s">
        <v>57</v>
      </c>
      <c r="H119" s="6" t="s">
        <v>263</v>
      </c>
      <c r="I119" s="6" t="s">
        <v>4291</v>
      </c>
      <c r="J119" s="6" t="s">
        <v>105</v>
      </c>
      <c r="K119" s="6" t="s">
        <v>221</v>
      </c>
      <c r="L119" s="6" t="s">
        <v>698</v>
      </c>
      <c r="M119" s="6" t="s">
        <v>4497</v>
      </c>
      <c r="N119" s="6"/>
      <c r="O119" s="6" t="s">
        <v>4274</v>
      </c>
      <c r="P119" s="6">
        <v>31</v>
      </c>
      <c r="Q119" s="6">
        <v>4466895</v>
      </c>
      <c r="R119" s="6">
        <v>0.32</v>
      </c>
      <c r="S119" s="6">
        <v>0.05</v>
      </c>
      <c r="T119" s="6">
        <v>3189363.03</v>
      </c>
      <c r="U119" s="6">
        <v>2739248.16</v>
      </c>
      <c r="V119" s="6">
        <v>0.24</v>
      </c>
      <c r="W119" s="6">
        <v>0.15</v>
      </c>
      <c r="X119" s="6" t="s">
        <v>699</v>
      </c>
      <c r="Y119" s="6">
        <v>1144723.3400000001</v>
      </c>
      <c r="Z119" s="6">
        <v>945477.93</v>
      </c>
      <c r="AA119" s="6">
        <v>30</v>
      </c>
      <c r="AB119" s="6">
        <v>102</v>
      </c>
      <c r="AC119" s="6" t="s">
        <v>347</v>
      </c>
      <c r="AD119" s="6" t="s">
        <v>406</v>
      </c>
      <c r="AE119" s="6">
        <v>0.94</v>
      </c>
      <c r="AF119" s="6" t="s">
        <v>4361</v>
      </c>
      <c r="AG119" s="6">
        <v>0.15</v>
      </c>
      <c r="AH119" s="6">
        <v>0.09</v>
      </c>
      <c r="AI119" s="6">
        <v>7</v>
      </c>
      <c r="AJ119" s="6">
        <v>1197</v>
      </c>
      <c r="AK119" s="6">
        <v>588770.39</v>
      </c>
      <c r="AL119" s="6">
        <v>345821.63</v>
      </c>
      <c r="AM119" s="6" t="s">
        <v>355</v>
      </c>
      <c r="AN119" s="6" t="s">
        <v>321</v>
      </c>
      <c r="AO119" s="6">
        <v>71.2</v>
      </c>
      <c r="AP119" s="6">
        <v>60</v>
      </c>
      <c r="AQ119" s="6" t="s">
        <v>323</v>
      </c>
      <c r="AR119" s="6" t="s">
        <v>206</v>
      </c>
      <c r="AS119" s="6" t="s">
        <v>188</v>
      </c>
    </row>
    <row r="120" spans="1:45" x14ac:dyDescent="0.3">
      <c r="A120" s="7" t="s">
        <v>700</v>
      </c>
      <c r="B120" s="7" t="s">
        <v>4498</v>
      </c>
      <c r="C120" s="7" t="s">
        <v>275</v>
      </c>
      <c r="D120" s="7" t="s">
        <v>242</v>
      </c>
      <c r="E120" s="7" t="s">
        <v>20</v>
      </c>
      <c r="F120" s="7" t="s">
        <v>31</v>
      </c>
      <c r="G120" s="7" t="s">
        <v>80</v>
      </c>
      <c r="H120" s="7" t="s">
        <v>212</v>
      </c>
      <c r="I120" s="7" t="s">
        <v>4289</v>
      </c>
      <c r="J120" s="7" t="s">
        <v>136</v>
      </c>
      <c r="K120" s="7" t="s">
        <v>210</v>
      </c>
      <c r="L120" s="7" t="s">
        <v>701</v>
      </c>
      <c r="M120" s="7" t="s">
        <v>3929</v>
      </c>
      <c r="N120" s="7" t="s">
        <v>4499</v>
      </c>
      <c r="O120" s="7" t="s">
        <v>3509</v>
      </c>
      <c r="P120" s="7">
        <v>35</v>
      </c>
      <c r="Q120" s="7">
        <v>20954657</v>
      </c>
      <c r="R120" s="7">
        <v>0.23</v>
      </c>
      <c r="S120" s="7">
        <v>0.13</v>
      </c>
      <c r="T120" s="7">
        <v>18232647.059999999</v>
      </c>
      <c r="U120" s="7">
        <v>13241663.4</v>
      </c>
      <c r="V120" s="7">
        <v>0.24</v>
      </c>
      <c r="W120" s="7">
        <v>0.1</v>
      </c>
      <c r="X120" s="7" t="s">
        <v>702</v>
      </c>
      <c r="Y120" s="7">
        <v>14908535.279999999</v>
      </c>
      <c r="Z120" s="7">
        <v>12645399.810000001</v>
      </c>
      <c r="AA120" s="7">
        <v>120</v>
      </c>
      <c r="AB120" s="7">
        <v>61</v>
      </c>
      <c r="AC120" s="7" t="s">
        <v>347</v>
      </c>
      <c r="AD120" s="7" t="s">
        <v>226</v>
      </c>
      <c r="AE120" s="7">
        <v>0.86</v>
      </c>
      <c r="AF120" s="7" t="s">
        <v>162</v>
      </c>
      <c r="AG120" s="7">
        <v>0.1</v>
      </c>
      <c r="AH120" s="7">
        <v>0.01</v>
      </c>
      <c r="AI120" s="7">
        <v>12</v>
      </c>
      <c r="AJ120" s="7">
        <v>3642</v>
      </c>
      <c r="AK120" s="7">
        <v>935356.88</v>
      </c>
      <c r="AL120" s="7">
        <v>6405466.3899999997</v>
      </c>
      <c r="AM120" s="7" t="s">
        <v>385</v>
      </c>
      <c r="AN120" s="7" t="s">
        <v>356</v>
      </c>
      <c r="AO120" s="7"/>
      <c r="AP120" s="7">
        <v>12</v>
      </c>
      <c r="AQ120" s="7"/>
      <c r="AR120" s="7" t="s">
        <v>206</v>
      </c>
      <c r="AS120" s="7"/>
    </row>
    <row r="121" spans="1:45" x14ac:dyDescent="0.3">
      <c r="A121" s="6" t="s">
        <v>331</v>
      </c>
      <c r="B121" s="6" t="s">
        <v>4398</v>
      </c>
      <c r="C121" s="6" t="s">
        <v>275</v>
      </c>
      <c r="D121" s="6" t="s">
        <v>250</v>
      </c>
      <c r="E121" s="6" t="s">
        <v>4270</v>
      </c>
      <c r="F121" s="6" t="s">
        <v>181</v>
      </c>
      <c r="G121" s="6" t="s">
        <v>28</v>
      </c>
      <c r="H121" s="6" t="s">
        <v>4280</v>
      </c>
      <c r="I121" s="6" t="s">
        <v>233</v>
      </c>
      <c r="J121" s="6" t="s">
        <v>111</v>
      </c>
      <c r="K121" s="6" t="s">
        <v>184</v>
      </c>
      <c r="L121" s="6" t="s">
        <v>3510</v>
      </c>
      <c r="M121" s="6" t="s">
        <v>3511</v>
      </c>
      <c r="N121" s="6" t="s">
        <v>3512</v>
      </c>
      <c r="O121" s="6" t="s">
        <v>3513</v>
      </c>
      <c r="P121" s="6" t="s">
        <v>4275</v>
      </c>
      <c r="Q121" s="6">
        <v>27735854</v>
      </c>
      <c r="R121" s="6">
        <v>0.28000000000000003</v>
      </c>
      <c r="S121" s="6">
        <v>0.03</v>
      </c>
      <c r="T121" s="6">
        <v>20568909.329999998</v>
      </c>
      <c r="U121" s="6">
        <v>17113492.920000002</v>
      </c>
      <c r="V121" s="6">
        <v>0.34</v>
      </c>
      <c r="W121" s="6">
        <v>0.12</v>
      </c>
      <c r="X121" s="6" t="s">
        <v>3514</v>
      </c>
      <c r="Y121" s="6">
        <v>9391983.2200000007</v>
      </c>
      <c r="Z121" s="6">
        <v>8341374.25</v>
      </c>
      <c r="AA121" s="6">
        <v>60</v>
      </c>
      <c r="AB121" s="6">
        <v>45</v>
      </c>
      <c r="AC121" s="6" t="s">
        <v>342</v>
      </c>
      <c r="AD121" s="6" t="s">
        <v>336</v>
      </c>
      <c r="AE121" s="6">
        <v>0.7</v>
      </c>
      <c r="AF121" s="6" t="s">
        <v>4312</v>
      </c>
      <c r="AG121" s="6">
        <v>0.1</v>
      </c>
      <c r="AH121" s="6">
        <v>0.08</v>
      </c>
      <c r="AI121" s="6">
        <v>6</v>
      </c>
      <c r="AJ121" s="6">
        <v>1076</v>
      </c>
      <c r="AK121" s="6">
        <v>1388799.78</v>
      </c>
      <c r="AL121" s="6">
        <v>8837134.7799999993</v>
      </c>
      <c r="AM121" s="6" t="s">
        <v>385</v>
      </c>
      <c r="AN121" s="6" t="s">
        <v>322</v>
      </c>
      <c r="AO121" s="6">
        <v>59.5</v>
      </c>
      <c r="AP121" s="6">
        <v>24</v>
      </c>
      <c r="AQ121" s="6" t="s">
        <v>323</v>
      </c>
      <c r="AR121" s="6" t="s">
        <v>206</v>
      </c>
      <c r="AS121" s="6" t="s">
        <v>361</v>
      </c>
    </row>
    <row r="122" spans="1:45" x14ac:dyDescent="0.3">
      <c r="A122" s="7" t="s">
        <v>703</v>
      </c>
      <c r="B122" s="7" t="s">
        <v>4500</v>
      </c>
      <c r="C122" s="7" t="s">
        <v>249</v>
      </c>
      <c r="D122" s="7" t="s">
        <v>202</v>
      </c>
      <c r="E122" s="7" t="s">
        <v>4265</v>
      </c>
      <c r="F122" s="7" t="s">
        <v>363</v>
      </c>
      <c r="G122" s="7" t="s">
        <v>62</v>
      </c>
      <c r="H122" s="7" t="s">
        <v>212</v>
      </c>
      <c r="I122" s="7" t="s">
        <v>203</v>
      </c>
      <c r="J122" s="6" t="s">
        <v>130</v>
      </c>
      <c r="K122" s="7" t="s">
        <v>184</v>
      </c>
      <c r="L122" s="7" t="s">
        <v>704</v>
      </c>
      <c r="M122" s="7" t="s">
        <v>4501</v>
      </c>
      <c r="N122" s="7" t="s">
        <v>4502</v>
      </c>
      <c r="O122" s="7" t="s">
        <v>4503</v>
      </c>
      <c r="P122" s="7">
        <v>60</v>
      </c>
      <c r="Q122" s="7">
        <v>16864336</v>
      </c>
      <c r="R122" s="7">
        <v>0.14000000000000001</v>
      </c>
      <c r="S122" s="7">
        <v>0.12</v>
      </c>
      <c r="T122" s="7">
        <v>16243728.439999999</v>
      </c>
      <c r="U122" s="7">
        <v>12575018.58</v>
      </c>
      <c r="V122" s="7">
        <v>0.23</v>
      </c>
      <c r="W122" s="7">
        <v>0.19</v>
      </c>
      <c r="X122" s="7" t="s">
        <v>705</v>
      </c>
      <c r="Y122" s="7">
        <v>7138135.8200000003</v>
      </c>
      <c r="Z122" s="7">
        <v>2200374.58</v>
      </c>
      <c r="AA122" s="7">
        <v>45</v>
      </c>
      <c r="AB122" s="7">
        <v>83</v>
      </c>
      <c r="AC122" s="7" t="s">
        <v>342</v>
      </c>
      <c r="AD122" s="7" t="s">
        <v>320</v>
      </c>
      <c r="AE122" s="7">
        <v>0.97</v>
      </c>
      <c r="AF122" s="7" t="s">
        <v>152</v>
      </c>
      <c r="AG122" s="7">
        <v>0.1</v>
      </c>
      <c r="AH122" s="7">
        <v>7.0000000000000007E-2</v>
      </c>
      <c r="AI122" s="7">
        <v>12</v>
      </c>
      <c r="AJ122" s="7">
        <v>2576</v>
      </c>
      <c r="AK122" s="7"/>
      <c r="AL122" s="7">
        <v>7288103.2599999998</v>
      </c>
      <c r="AM122" s="7" t="s">
        <v>343</v>
      </c>
      <c r="AN122" s="7" t="s">
        <v>330</v>
      </c>
      <c r="AO122" s="7">
        <v>65.900000000000006</v>
      </c>
      <c r="AP122" s="7">
        <v>36</v>
      </c>
      <c r="AQ122" s="7" t="s">
        <v>4275</v>
      </c>
      <c r="AR122" s="7" t="s">
        <v>186</v>
      </c>
      <c r="AS122" s="7"/>
    </row>
    <row r="123" spans="1:45" x14ac:dyDescent="0.3">
      <c r="A123" s="6" t="s">
        <v>706</v>
      </c>
      <c r="B123" s="6" t="s">
        <v>4504</v>
      </c>
      <c r="C123" s="6" t="s">
        <v>264</v>
      </c>
      <c r="D123" s="6" t="s">
        <v>262</v>
      </c>
      <c r="E123" s="6" t="s">
        <v>36</v>
      </c>
      <c r="F123" s="6" t="s">
        <v>19</v>
      </c>
      <c r="G123" s="6" t="s">
        <v>70</v>
      </c>
      <c r="H123" s="6" t="s">
        <v>4340</v>
      </c>
      <c r="I123" s="6" t="s">
        <v>233</v>
      </c>
      <c r="J123" s="6" t="s">
        <v>115</v>
      </c>
      <c r="K123" s="6" t="s">
        <v>221</v>
      </c>
      <c r="L123" s="6" t="s">
        <v>707</v>
      </c>
      <c r="M123" s="6" t="s">
        <v>3517</v>
      </c>
      <c r="N123" s="6" t="s">
        <v>4505</v>
      </c>
      <c r="O123" s="6" t="s">
        <v>4444</v>
      </c>
      <c r="P123" s="6">
        <v>3</v>
      </c>
      <c r="Q123" s="6">
        <v>11271876</v>
      </c>
      <c r="R123" s="6">
        <v>0.12</v>
      </c>
      <c r="S123" s="6">
        <v>0.2</v>
      </c>
      <c r="T123" s="6">
        <v>11903101.060000001</v>
      </c>
      <c r="U123" s="6">
        <v>9180104.1400000006</v>
      </c>
      <c r="V123" s="6">
        <v>0.08</v>
      </c>
      <c r="W123" s="6">
        <v>0.17</v>
      </c>
      <c r="X123" s="6" t="s">
        <v>708</v>
      </c>
      <c r="Y123" s="6">
        <v>8321744.8300000001</v>
      </c>
      <c r="Z123" s="6">
        <v>3503552.74</v>
      </c>
      <c r="AA123" s="6">
        <v>90</v>
      </c>
      <c r="AB123" s="6">
        <v>14</v>
      </c>
      <c r="AC123" s="6" t="s">
        <v>342</v>
      </c>
      <c r="AD123" s="6" t="s">
        <v>320</v>
      </c>
      <c r="AE123" s="6">
        <v>0.23</v>
      </c>
      <c r="AF123" s="6" t="s">
        <v>152</v>
      </c>
      <c r="AG123" s="6">
        <v>0.05</v>
      </c>
      <c r="AH123" s="6">
        <v>0.03</v>
      </c>
      <c r="AI123" s="6">
        <v>1</v>
      </c>
      <c r="AJ123" s="6">
        <v>1009</v>
      </c>
      <c r="AK123" s="6">
        <v>1854239.55</v>
      </c>
      <c r="AL123" s="6">
        <v>5175359.83</v>
      </c>
      <c r="AM123" s="6" t="s">
        <v>355</v>
      </c>
      <c r="AN123" s="6" t="s">
        <v>356</v>
      </c>
      <c r="AO123" s="6"/>
      <c r="AP123" s="6">
        <v>12</v>
      </c>
      <c r="AQ123" s="6" t="s">
        <v>387</v>
      </c>
      <c r="AR123" s="6" t="s">
        <v>192</v>
      </c>
      <c r="AS123" s="6" t="s">
        <v>377</v>
      </c>
    </row>
    <row r="124" spans="1:45" x14ac:dyDescent="0.3">
      <c r="A124" s="7" t="s">
        <v>709</v>
      </c>
      <c r="B124" s="7" t="s">
        <v>3518</v>
      </c>
      <c r="C124" s="7" t="s">
        <v>285</v>
      </c>
      <c r="D124" s="7" t="s">
        <v>274</v>
      </c>
      <c r="E124" s="7" t="s">
        <v>52</v>
      </c>
      <c r="F124" s="7" t="s">
        <v>75</v>
      </c>
      <c r="G124" s="7" t="s">
        <v>70</v>
      </c>
      <c r="H124" s="7" t="s">
        <v>263</v>
      </c>
      <c r="I124" s="7" t="s">
        <v>4291</v>
      </c>
      <c r="J124" s="7" t="s">
        <v>133</v>
      </c>
      <c r="K124" s="7" t="s">
        <v>199</v>
      </c>
      <c r="L124" s="7" t="s">
        <v>710</v>
      </c>
      <c r="M124" s="7" t="s">
        <v>3519</v>
      </c>
      <c r="N124" s="7"/>
      <c r="O124" s="7" t="s">
        <v>3520</v>
      </c>
      <c r="P124" s="7">
        <v>9</v>
      </c>
      <c r="Q124" s="7">
        <v>3142522</v>
      </c>
      <c r="R124" s="7">
        <v>0.23</v>
      </c>
      <c r="S124" s="7">
        <v>0.19</v>
      </c>
      <c r="T124" s="7">
        <v>2879492.91</v>
      </c>
      <c r="U124" s="7">
        <v>2170550.14</v>
      </c>
      <c r="V124" s="7">
        <v>0.36</v>
      </c>
      <c r="W124" s="7">
        <v>0.12</v>
      </c>
      <c r="X124" s="7" t="s">
        <v>711</v>
      </c>
      <c r="Y124" s="7">
        <v>939227.66</v>
      </c>
      <c r="Z124" s="7">
        <v>831438.3</v>
      </c>
      <c r="AA124" s="7">
        <v>120</v>
      </c>
      <c r="AB124" s="7">
        <v>34</v>
      </c>
      <c r="AC124" s="7" t="s">
        <v>342</v>
      </c>
      <c r="AD124" s="7" t="s">
        <v>354</v>
      </c>
      <c r="AE124" s="7">
        <v>0.25</v>
      </c>
      <c r="AF124" s="7" t="s">
        <v>4312</v>
      </c>
      <c r="AG124" s="7">
        <v>0.05</v>
      </c>
      <c r="AH124" s="7">
        <v>0.08</v>
      </c>
      <c r="AI124" s="7">
        <v>9</v>
      </c>
      <c r="AJ124" s="7">
        <v>3499</v>
      </c>
      <c r="AK124" s="7">
        <v>397567.37</v>
      </c>
      <c r="AL124" s="7">
        <v>1067071</v>
      </c>
      <c r="AM124" s="7" t="s">
        <v>73</v>
      </c>
      <c r="AN124" s="7" t="s">
        <v>348</v>
      </c>
      <c r="AO124" s="7">
        <v>54.5</v>
      </c>
      <c r="AP124" s="7">
        <v>24</v>
      </c>
      <c r="AQ124" s="7" t="s">
        <v>4275</v>
      </c>
      <c r="AR124" s="7" t="s">
        <v>229</v>
      </c>
      <c r="AS124" s="7"/>
    </row>
    <row r="125" spans="1:45" x14ac:dyDescent="0.3">
      <c r="A125" s="6" t="s">
        <v>712</v>
      </c>
      <c r="B125" s="6" t="s">
        <v>4506</v>
      </c>
      <c r="C125" s="6" t="s">
        <v>249</v>
      </c>
      <c r="D125" s="6" t="s">
        <v>180</v>
      </c>
      <c r="E125" s="6" t="s">
        <v>20</v>
      </c>
      <c r="F125" s="6" t="s">
        <v>35</v>
      </c>
      <c r="G125" s="6" t="s">
        <v>57</v>
      </c>
      <c r="H125" s="6" t="s">
        <v>4280</v>
      </c>
      <c r="I125" s="6" t="s">
        <v>233</v>
      </c>
      <c r="J125" s="6" t="s">
        <v>136</v>
      </c>
      <c r="K125" s="6" t="s">
        <v>204</v>
      </c>
      <c r="L125" s="6" t="s">
        <v>713</v>
      </c>
      <c r="M125" s="6" t="s">
        <v>3521</v>
      </c>
      <c r="N125" s="6"/>
      <c r="O125" s="6" t="s">
        <v>4507</v>
      </c>
      <c r="P125" s="6">
        <v>49</v>
      </c>
      <c r="Q125" s="6">
        <v>32251956</v>
      </c>
      <c r="R125" s="6">
        <v>0.11</v>
      </c>
      <c r="S125" s="6">
        <v>0.2</v>
      </c>
      <c r="T125" s="6">
        <v>34445089.009999998</v>
      </c>
      <c r="U125" s="6">
        <v>27593201.629999999</v>
      </c>
      <c r="V125" s="6">
        <v>0.14000000000000001</v>
      </c>
      <c r="W125" s="6">
        <v>0.2</v>
      </c>
      <c r="X125" s="6" t="s">
        <v>714</v>
      </c>
      <c r="Y125" s="6">
        <v>21757820.760000002</v>
      </c>
      <c r="Z125" s="6">
        <v>11756336.32</v>
      </c>
      <c r="AA125" s="6">
        <v>45</v>
      </c>
      <c r="AB125" s="6">
        <v>134</v>
      </c>
      <c r="AC125" s="6"/>
      <c r="AD125" s="6" t="s">
        <v>406</v>
      </c>
      <c r="AE125" s="6">
        <v>0.45</v>
      </c>
      <c r="AF125" s="6" t="s">
        <v>152</v>
      </c>
      <c r="AG125" s="6">
        <v>0.15</v>
      </c>
      <c r="AH125" s="6">
        <v>0.01</v>
      </c>
      <c r="AI125" s="6">
        <v>2</v>
      </c>
      <c r="AJ125" s="6">
        <v>881</v>
      </c>
      <c r="AK125" s="6">
        <v>830832.78</v>
      </c>
      <c r="AL125" s="6">
        <v>3627820.15</v>
      </c>
      <c r="AM125" s="6" t="s">
        <v>355</v>
      </c>
      <c r="AN125" s="6"/>
      <c r="AO125" s="6">
        <v>60.6</v>
      </c>
      <c r="AP125" s="6">
        <v>48</v>
      </c>
      <c r="AQ125" s="6"/>
      <c r="AR125" s="6" t="s">
        <v>206</v>
      </c>
      <c r="AS125" s="6" t="s">
        <v>324</v>
      </c>
    </row>
    <row r="126" spans="1:45" x14ac:dyDescent="0.3">
      <c r="A126" s="7" t="s">
        <v>715</v>
      </c>
      <c r="B126" s="7" t="s">
        <v>3523</v>
      </c>
      <c r="C126" s="7" t="s">
        <v>230</v>
      </c>
      <c r="D126" s="7" t="s">
        <v>262</v>
      </c>
      <c r="E126" s="7" t="s">
        <v>113</v>
      </c>
      <c r="F126" s="7" t="s">
        <v>367</v>
      </c>
      <c r="G126" s="7" t="s">
        <v>78</v>
      </c>
      <c r="H126" s="7" t="s">
        <v>182</v>
      </c>
      <c r="I126" s="7" t="s">
        <v>183</v>
      </c>
      <c r="J126" s="7" t="s">
        <v>123</v>
      </c>
      <c r="K126" s="7" t="s">
        <v>204</v>
      </c>
      <c r="L126" s="7" t="s">
        <v>716</v>
      </c>
      <c r="M126" s="7" t="s">
        <v>4508</v>
      </c>
      <c r="N126" s="7" t="s">
        <v>717</v>
      </c>
      <c r="O126" s="7" t="s">
        <v>4509</v>
      </c>
      <c r="P126" s="7">
        <v>56</v>
      </c>
      <c r="Q126" s="7">
        <v>41589044</v>
      </c>
      <c r="R126" s="7">
        <v>0.13</v>
      </c>
      <c r="S126" s="7">
        <v>0.12</v>
      </c>
      <c r="T126" s="7">
        <v>40524364.469999999</v>
      </c>
      <c r="U126" s="7">
        <v>28373337.09</v>
      </c>
      <c r="V126" s="7">
        <v>0.35</v>
      </c>
      <c r="W126" s="7">
        <v>0.11</v>
      </c>
      <c r="X126" s="7" t="s">
        <v>718</v>
      </c>
      <c r="Y126" s="7">
        <v>25803862.780000001</v>
      </c>
      <c r="Z126" s="7">
        <v>15895122.449999999</v>
      </c>
      <c r="AA126" s="7">
        <v>60</v>
      </c>
      <c r="AB126" s="7">
        <v>23</v>
      </c>
      <c r="AC126" s="7" t="s">
        <v>329</v>
      </c>
      <c r="AD126" s="7" t="s">
        <v>406</v>
      </c>
      <c r="AE126" s="7">
        <v>0.17</v>
      </c>
      <c r="AF126" s="7" t="s">
        <v>4294</v>
      </c>
      <c r="AG126" s="7">
        <v>0.05</v>
      </c>
      <c r="AH126" s="7">
        <v>0.03</v>
      </c>
      <c r="AI126" s="7">
        <v>0</v>
      </c>
      <c r="AJ126" s="7"/>
      <c r="AK126" s="7">
        <v>5595272.5899999999</v>
      </c>
      <c r="AL126" s="7">
        <v>19213102.949999999</v>
      </c>
      <c r="AM126" s="7" t="s">
        <v>355</v>
      </c>
      <c r="AN126" s="7" t="s">
        <v>330</v>
      </c>
      <c r="AO126" s="7">
        <v>86.9</v>
      </c>
      <c r="AP126" s="7">
        <v>48</v>
      </c>
      <c r="AQ126" s="7" t="s">
        <v>323</v>
      </c>
      <c r="AR126" s="7" t="s">
        <v>206</v>
      </c>
      <c r="AS126" s="7" t="s">
        <v>377</v>
      </c>
    </row>
    <row r="127" spans="1:45" x14ac:dyDescent="0.3">
      <c r="A127" s="6" t="s">
        <v>719</v>
      </c>
      <c r="B127" s="6" t="s">
        <v>4510</v>
      </c>
      <c r="C127" s="6" t="s">
        <v>219</v>
      </c>
      <c r="D127" s="6" t="s">
        <v>242</v>
      </c>
      <c r="E127" s="6" t="s">
        <v>4376</v>
      </c>
      <c r="F127" s="6" t="s">
        <v>31</v>
      </c>
      <c r="G127" s="6" t="s">
        <v>33</v>
      </c>
      <c r="H127" s="6" t="s">
        <v>4266</v>
      </c>
      <c r="I127" s="6" t="s">
        <v>183</v>
      </c>
      <c r="J127" s="6" t="s">
        <v>136</v>
      </c>
      <c r="K127" s="6" t="s">
        <v>223</v>
      </c>
      <c r="L127" s="6" t="s">
        <v>720</v>
      </c>
      <c r="M127" s="6" t="s">
        <v>3526</v>
      </c>
      <c r="N127" s="6" t="s">
        <v>3527</v>
      </c>
      <c r="O127" s="6" t="s">
        <v>3402</v>
      </c>
      <c r="P127" s="6">
        <v>41</v>
      </c>
      <c r="Q127" s="6">
        <v>18175033</v>
      </c>
      <c r="R127" s="6">
        <v>0.31</v>
      </c>
      <c r="S127" s="6">
        <v>0.05</v>
      </c>
      <c r="T127" s="6">
        <v>13167811.41</v>
      </c>
      <c r="U127" s="6">
        <v>11035215.050000001</v>
      </c>
      <c r="V127" s="6">
        <v>0.22</v>
      </c>
      <c r="W127" s="6">
        <v>0.09</v>
      </c>
      <c r="X127" s="6" t="s">
        <v>721</v>
      </c>
      <c r="Y127" s="6">
        <v>5956291.9400000004</v>
      </c>
      <c r="Z127" s="6">
        <v>4144572.82</v>
      </c>
      <c r="AA127" s="6">
        <v>60</v>
      </c>
      <c r="AB127" s="6">
        <v>115</v>
      </c>
      <c r="AC127" s="6" t="s">
        <v>376</v>
      </c>
      <c r="AD127" s="6" t="s">
        <v>406</v>
      </c>
      <c r="AE127" s="6">
        <v>0.71</v>
      </c>
      <c r="AF127" s="6" t="s">
        <v>4312</v>
      </c>
      <c r="AG127" s="6">
        <v>0.05</v>
      </c>
      <c r="AH127" s="6">
        <v>0.02</v>
      </c>
      <c r="AI127" s="6">
        <v>6</v>
      </c>
      <c r="AJ127" s="6">
        <v>1309</v>
      </c>
      <c r="AK127" s="6">
        <v>2866318.95</v>
      </c>
      <c r="AL127" s="6">
        <v>5566379.0999999996</v>
      </c>
      <c r="AM127" s="6" t="s">
        <v>355</v>
      </c>
      <c r="AN127" s="6" t="s">
        <v>348</v>
      </c>
      <c r="AO127" s="6"/>
      <c r="AP127" s="6">
        <v>12</v>
      </c>
      <c r="AQ127" s="6" t="s">
        <v>392</v>
      </c>
      <c r="AR127" s="6" t="s">
        <v>186</v>
      </c>
      <c r="AS127" s="6" t="s">
        <v>377</v>
      </c>
    </row>
    <row r="128" spans="1:45" x14ac:dyDescent="0.3">
      <c r="A128" s="7" t="s">
        <v>722</v>
      </c>
      <c r="B128" s="7" t="s">
        <v>3528</v>
      </c>
      <c r="C128" s="7" t="s">
        <v>225</v>
      </c>
      <c r="D128" s="7" t="s">
        <v>255</v>
      </c>
      <c r="E128" s="7"/>
      <c r="F128" s="7" t="s">
        <v>181</v>
      </c>
      <c r="G128" s="7" t="s">
        <v>78</v>
      </c>
      <c r="H128" s="7" t="s">
        <v>4275</v>
      </c>
      <c r="I128" s="7" t="s">
        <v>203</v>
      </c>
      <c r="J128" s="7" t="s">
        <v>130</v>
      </c>
      <c r="K128" s="7" t="s">
        <v>333</v>
      </c>
      <c r="L128" s="7" t="s">
        <v>723</v>
      </c>
      <c r="M128" s="7" t="s">
        <v>1494</v>
      </c>
      <c r="N128" s="7" t="s">
        <v>3363</v>
      </c>
      <c r="O128" s="7" t="s">
        <v>3529</v>
      </c>
      <c r="P128" s="7">
        <v>15</v>
      </c>
      <c r="Q128" s="7">
        <v>3332397</v>
      </c>
      <c r="R128" s="7">
        <v>0.27</v>
      </c>
      <c r="S128" s="7">
        <v>0.09</v>
      </c>
      <c r="T128" s="7">
        <v>2651588.29</v>
      </c>
      <c r="U128" s="7">
        <v>1921672.2</v>
      </c>
      <c r="V128" s="7">
        <v>0.14000000000000001</v>
      </c>
      <c r="W128" s="7">
        <v>0.17</v>
      </c>
      <c r="X128" s="7" t="s">
        <v>724</v>
      </c>
      <c r="Y128" s="7">
        <v>2152745.1</v>
      </c>
      <c r="Z128" s="7">
        <v>2115559.7000000002</v>
      </c>
      <c r="AA128" s="7">
        <v>120</v>
      </c>
      <c r="AB128" s="7">
        <v>155</v>
      </c>
      <c r="AC128" s="7" t="s">
        <v>342</v>
      </c>
      <c r="AD128" s="7" t="s">
        <v>226</v>
      </c>
      <c r="AE128" s="7">
        <v>0.68</v>
      </c>
      <c r="AF128" s="7" t="s">
        <v>152</v>
      </c>
      <c r="AG128" s="7">
        <v>0.15</v>
      </c>
      <c r="AH128" s="7">
        <v>0.01</v>
      </c>
      <c r="AI128" s="7">
        <v>14</v>
      </c>
      <c r="AJ128" s="7">
        <v>2964</v>
      </c>
      <c r="AK128" s="7">
        <v>202723.99</v>
      </c>
      <c r="AL128" s="7">
        <v>826924.61</v>
      </c>
      <c r="AM128" s="7" t="s">
        <v>385</v>
      </c>
      <c r="AN128" s="7" t="s">
        <v>386</v>
      </c>
      <c r="AO128" s="7">
        <v>58.6</v>
      </c>
      <c r="AP128" s="7">
        <v>24</v>
      </c>
      <c r="AQ128" s="7" t="s">
        <v>387</v>
      </c>
      <c r="AR128" s="7" t="s">
        <v>186</v>
      </c>
      <c r="AS128" s="7"/>
    </row>
    <row r="129" spans="1:45" x14ac:dyDescent="0.3">
      <c r="A129" s="6" t="s">
        <v>725</v>
      </c>
      <c r="B129" s="6" t="s">
        <v>4511</v>
      </c>
      <c r="C129" s="6" t="s">
        <v>241</v>
      </c>
      <c r="D129" s="6" t="s">
        <v>253</v>
      </c>
      <c r="E129" s="6"/>
      <c r="F129" s="6" t="s">
        <v>35</v>
      </c>
      <c r="G129" s="6"/>
      <c r="H129" s="6" t="s">
        <v>4326</v>
      </c>
      <c r="I129" s="6" t="s">
        <v>191</v>
      </c>
      <c r="J129" s="6" t="s">
        <v>130</v>
      </c>
      <c r="K129" s="6" t="s">
        <v>223</v>
      </c>
      <c r="L129" s="6" t="s">
        <v>726</v>
      </c>
      <c r="M129" s="6" t="s">
        <v>4512</v>
      </c>
      <c r="N129" s="6" t="s">
        <v>3531</v>
      </c>
      <c r="O129" s="6" t="s">
        <v>4513</v>
      </c>
      <c r="P129" s="6">
        <v>42</v>
      </c>
      <c r="Q129" s="6">
        <v>29900953</v>
      </c>
      <c r="R129" s="6">
        <v>0.06</v>
      </c>
      <c r="S129" s="6">
        <v>-0.05</v>
      </c>
      <c r="T129" s="6">
        <v>26701551.030000001</v>
      </c>
      <c r="U129" s="6">
        <v>21244051.09</v>
      </c>
      <c r="V129" s="6">
        <v>0.36</v>
      </c>
      <c r="W129" s="6">
        <v>0.17</v>
      </c>
      <c r="X129" s="6" t="s">
        <v>727</v>
      </c>
      <c r="Y129" s="6">
        <v>19633913.100000001</v>
      </c>
      <c r="Z129" s="6">
        <v>20712095.149999999</v>
      </c>
      <c r="AA129" s="6">
        <v>30</v>
      </c>
      <c r="AB129" s="6">
        <v>87</v>
      </c>
      <c r="AC129" s="6"/>
      <c r="AD129" s="6" t="s">
        <v>336</v>
      </c>
      <c r="AE129" s="6">
        <v>0.35</v>
      </c>
      <c r="AF129" s="6" t="s">
        <v>4312</v>
      </c>
      <c r="AG129" s="6">
        <v>0.05</v>
      </c>
      <c r="AH129" s="6">
        <v>0.05</v>
      </c>
      <c r="AI129" s="6">
        <v>12</v>
      </c>
      <c r="AJ129" s="6">
        <v>1042</v>
      </c>
      <c r="AK129" s="6">
        <v>3855216.71</v>
      </c>
      <c r="AL129" s="6">
        <v>8135125.3099999996</v>
      </c>
      <c r="AM129" s="6" t="s">
        <v>73</v>
      </c>
      <c r="AN129" s="6" t="s">
        <v>330</v>
      </c>
      <c r="AO129" s="6">
        <v>94</v>
      </c>
      <c r="AP129" s="6">
        <v>36</v>
      </c>
      <c r="AQ129" s="6" t="s">
        <v>4275</v>
      </c>
      <c r="AR129" s="6" t="s">
        <v>186</v>
      </c>
      <c r="AS129" s="6" t="s">
        <v>324</v>
      </c>
    </row>
    <row r="130" spans="1:45" x14ac:dyDescent="0.3">
      <c r="A130" s="7" t="s">
        <v>728</v>
      </c>
      <c r="B130" s="7" t="s">
        <v>4514</v>
      </c>
      <c r="C130" s="7" t="s">
        <v>278</v>
      </c>
      <c r="D130" s="7" t="s">
        <v>394</v>
      </c>
      <c r="E130" s="7" t="s">
        <v>52</v>
      </c>
      <c r="F130" s="7" t="s">
        <v>75</v>
      </c>
      <c r="G130" s="7" t="s">
        <v>16</v>
      </c>
      <c r="H130" s="7" t="s">
        <v>4340</v>
      </c>
      <c r="I130" s="7" t="s">
        <v>213</v>
      </c>
      <c r="J130" s="6" t="s">
        <v>133</v>
      </c>
      <c r="K130" s="7" t="s">
        <v>221</v>
      </c>
      <c r="L130" s="7" t="s">
        <v>729</v>
      </c>
      <c r="M130" s="7" t="s">
        <v>4515</v>
      </c>
      <c r="N130" s="7"/>
      <c r="O130" s="7" t="s">
        <v>3532</v>
      </c>
      <c r="P130" s="7" t="s">
        <v>4275</v>
      </c>
      <c r="Q130" s="7">
        <v>28569995</v>
      </c>
      <c r="R130" s="7">
        <v>0.35</v>
      </c>
      <c r="S130" s="7">
        <v>-0.02</v>
      </c>
      <c r="T130" s="7">
        <v>18199086.82</v>
      </c>
      <c r="U130" s="7">
        <v>11629562.189999999</v>
      </c>
      <c r="V130" s="7">
        <v>0.08</v>
      </c>
      <c r="W130" s="7">
        <v>0.15</v>
      </c>
      <c r="X130" s="7" t="s">
        <v>730</v>
      </c>
      <c r="Y130" s="7">
        <v>1837268.39</v>
      </c>
      <c r="Z130" s="7">
        <v>1099390.3400000001</v>
      </c>
      <c r="AA130" s="7">
        <v>120</v>
      </c>
      <c r="AB130" s="7">
        <v>91</v>
      </c>
      <c r="AC130" s="7" t="s">
        <v>329</v>
      </c>
      <c r="AD130" s="7" t="s">
        <v>381</v>
      </c>
      <c r="AE130" s="7">
        <v>0.17</v>
      </c>
      <c r="AF130" s="7" t="s">
        <v>162</v>
      </c>
      <c r="AG130" s="7">
        <v>0.15</v>
      </c>
      <c r="AH130" s="7">
        <v>0.09</v>
      </c>
      <c r="AI130" s="7">
        <v>14</v>
      </c>
      <c r="AJ130" s="7">
        <v>3478</v>
      </c>
      <c r="AK130" s="7">
        <v>3248065.79</v>
      </c>
      <c r="AL130" s="7">
        <v>7146540.8799999999</v>
      </c>
      <c r="AM130" s="7" t="s">
        <v>73</v>
      </c>
      <c r="AN130" s="7" t="s">
        <v>330</v>
      </c>
      <c r="AO130" s="7">
        <v>75.900000000000006</v>
      </c>
      <c r="AP130" s="7">
        <v>24</v>
      </c>
      <c r="AQ130" s="7"/>
      <c r="AR130" s="7" t="s">
        <v>206</v>
      </c>
      <c r="AS130" s="7" t="s">
        <v>377</v>
      </c>
    </row>
    <row r="131" spans="1:45" x14ac:dyDescent="0.3">
      <c r="A131" s="6" t="s">
        <v>731</v>
      </c>
      <c r="B131" s="6" t="s">
        <v>3533</v>
      </c>
      <c r="C131" s="6" t="s">
        <v>243</v>
      </c>
      <c r="D131" s="6" t="s">
        <v>190</v>
      </c>
      <c r="E131" s="6" t="s">
        <v>113</v>
      </c>
      <c r="F131" s="6" t="s">
        <v>367</v>
      </c>
      <c r="G131" s="6" t="s">
        <v>62</v>
      </c>
      <c r="H131" s="6" t="s">
        <v>212</v>
      </c>
      <c r="I131" s="6" t="s">
        <v>198</v>
      </c>
      <c r="J131" s="6" t="s">
        <v>127</v>
      </c>
      <c r="K131" s="6" t="s">
        <v>199</v>
      </c>
      <c r="L131" s="6" t="s">
        <v>732</v>
      </c>
      <c r="M131" s="6" t="s">
        <v>4516</v>
      </c>
      <c r="N131" s="6"/>
      <c r="O131" s="6" t="s">
        <v>3389</v>
      </c>
      <c r="P131" s="6">
        <v>7</v>
      </c>
      <c r="Q131" s="6">
        <v>8122748</v>
      </c>
      <c r="R131" s="6">
        <v>0.25</v>
      </c>
      <c r="S131" s="6">
        <v>0.06</v>
      </c>
      <c r="T131" s="6">
        <v>6457584.6600000001</v>
      </c>
      <c r="U131" s="6">
        <v>4683508.87</v>
      </c>
      <c r="V131" s="6">
        <v>0.25</v>
      </c>
      <c r="W131" s="6">
        <v>0.19</v>
      </c>
      <c r="X131" s="6" t="s">
        <v>733</v>
      </c>
      <c r="Y131" s="6">
        <v>501859.46</v>
      </c>
      <c r="Z131" s="6">
        <v>213527.03</v>
      </c>
      <c r="AA131" s="6">
        <v>120</v>
      </c>
      <c r="AB131" s="6">
        <v>95</v>
      </c>
      <c r="AC131" s="6" t="s">
        <v>376</v>
      </c>
      <c r="AD131" s="6" t="s">
        <v>406</v>
      </c>
      <c r="AE131" s="6">
        <v>0.92</v>
      </c>
      <c r="AF131" s="6" t="s">
        <v>4319</v>
      </c>
      <c r="AG131" s="6">
        <v>0.05</v>
      </c>
      <c r="AH131" s="6">
        <v>0.06</v>
      </c>
      <c r="AI131" s="6">
        <v>13</v>
      </c>
      <c r="AJ131" s="6">
        <v>3785</v>
      </c>
      <c r="AK131" s="6">
        <v>1120137.6200000001</v>
      </c>
      <c r="AL131" s="6">
        <v>2525856.23</v>
      </c>
      <c r="AM131" s="6"/>
      <c r="AN131" s="6"/>
      <c r="AO131" s="6">
        <v>91.7</v>
      </c>
      <c r="AP131" s="6" t="s">
        <v>4275</v>
      </c>
      <c r="AQ131" s="6" t="s">
        <v>387</v>
      </c>
      <c r="AR131" s="6" t="s">
        <v>206</v>
      </c>
      <c r="AS131" s="6" t="s">
        <v>357</v>
      </c>
    </row>
    <row r="132" spans="1:45" x14ac:dyDescent="0.3">
      <c r="A132" s="7" t="s">
        <v>734</v>
      </c>
      <c r="B132" s="7" t="s">
        <v>4517</v>
      </c>
      <c r="C132" s="7" t="s">
        <v>266</v>
      </c>
      <c r="D132" s="7" t="s">
        <v>202</v>
      </c>
      <c r="E132" s="7" t="s">
        <v>20</v>
      </c>
      <c r="F132" s="7" t="s">
        <v>35</v>
      </c>
      <c r="G132" s="7" t="s">
        <v>33</v>
      </c>
      <c r="H132" s="7" t="s">
        <v>4271</v>
      </c>
      <c r="I132" s="7" t="s">
        <v>4291</v>
      </c>
      <c r="J132" s="7" t="s">
        <v>136</v>
      </c>
      <c r="K132" s="7" t="s">
        <v>221</v>
      </c>
      <c r="L132" s="7" t="s">
        <v>735</v>
      </c>
      <c r="M132" s="7" t="s">
        <v>4518</v>
      </c>
      <c r="N132" s="7"/>
      <c r="O132" s="7" t="s">
        <v>3534</v>
      </c>
      <c r="P132" s="7">
        <v>34</v>
      </c>
      <c r="Q132" s="7">
        <v>45192724</v>
      </c>
      <c r="R132" s="7">
        <v>0.31</v>
      </c>
      <c r="S132" s="7">
        <v>0.13</v>
      </c>
      <c r="T132" s="7">
        <v>35236766.899999999</v>
      </c>
      <c r="U132" s="7">
        <v>21387976.640000001</v>
      </c>
      <c r="V132" s="7">
        <v>0.2</v>
      </c>
      <c r="W132" s="7">
        <v>0.18</v>
      </c>
      <c r="X132" s="7" t="s">
        <v>736</v>
      </c>
      <c r="Y132" s="7">
        <v>21107847.010000002</v>
      </c>
      <c r="Z132" s="7">
        <v>20955086.539999999</v>
      </c>
      <c r="AA132" s="7">
        <v>30</v>
      </c>
      <c r="AB132" s="7">
        <v>147</v>
      </c>
      <c r="AC132" s="7" t="s">
        <v>353</v>
      </c>
      <c r="AD132" s="7" t="s">
        <v>406</v>
      </c>
      <c r="AE132" s="7">
        <v>0.64</v>
      </c>
      <c r="AF132" s="7" t="s">
        <v>4312</v>
      </c>
      <c r="AG132" s="7">
        <v>0.15</v>
      </c>
      <c r="AH132" s="7">
        <v>0.04</v>
      </c>
      <c r="AI132" s="7">
        <v>3</v>
      </c>
      <c r="AJ132" s="7">
        <v>1506</v>
      </c>
      <c r="AK132" s="7">
        <v>1431126.12</v>
      </c>
      <c r="AL132" s="7">
        <v>9264118.5999999996</v>
      </c>
      <c r="AM132" s="7" t="s">
        <v>343</v>
      </c>
      <c r="AN132" s="7" t="s">
        <v>386</v>
      </c>
      <c r="AO132" s="7">
        <v>54.6</v>
      </c>
      <c r="AP132" s="7">
        <v>60</v>
      </c>
      <c r="AQ132" s="7" t="s">
        <v>337</v>
      </c>
      <c r="AR132" s="7" t="s">
        <v>224</v>
      </c>
      <c r="AS132" s="7" t="s">
        <v>377</v>
      </c>
    </row>
    <row r="133" spans="1:45" x14ac:dyDescent="0.3">
      <c r="A133" s="6" t="s">
        <v>737</v>
      </c>
      <c r="B133" s="6" t="s">
        <v>3535</v>
      </c>
      <c r="C133" s="6" t="s">
        <v>189</v>
      </c>
      <c r="D133" s="6" t="s">
        <v>274</v>
      </c>
      <c r="E133" s="6" t="s">
        <v>4270</v>
      </c>
      <c r="F133" s="6" t="s">
        <v>367</v>
      </c>
      <c r="G133" s="6" t="s">
        <v>46</v>
      </c>
      <c r="H133" s="6" t="s">
        <v>4340</v>
      </c>
      <c r="I133" s="6" t="s">
        <v>4291</v>
      </c>
      <c r="J133" s="6" t="s">
        <v>111</v>
      </c>
      <c r="K133" s="6" t="s">
        <v>204</v>
      </c>
      <c r="L133" s="6" t="s">
        <v>738</v>
      </c>
      <c r="M133" s="6" t="s">
        <v>3536</v>
      </c>
      <c r="N133" s="6" t="s">
        <v>4519</v>
      </c>
      <c r="O133" s="6" t="s">
        <v>4520</v>
      </c>
      <c r="P133" s="6">
        <v>13</v>
      </c>
      <c r="Q133" s="6">
        <v>21957887</v>
      </c>
      <c r="R133" s="6">
        <v>0.1</v>
      </c>
      <c r="S133" s="6">
        <v>0.19</v>
      </c>
      <c r="T133" s="6">
        <v>23516896.98</v>
      </c>
      <c r="U133" s="6">
        <v>17902489.199999999</v>
      </c>
      <c r="V133" s="6">
        <v>0.37</v>
      </c>
      <c r="W133" s="6">
        <v>0.12</v>
      </c>
      <c r="X133" s="6" t="s">
        <v>739</v>
      </c>
      <c r="Y133" s="6">
        <v>19156306.41</v>
      </c>
      <c r="Z133" s="6">
        <v>6541926.4299999997</v>
      </c>
      <c r="AA133" s="6">
        <v>45</v>
      </c>
      <c r="AB133" s="6">
        <v>153</v>
      </c>
      <c r="AC133" s="6" t="s">
        <v>353</v>
      </c>
      <c r="AD133" s="6" t="s">
        <v>406</v>
      </c>
      <c r="AE133" s="6">
        <v>0.6</v>
      </c>
      <c r="AF133" s="6" t="s">
        <v>4303</v>
      </c>
      <c r="AG133" s="6">
        <v>0.1</v>
      </c>
      <c r="AH133" s="6">
        <v>0.06</v>
      </c>
      <c r="AI133" s="6">
        <v>12</v>
      </c>
      <c r="AJ133" s="6">
        <v>14</v>
      </c>
      <c r="AK133" s="6"/>
      <c r="AL133" s="6">
        <v>4922584.53</v>
      </c>
      <c r="AM133" s="6" t="s">
        <v>385</v>
      </c>
      <c r="AN133" s="6" t="s">
        <v>321</v>
      </c>
      <c r="AO133" s="6">
        <v>98.1</v>
      </c>
      <c r="AP133" s="6">
        <v>48</v>
      </c>
      <c r="AQ133" s="6" t="s">
        <v>4275</v>
      </c>
      <c r="AR133" s="6" t="s">
        <v>192</v>
      </c>
      <c r="AS133" s="6"/>
    </row>
    <row r="134" spans="1:45" x14ac:dyDescent="0.3">
      <c r="A134" s="7" t="s">
        <v>740</v>
      </c>
      <c r="B134" s="7" t="s">
        <v>4521</v>
      </c>
      <c r="C134" s="7" t="s">
        <v>247</v>
      </c>
      <c r="D134" s="7" t="s">
        <v>215</v>
      </c>
      <c r="E134" s="7" t="s">
        <v>41</v>
      </c>
      <c r="F134" s="7" t="s">
        <v>350</v>
      </c>
      <c r="G134" s="7" t="s">
        <v>66</v>
      </c>
      <c r="H134" s="7" t="s">
        <v>212</v>
      </c>
      <c r="I134" s="7" t="s">
        <v>4289</v>
      </c>
      <c r="J134" s="6" t="s">
        <v>105</v>
      </c>
      <c r="K134" s="7" t="s">
        <v>184</v>
      </c>
      <c r="L134" s="7" t="s">
        <v>741</v>
      </c>
      <c r="M134" s="7" t="s">
        <v>4522</v>
      </c>
      <c r="N134" s="7"/>
      <c r="O134" s="7" t="s">
        <v>4274</v>
      </c>
      <c r="P134" s="7">
        <v>38</v>
      </c>
      <c r="Q134" s="7">
        <v>49805727</v>
      </c>
      <c r="R134" s="7">
        <v>0.19</v>
      </c>
      <c r="S134" s="7">
        <v>-0.03</v>
      </c>
      <c r="T134" s="7">
        <v>39132359.700000003</v>
      </c>
      <c r="U134" s="7">
        <v>31735948.579999998</v>
      </c>
      <c r="V134" s="7">
        <v>0.24</v>
      </c>
      <c r="W134" s="7">
        <v>0.17</v>
      </c>
      <c r="X134" s="7" t="s">
        <v>742</v>
      </c>
      <c r="Y134" s="7">
        <v>4940767.1399999997</v>
      </c>
      <c r="Z134" s="7">
        <v>4242851.41</v>
      </c>
      <c r="AA134" s="7">
        <v>45</v>
      </c>
      <c r="AB134" s="7">
        <v>143</v>
      </c>
      <c r="AC134" s="7" t="s">
        <v>347</v>
      </c>
      <c r="AD134" s="7" t="s">
        <v>381</v>
      </c>
      <c r="AE134" s="7">
        <v>0.99</v>
      </c>
      <c r="AF134" s="7"/>
      <c r="AG134" s="7">
        <v>0.1</v>
      </c>
      <c r="AH134" s="7">
        <v>0.03</v>
      </c>
      <c r="AI134" s="7">
        <v>10</v>
      </c>
      <c r="AJ134" s="7">
        <v>3093</v>
      </c>
      <c r="AK134" s="7">
        <v>4004497.34</v>
      </c>
      <c r="AL134" s="7">
        <v>15934162.23</v>
      </c>
      <c r="AM134" s="7" t="s">
        <v>385</v>
      </c>
      <c r="AN134" s="7" t="s">
        <v>356</v>
      </c>
      <c r="AO134" s="7">
        <v>76.900000000000006</v>
      </c>
      <c r="AP134" s="7">
        <v>12</v>
      </c>
      <c r="AQ134" s="7" t="s">
        <v>387</v>
      </c>
      <c r="AR134" s="7" t="s">
        <v>192</v>
      </c>
      <c r="AS134" s="7"/>
    </row>
    <row r="135" spans="1:45" x14ac:dyDescent="0.3">
      <c r="A135" s="6" t="s">
        <v>743</v>
      </c>
      <c r="B135" s="6" t="s">
        <v>4523</v>
      </c>
      <c r="C135" s="6" t="s">
        <v>217</v>
      </c>
      <c r="D135" s="6" t="s">
        <v>245</v>
      </c>
      <c r="E135" s="6" t="s">
        <v>52</v>
      </c>
      <c r="F135" s="6" t="s">
        <v>75</v>
      </c>
      <c r="G135" s="6" t="s">
        <v>70</v>
      </c>
      <c r="H135" s="6"/>
      <c r="I135" s="6" t="s">
        <v>4307</v>
      </c>
      <c r="J135" s="6" t="s">
        <v>133</v>
      </c>
      <c r="K135" s="6" t="s">
        <v>204</v>
      </c>
      <c r="L135" s="6" t="s">
        <v>744</v>
      </c>
      <c r="M135" s="6" t="s">
        <v>3537</v>
      </c>
      <c r="N135" s="6" t="s">
        <v>4524</v>
      </c>
      <c r="O135" s="6" t="s">
        <v>4525</v>
      </c>
      <c r="P135" s="6">
        <v>46</v>
      </c>
      <c r="Q135" s="6">
        <v>19066615</v>
      </c>
      <c r="R135" s="6">
        <v>0.24</v>
      </c>
      <c r="S135" s="6">
        <v>0.13</v>
      </c>
      <c r="T135" s="6">
        <v>16374408.960000001</v>
      </c>
      <c r="U135" s="6"/>
      <c r="V135" s="6">
        <v>0.28999999999999998</v>
      </c>
      <c r="W135" s="6">
        <v>0.14000000000000001</v>
      </c>
      <c r="X135" s="6" t="s">
        <v>745</v>
      </c>
      <c r="Y135" s="6">
        <v>3484227.38</v>
      </c>
      <c r="Z135" s="6">
        <v>3320554.61</v>
      </c>
      <c r="AA135" s="6">
        <v>60</v>
      </c>
      <c r="AB135" s="6">
        <v>57</v>
      </c>
      <c r="AC135" s="6" t="s">
        <v>342</v>
      </c>
      <c r="AD135" s="6" t="s">
        <v>455</v>
      </c>
      <c r="AE135" s="6">
        <v>0.27</v>
      </c>
      <c r="AF135" s="6" t="s">
        <v>162</v>
      </c>
      <c r="AG135" s="6">
        <v>0.1</v>
      </c>
      <c r="AH135" s="6">
        <v>0.1</v>
      </c>
      <c r="AI135" s="6">
        <v>1</v>
      </c>
      <c r="AJ135" s="6">
        <v>434</v>
      </c>
      <c r="AK135" s="6">
        <v>1543940.25</v>
      </c>
      <c r="AL135" s="6">
        <v>4302381.82</v>
      </c>
      <c r="AM135" s="6" t="s">
        <v>385</v>
      </c>
      <c r="AN135" s="6" t="s">
        <v>356</v>
      </c>
      <c r="AO135" s="6">
        <v>72.7</v>
      </c>
      <c r="AP135" s="6">
        <v>60</v>
      </c>
      <c r="AQ135" s="6" t="s">
        <v>323</v>
      </c>
      <c r="AR135" s="6" t="s">
        <v>186</v>
      </c>
      <c r="AS135" s="6" t="s">
        <v>188</v>
      </c>
    </row>
    <row r="136" spans="1:45" x14ac:dyDescent="0.3">
      <c r="A136" s="7" t="s">
        <v>746</v>
      </c>
      <c r="B136" s="7" t="s">
        <v>3539</v>
      </c>
      <c r="C136" s="7" t="s">
        <v>257</v>
      </c>
      <c r="D136" s="7" t="s">
        <v>202</v>
      </c>
      <c r="E136" s="7" t="s">
        <v>41</v>
      </c>
      <c r="F136" s="7"/>
      <c r="G136" s="7" t="s">
        <v>33</v>
      </c>
      <c r="H136" s="7" t="s">
        <v>236</v>
      </c>
      <c r="I136" s="7" t="s">
        <v>213</v>
      </c>
      <c r="J136" s="6" t="s">
        <v>130</v>
      </c>
      <c r="K136" s="7" t="s">
        <v>210</v>
      </c>
      <c r="L136" s="7" t="s">
        <v>747</v>
      </c>
      <c r="M136" s="7" t="s">
        <v>4526</v>
      </c>
      <c r="N136" s="7" t="s">
        <v>4527</v>
      </c>
      <c r="O136" s="7" t="s">
        <v>4528</v>
      </c>
      <c r="P136" s="7">
        <v>52</v>
      </c>
      <c r="Q136" s="7">
        <v>35929449</v>
      </c>
      <c r="R136" s="7">
        <v>0.16</v>
      </c>
      <c r="S136" s="7">
        <v>-0.05</v>
      </c>
      <c r="T136" s="7">
        <v>28671700.300000001</v>
      </c>
      <c r="U136" s="7">
        <v>20975035.949999999</v>
      </c>
      <c r="V136" s="7">
        <v>0.21</v>
      </c>
      <c r="W136" s="7">
        <v>7.0000000000000007E-2</v>
      </c>
      <c r="X136" s="7" t="s">
        <v>748</v>
      </c>
      <c r="Y136" s="7">
        <v>6176369.3300000001</v>
      </c>
      <c r="Z136" s="7">
        <v>2257136.39</v>
      </c>
      <c r="AA136" s="7">
        <v>120</v>
      </c>
      <c r="AB136" s="7">
        <v>7</v>
      </c>
      <c r="AC136" s="7" t="s">
        <v>376</v>
      </c>
      <c r="AD136" s="7" t="s">
        <v>226</v>
      </c>
      <c r="AE136" s="7">
        <v>0.98</v>
      </c>
      <c r="AF136" s="7" t="s">
        <v>155</v>
      </c>
      <c r="AG136" s="7">
        <v>0.05</v>
      </c>
      <c r="AH136" s="7">
        <v>0.1</v>
      </c>
      <c r="AI136" s="7">
        <v>13</v>
      </c>
      <c r="AJ136" s="7">
        <v>3630</v>
      </c>
      <c r="AK136" s="7"/>
      <c r="AL136" s="7">
        <v>7819793.2699999996</v>
      </c>
      <c r="AM136" s="7"/>
      <c r="AN136" s="7" t="s">
        <v>321</v>
      </c>
      <c r="AO136" s="7">
        <v>68.900000000000006</v>
      </c>
      <c r="AP136" s="7">
        <v>12</v>
      </c>
      <c r="AQ136" s="7" t="s">
        <v>387</v>
      </c>
      <c r="AR136" s="7" t="s">
        <v>229</v>
      </c>
      <c r="AS136" s="7"/>
    </row>
    <row r="137" spans="1:45" x14ac:dyDescent="0.3">
      <c r="A137" s="6" t="s">
        <v>749</v>
      </c>
      <c r="B137" s="6" t="s">
        <v>4529</v>
      </c>
      <c r="C137" s="6" t="s">
        <v>270</v>
      </c>
      <c r="D137" s="6" t="s">
        <v>220</v>
      </c>
      <c r="E137" s="6" t="s">
        <v>20</v>
      </c>
      <c r="F137" s="6" t="s">
        <v>196</v>
      </c>
      <c r="G137" s="6" t="s">
        <v>62</v>
      </c>
      <c r="H137" s="6" t="s">
        <v>216</v>
      </c>
      <c r="I137" s="6" t="s">
        <v>203</v>
      </c>
      <c r="J137" s="6" t="s">
        <v>136</v>
      </c>
      <c r="K137" s="6" t="s">
        <v>204</v>
      </c>
      <c r="L137" s="6" t="s">
        <v>750</v>
      </c>
      <c r="M137" s="6" t="s">
        <v>3402</v>
      </c>
      <c r="N137" s="6" t="s">
        <v>3541</v>
      </c>
      <c r="O137" s="6" t="s">
        <v>4530</v>
      </c>
      <c r="P137" s="6">
        <v>59</v>
      </c>
      <c r="Q137" s="6">
        <v>40436854</v>
      </c>
      <c r="R137" s="6">
        <v>0.28000000000000003</v>
      </c>
      <c r="S137" s="6">
        <v>0.11</v>
      </c>
      <c r="T137" s="6">
        <v>32317133.719999999</v>
      </c>
      <c r="U137" s="6">
        <v>20802131.940000001</v>
      </c>
      <c r="V137" s="6">
        <v>0.26</v>
      </c>
      <c r="W137" s="6">
        <v>0.09</v>
      </c>
      <c r="X137" s="6" t="s">
        <v>751</v>
      </c>
      <c r="Y137" s="6">
        <v>14070865.789999999</v>
      </c>
      <c r="Z137" s="6">
        <v>9446718.8200000003</v>
      </c>
      <c r="AA137" s="6">
        <v>90</v>
      </c>
      <c r="AB137" s="6">
        <v>159</v>
      </c>
      <c r="AC137" s="6" t="s">
        <v>353</v>
      </c>
      <c r="AD137" s="6" t="s">
        <v>320</v>
      </c>
      <c r="AE137" s="6">
        <v>0.63</v>
      </c>
      <c r="AF137" s="6" t="s">
        <v>152</v>
      </c>
      <c r="AG137" s="6">
        <v>0.1</v>
      </c>
      <c r="AH137" s="6">
        <v>7.0000000000000007E-2</v>
      </c>
      <c r="AI137" s="6">
        <v>0</v>
      </c>
      <c r="AJ137" s="6">
        <v>4593</v>
      </c>
      <c r="AK137" s="6">
        <v>3783498.13</v>
      </c>
      <c r="AL137" s="6">
        <v>5821891.6100000003</v>
      </c>
      <c r="AM137" s="6" t="s">
        <v>343</v>
      </c>
      <c r="AN137" s="6" t="s">
        <v>321</v>
      </c>
      <c r="AO137" s="6">
        <v>82.9</v>
      </c>
      <c r="AP137" s="6">
        <v>12</v>
      </c>
      <c r="AQ137" s="6"/>
      <c r="AR137" s="6" t="s">
        <v>186</v>
      </c>
      <c r="AS137" s="6" t="s">
        <v>188</v>
      </c>
    </row>
    <row r="138" spans="1:45" x14ac:dyDescent="0.3">
      <c r="A138" s="7" t="s">
        <v>752</v>
      </c>
      <c r="B138" s="7" t="s">
        <v>3542</v>
      </c>
      <c r="C138" s="7" t="s">
        <v>251</v>
      </c>
      <c r="D138" s="7" t="s">
        <v>265</v>
      </c>
      <c r="E138" s="7" t="s">
        <v>41</v>
      </c>
      <c r="F138" s="7" t="s">
        <v>350</v>
      </c>
      <c r="G138" s="7" t="s">
        <v>33</v>
      </c>
      <c r="H138" s="7" t="s">
        <v>4340</v>
      </c>
      <c r="I138" s="7" t="s">
        <v>4272</v>
      </c>
      <c r="J138" s="7" t="s">
        <v>105</v>
      </c>
      <c r="K138" s="7" t="s">
        <v>223</v>
      </c>
      <c r="L138" s="7" t="s">
        <v>753</v>
      </c>
      <c r="M138" s="7" t="s">
        <v>4531</v>
      </c>
      <c r="N138" s="7"/>
      <c r="O138" s="7" t="s">
        <v>4532</v>
      </c>
      <c r="P138" s="7">
        <v>24</v>
      </c>
      <c r="Q138" s="7" t="s">
        <v>4275</v>
      </c>
      <c r="R138" s="7">
        <v>0.34</v>
      </c>
      <c r="S138" s="7">
        <v>0.1</v>
      </c>
      <c r="T138" s="7">
        <v>27726027.120000001</v>
      </c>
      <c r="U138" s="7">
        <v>18681499.800000001</v>
      </c>
      <c r="V138" s="7">
        <v>0.11</v>
      </c>
      <c r="W138" s="7">
        <v>0.09</v>
      </c>
      <c r="X138" s="7" t="s">
        <v>754</v>
      </c>
      <c r="Y138" s="7">
        <v>11253744.74</v>
      </c>
      <c r="Z138" s="7">
        <v>4837129.46</v>
      </c>
      <c r="AA138" s="7">
        <v>90</v>
      </c>
      <c r="AB138" s="7">
        <v>11</v>
      </c>
      <c r="AC138" s="7" t="s">
        <v>376</v>
      </c>
      <c r="AD138" s="7" t="s">
        <v>455</v>
      </c>
      <c r="AE138" s="7">
        <v>0.52</v>
      </c>
      <c r="AF138" s="7" t="s">
        <v>4276</v>
      </c>
      <c r="AG138" s="7">
        <v>0.05</v>
      </c>
      <c r="AH138" s="7">
        <v>7.0000000000000007E-2</v>
      </c>
      <c r="AI138" s="7">
        <v>7</v>
      </c>
      <c r="AJ138" s="7">
        <v>919</v>
      </c>
      <c r="AK138" s="7">
        <v>1895201.41</v>
      </c>
      <c r="AL138" s="7">
        <v>6872069.4400000004</v>
      </c>
      <c r="AM138" s="7" t="s">
        <v>391</v>
      </c>
      <c r="AN138" s="7" t="s">
        <v>321</v>
      </c>
      <c r="AO138" s="7"/>
      <c r="AP138" s="7">
        <v>24</v>
      </c>
      <c r="AQ138" s="7" t="s">
        <v>387</v>
      </c>
      <c r="AR138" s="7" t="s">
        <v>224</v>
      </c>
      <c r="AS138" s="7" t="s">
        <v>188</v>
      </c>
    </row>
    <row r="139" spans="1:45" x14ac:dyDescent="0.3">
      <c r="A139" s="6" t="s">
        <v>755</v>
      </c>
      <c r="B139" s="6" t="s">
        <v>3544</v>
      </c>
      <c r="C139" s="6" t="s">
        <v>231</v>
      </c>
      <c r="D139" s="6" t="s">
        <v>202</v>
      </c>
      <c r="E139" s="6"/>
      <c r="F139" s="6" t="s">
        <v>228</v>
      </c>
      <c r="G139" s="6" t="s">
        <v>33</v>
      </c>
      <c r="H139" s="6" t="s">
        <v>182</v>
      </c>
      <c r="I139" s="6" t="s">
        <v>4372</v>
      </c>
      <c r="J139" s="6" t="s">
        <v>130</v>
      </c>
      <c r="K139" s="6" t="s">
        <v>326</v>
      </c>
      <c r="L139" s="6" t="s">
        <v>756</v>
      </c>
      <c r="M139" s="6" t="s">
        <v>4533</v>
      </c>
      <c r="N139" s="6" t="s">
        <v>3422</v>
      </c>
      <c r="O139" s="6" t="s">
        <v>4534</v>
      </c>
      <c r="P139" s="6">
        <v>34</v>
      </c>
      <c r="Q139" s="6">
        <v>12926600</v>
      </c>
      <c r="R139" s="6">
        <v>0.08</v>
      </c>
      <c r="S139" s="6">
        <v>0.04</v>
      </c>
      <c r="T139" s="6">
        <v>12368170.880000001</v>
      </c>
      <c r="U139" s="6">
        <v>9577367.4000000004</v>
      </c>
      <c r="V139" s="6">
        <v>0.33</v>
      </c>
      <c r="W139" s="6">
        <v>0.15</v>
      </c>
      <c r="X139" s="6" t="s">
        <v>757</v>
      </c>
      <c r="Y139" s="6">
        <v>4552934.04</v>
      </c>
      <c r="Z139" s="6">
        <v>3549646.44</v>
      </c>
      <c r="AA139" s="6">
        <v>45</v>
      </c>
      <c r="AB139" s="6">
        <v>12</v>
      </c>
      <c r="AC139" s="6" t="s">
        <v>353</v>
      </c>
      <c r="AD139" s="6" t="s">
        <v>354</v>
      </c>
      <c r="AE139" s="6">
        <v>0.77</v>
      </c>
      <c r="AF139" s="6" t="s">
        <v>155</v>
      </c>
      <c r="AG139" s="6">
        <v>0.15</v>
      </c>
      <c r="AH139" s="6">
        <v>0.03</v>
      </c>
      <c r="AI139" s="6">
        <v>9</v>
      </c>
      <c r="AJ139" s="6">
        <v>3099</v>
      </c>
      <c r="AK139" s="6">
        <v>2908557.8</v>
      </c>
      <c r="AL139" s="6">
        <v>3960545.44</v>
      </c>
      <c r="AM139" s="6" t="s">
        <v>343</v>
      </c>
      <c r="AN139" s="6" t="s">
        <v>322</v>
      </c>
      <c r="AO139" s="6">
        <v>60.2</v>
      </c>
      <c r="AP139" s="6">
        <v>12</v>
      </c>
      <c r="AQ139" s="6" t="s">
        <v>392</v>
      </c>
      <c r="AR139" s="6" t="s">
        <v>206</v>
      </c>
      <c r="AS139" s="6" t="s">
        <v>324</v>
      </c>
    </row>
    <row r="140" spans="1:45" x14ac:dyDescent="0.3">
      <c r="A140" s="7" t="s">
        <v>758</v>
      </c>
      <c r="B140" s="7" t="s">
        <v>3354</v>
      </c>
      <c r="C140" s="7" t="s">
        <v>217</v>
      </c>
      <c r="D140" s="7" t="s">
        <v>255</v>
      </c>
      <c r="E140" s="7" t="s">
        <v>4376</v>
      </c>
      <c r="F140" s="7" t="s">
        <v>196</v>
      </c>
      <c r="G140" s="7" t="s">
        <v>80</v>
      </c>
      <c r="H140" s="7" t="s">
        <v>263</v>
      </c>
      <c r="I140" s="7" t="s">
        <v>240</v>
      </c>
      <c r="J140" s="7" t="s">
        <v>136</v>
      </c>
      <c r="K140" s="7" t="s">
        <v>199</v>
      </c>
      <c r="L140" s="7" t="s">
        <v>759</v>
      </c>
      <c r="M140" s="7" t="s">
        <v>4535</v>
      </c>
      <c r="N140" s="7" t="s">
        <v>4536</v>
      </c>
      <c r="O140" s="7" t="s">
        <v>4274</v>
      </c>
      <c r="P140" s="7">
        <v>55</v>
      </c>
      <c r="Q140" s="7">
        <v>22773675</v>
      </c>
      <c r="R140" s="7">
        <v>0.15</v>
      </c>
      <c r="S140" s="7">
        <v>7.0000000000000007E-2</v>
      </c>
      <c r="T140" s="7">
        <v>20712657.41</v>
      </c>
      <c r="U140" s="7">
        <v>18621770.579999998</v>
      </c>
      <c r="V140" s="7">
        <v>0.34</v>
      </c>
      <c r="W140" s="7">
        <v>0.16</v>
      </c>
      <c r="X140" s="7" t="s">
        <v>760</v>
      </c>
      <c r="Y140" s="7">
        <v>8235556.79</v>
      </c>
      <c r="Z140" s="7">
        <v>7771100.8099999996</v>
      </c>
      <c r="AA140" s="7">
        <v>60</v>
      </c>
      <c r="AB140" s="7">
        <v>70</v>
      </c>
      <c r="AC140" s="7" t="s">
        <v>353</v>
      </c>
      <c r="AD140" s="7" t="s">
        <v>336</v>
      </c>
      <c r="AE140" s="7">
        <v>0.41</v>
      </c>
      <c r="AF140" s="7" t="s">
        <v>4319</v>
      </c>
      <c r="AG140" s="7">
        <v>0.05</v>
      </c>
      <c r="AH140" s="7">
        <v>0.05</v>
      </c>
      <c r="AI140" s="7">
        <v>8</v>
      </c>
      <c r="AJ140" s="7">
        <v>1729</v>
      </c>
      <c r="AK140" s="7">
        <v>2871599.31</v>
      </c>
      <c r="AL140" s="7">
        <v>8348205.9100000001</v>
      </c>
      <c r="AM140" s="7" t="s">
        <v>343</v>
      </c>
      <c r="AN140" s="7" t="s">
        <v>321</v>
      </c>
      <c r="AO140" s="7">
        <v>75.599999999999994</v>
      </c>
      <c r="AP140" s="7">
        <v>48</v>
      </c>
      <c r="AQ140" s="7" t="s">
        <v>392</v>
      </c>
      <c r="AR140" s="7" t="s">
        <v>229</v>
      </c>
      <c r="AS140" s="7" t="s">
        <v>377</v>
      </c>
    </row>
    <row r="141" spans="1:45" x14ac:dyDescent="0.3">
      <c r="A141" s="6" t="s">
        <v>761</v>
      </c>
      <c r="B141" s="6" t="s">
        <v>4537</v>
      </c>
      <c r="C141" s="6" t="s">
        <v>286</v>
      </c>
      <c r="D141" s="6"/>
      <c r="E141" s="6" t="s">
        <v>4538</v>
      </c>
      <c r="F141" s="6"/>
      <c r="G141" s="6" t="s">
        <v>50</v>
      </c>
      <c r="H141" s="6" t="s">
        <v>4275</v>
      </c>
      <c r="I141" s="6" t="s">
        <v>4289</v>
      </c>
      <c r="J141" s="6" t="s">
        <v>99</v>
      </c>
      <c r="K141" s="6" t="s">
        <v>326</v>
      </c>
      <c r="L141" s="6" t="s">
        <v>762</v>
      </c>
      <c r="M141" s="6" t="s">
        <v>4417</v>
      </c>
      <c r="N141" s="6" t="s">
        <v>3546</v>
      </c>
      <c r="O141" s="6" t="s">
        <v>4274</v>
      </c>
      <c r="P141" s="6">
        <v>39</v>
      </c>
      <c r="Q141" s="6">
        <v>37676731</v>
      </c>
      <c r="R141" s="6">
        <v>0.02</v>
      </c>
      <c r="S141" s="6">
        <v>-0.02</v>
      </c>
      <c r="T141" s="6">
        <v>36184732.450000003</v>
      </c>
      <c r="U141" s="6">
        <v>28647488.57</v>
      </c>
      <c r="V141" s="6">
        <v>0.11</v>
      </c>
      <c r="W141" s="6">
        <v>0.15</v>
      </c>
      <c r="X141" s="6" t="s">
        <v>763</v>
      </c>
      <c r="Y141" s="6">
        <v>28683191.59</v>
      </c>
      <c r="Z141" s="6">
        <v>15616780.18</v>
      </c>
      <c r="AA141" s="6">
        <v>30</v>
      </c>
      <c r="AB141" s="6">
        <v>128</v>
      </c>
      <c r="AC141" s="6" t="s">
        <v>347</v>
      </c>
      <c r="AD141" s="6" t="s">
        <v>406</v>
      </c>
      <c r="AE141" s="6">
        <v>0.81</v>
      </c>
      <c r="AF141" s="6"/>
      <c r="AG141" s="6">
        <v>0.1</v>
      </c>
      <c r="AH141" s="6">
        <v>0.04</v>
      </c>
      <c r="AI141" s="6">
        <v>13</v>
      </c>
      <c r="AJ141" s="6"/>
      <c r="AK141" s="6">
        <v>8308355.4800000004</v>
      </c>
      <c r="AL141" s="6">
        <v>6598536.3099999996</v>
      </c>
      <c r="AM141" s="6" t="s">
        <v>391</v>
      </c>
      <c r="AN141" s="6" t="s">
        <v>322</v>
      </c>
      <c r="AO141" s="6"/>
      <c r="AP141" s="6">
        <v>60</v>
      </c>
      <c r="AQ141" s="6" t="s">
        <v>4275</v>
      </c>
      <c r="AR141" s="6" t="s">
        <v>229</v>
      </c>
      <c r="AS141" s="6"/>
    </row>
    <row r="142" spans="1:45" x14ac:dyDescent="0.3">
      <c r="A142" s="7" t="s">
        <v>764</v>
      </c>
      <c r="B142" s="7" t="s">
        <v>4539</v>
      </c>
      <c r="C142" s="7" t="s">
        <v>222</v>
      </c>
      <c r="D142" s="7"/>
      <c r="E142" s="7" t="s">
        <v>36</v>
      </c>
      <c r="F142" s="7" t="s">
        <v>339</v>
      </c>
      <c r="G142" s="7" t="s">
        <v>38</v>
      </c>
      <c r="H142" s="7" t="s">
        <v>4271</v>
      </c>
      <c r="I142" s="7" t="s">
        <v>183</v>
      </c>
      <c r="J142" s="7" t="s">
        <v>115</v>
      </c>
      <c r="K142" s="7" t="s">
        <v>333</v>
      </c>
      <c r="L142" s="7" t="s">
        <v>765</v>
      </c>
      <c r="M142" s="7" t="s">
        <v>4540</v>
      </c>
      <c r="N142" s="7" t="s">
        <v>3549</v>
      </c>
      <c r="O142" s="7" t="s">
        <v>4541</v>
      </c>
      <c r="P142" s="7">
        <v>48</v>
      </c>
      <c r="Q142" s="7">
        <v>10738470</v>
      </c>
      <c r="R142" s="7">
        <v>0.35</v>
      </c>
      <c r="S142" s="7">
        <v>-0.02</v>
      </c>
      <c r="T142" s="7">
        <v>6840405.3899999997</v>
      </c>
      <c r="U142" s="7">
        <v>4906808.2300000004</v>
      </c>
      <c r="V142" s="7">
        <v>0.35</v>
      </c>
      <c r="W142" s="7">
        <v>0.11</v>
      </c>
      <c r="X142" s="7" t="s">
        <v>766</v>
      </c>
      <c r="Y142" s="7">
        <v>2774818.81</v>
      </c>
      <c r="Z142" s="7">
        <v>2482114.84</v>
      </c>
      <c r="AA142" s="7">
        <v>90</v>
      </c>
      <c r="AB142" s="7">
        <v>53</v>
      </c>
      <c r="AC142" s="7" t="s">
        <v>353</v>
      </c>
      <c r="AD142" s="7" t="s">
        <v>381</v>
      </c>
      <c r="AE142" s="7">
        <v>0.17</v>
      </c>
      <c r="AF142" s="7" t="s">
        <v>4319</v>
      </c>
      <c r="AG142" s="7">
        <v>0.05</v>
      </c>
      <c r="AH142" s="7">
        <v>0.04</v>
      </c>
      <c r="AI142" s="7">
        <v>15</v>
      </c>
      <c r="AJ142" s="7">
        <v>4668</v>
      </c>
      <c r="AK142" s="7">
        <v>1235981.18</v>
      </c>
      <c r="AL142" s="7"/>
      <c r="AM142" s="7" t="s">
        <v>385</v>
      </c>
      <c r="AN142" s="7" t="s">
        <v>322</v>
      </c>
      <c r="AO142" s="7">
        <v>86.7</v>
      </c>
      <c r="AP142" s="7">
        <v>24</v>
      </c>
      <c r="AQ142" s="7" t="s">
        <v>337</v>
      </c>
      <c r="AR142" s="7" t="s">
        <v>224</v>
      </c>
      <c r="AS142" s="7" t="s">
        <v>188</v>
      </c>
    </row>
    <row r="143" spans="1:45" x14ac:dyDescent="0.3">
      <c r="A143" s="6" t="s">
        <v>767</v>
      </c>
      <c r="B143" s="6" t="s">
        <v>4542</v>
      </c>
      <c r="C143" s="6" t="s">
        <v>254</v>
      </c>
      <c r="D143" s="6" t="s">
        <v>220</v>
      </c>
      <c r="E143" s="6" t="s">
        <v>4376</v>
      </c>
      <c r="F143" s="6" t="s">
        <v>35</v>
      </c>
      <c r="G143" s="6" t="s">
        <v>16</v>
      </c>
      <c r="H143" s="6" t="s">
        <v>4340</v>
      </c>
      <c r="I143" s="6" t="s">
        <v>198</v>
      </c>
      <c r="J143" s="6" t="s">
        <v>136</v>
      </c>
      <c r="K143" s="6" t="s">
        <v>333</v>
      </c>
      <c r="L143" s="6" t="s">
        <v>768</v>
      </c>
      <c r="M143" s="6" t="s">
        <v>4543</v>
      </c>
      <c r="N143" s="6"/>
      <c r="O143" s="6" t="s">
        <v>4544</v>
      </c>
      <c r="P143" s="6">
        <v>55</v>
      </c>
      <c r="Q143" s="6">
        <v>27800409</v>
      </c>
      <c r="R143" s="6">
        <v>0.35</v>
      </c>
      <c r="S143" s="6">
        <v>0.09</v>
      </c>
      <c r="T143" s="6">
        <v>19696589.780000001</v>
      </c>
      <c r="U143" s="6">
        <v>12771464.98</v>
      </c>
      <c r="V143" s="6">
        <v>0.26</v>
      </c>
      <c r="W143" s="6">
        <v>0.08</v>
      </c>
      <c r="X143" s="6" t="s">
        <v>769</v>
      </c>
      <c r="Y143" s="6">
        <v>17648517.190000001</v>
      </c>
      <c r="Z143" s="6">
        <v>6375119.3099999996</v>
      </c>
      <c r="AA143" s="6">
        <v>30</v>
      </c>
      <c r="AB143" s="6">
        <v>130</v>
      </c>
      <c r="AC143" s="6" t="s">
        <v>329</v>
      </c>
      <c r="AD143" s="6" t="s">
        <v>381</v>
      </c>
      <c r="AE143" s="6">
        <v>0.77</v>
      </c>
      <c r="AF143" s="6" t="s">
        <v>152</v>
      </c>
      <c r="AG143" s="6">
        <v>0.1</v>
      </c>
      <c r="AH143" s="6">
        <v>0.05</v>
      </c>
      <c r="AI143" s="6">
        <v>5</v>
      </c>
      <c r="AJ143" s="6"/>
      <c r="AK143" s="6">
        <v>2390207.52</v>
      </c>
      <c r="AL143" s="6">
        <v>7598253.1600000001</v>
      </c>
      <c r="AM143" s="6"/>
      <c r="AN143" s="6" t="s">
        <v>321</v>
      </c>
      <c r="AO143" s="6">
        <v>69.5</v>
      </c>
      <c r="AP143" s="6">
        <v>60</v>
      </c>
      <c r="AQ143" s="6"/>
      <c r="AR143" s="6" t="s">
        <v>192</v>
      </c>
      <c r="AS143" s="6"/>
    </row>
    <row r="144" spans="1:45" x14ac:dyDescent="0.3">
      <c r="A144" s="7" t="s">
        <v>770</v>
      </c>
      <c r="B144" s="7" t="s">
        <v>3551</v>
      </c>
      <c r="C144" s="7" t="s">
        <v>282</v>
      </c>
      <c r="D144" s="7" t="s">
        <v>209</v>
      </c>
      <c r="E144" s="7" t="s">
        <v>4270</v>
      </c>
      <c r="F144" s="7" t="s">
        <v>181</v>
      </c>
      <c r="G144" s="7"/>
      <c r="H144" s="7" t="s">
        <v>182</v>
      </c>
      <c r="I144" s="7" t="s">
        <v>213</v>
      </c>
      <c r="J144" s="7" t="s">
        <v>127</v>
      </c>
      <c r="K144" s="7" t="s">
        <v>221</v>
      </c>
      <c r="L144" s="7" t="s">
        <v>771</v>
      </c>
      <c r="M144" s="7" t="s">
        <v>4545</v>
      </c>
      <c r="N144" s="7" t="s">
        <v>3552</v>
      </c>
      <c r="O144" s="7" t="s">
        <v>4274</v>
      </c>
      <c r="P144" s="7">
        <v>25</v>
      </c>
      <c r="Q144" s="7">
        <v>46528383</v>
      </c>
      <c r="R144" s="7">
        <v>0.11</v>
      </c>
      <c r="S144" s="7">
        <v>-0.04</v>
      </c>
      <c r="T144" s="7">
        <v>39753850.439999998</v>
      </c>
      <c r="U144" s="7">
        <v>24031137.859999999</v>
      </c>
      <c r="V144" s="7">
        <v>0.05</v>
      </c>
      <c r="W144" s="7">
        <v>0.08</v>
      </c>
      <c r="X144" s="7" t="s">
        <v>772</v>
      </c>
      <c r="Y144" s="7">
        <v>2145351.2400000002</v>
      </c>
      <c r="Z144" s="7">
        <v>1969277.45</v>
      </c>
      <c r="AA144" s="7">
        <v>45</v>
      </c>
      <c r="AB144" s="7">
        <v>64</v>
      </c>
      <c r="AC144" s="7" t="s">
        <v>376</v>
      </c>
      <c r="AD144" s="7" t="s">
        <v>381</v>
      </c>
      <c r="AE144" s="7">
        <v>0.4</v>
      </c>
      <c r="AF144" s="7" t="s">
        <v>162</v>
      </c>
      <c r="AG144" s="7">
        <v>0.05</v>
      </c>
      <c r="AH144" s="7">
        <v>0.03</v>
      </c>
      <c r="AI144" s="7">
        <v>0</v>
      </c>
      <c r="AJ144" s="7">
        <v>561</v>
      </c>
      <c r="AK144" s="7">
        <v>4553893.9000000004</v>
      </c>
      <c r="AL144" s="7">
        <v>11919413.27</v>
      </c>
      <c r="AM144" s="7" t="s">
        <v>73</v>
      </c>
      <c r="AN144" s="7" t="s">
        <v>322</v>
      </c>
      <c r="AO144" s="7"/>
      <c r="AP144" s="7">
        <v>60</v>
      </c>
      <c r="AQ144" s="7" t="s">
        <v>4275</v>
      </c>
      <c r="AR144" s="7" t="s">
        <v>224</v>
      </c>
      <c r="AS144" s="7" t="s">
        <v>361</v>
      </c>
    </row>
    <row r="145" spans="1:45" x14ac:dyDescent="0.3">
      <c r="A145" s="6" t="s">
        <v>773</v>
      </c>
      <c r="B145" s="6" t="s">
        <v>4546</v>
      </c>
      <c r="C145" s="6" t="s">
        <v>243</v>
      </c>
      <c r="D145" s="6" t="s">
        <v>255</v>
      </c>
      <c r="E145" s="6" t="s">
        <v>52</v>
      </c>
      <c r="F145" s="6" t="s">
        <v>75</v>
      </c>
      <c r="G145" s="6" t="s">
        <v>70</v>
      </c>
      <c r="H145" s="6" t="s">
        <v>216</v>
      </c>
      <c r="I145" s="6" t="s">
        <v>4291</v>
      </c>
      <c r="J145" s="6" t="s">
        <v>133</v>
      </c>
      <c r="K145" s="6" t="s">
        <v>333</v>
      </c>
      <c r="L145" s="6" t="s">
        <v>774</v>
      </c>
      <c r="M145" s="6" t="s">
        <v>4287</v>
      </c>
      <c r="N145" s="6"/>
      <c r="O145" s="6" t="s">
        <v>4547</v>
      </c>
      <c r="P145" s="6">
        <v>41</v>
      </c>
      <c r="Q145" s="6">
        <v>11966267</v>
      </c>
      <c r="R145" s="6">
        <v>0.23</v>
      </c>
      <c r="S145" s="6">
        <v>0.17</v>
      </c>
      <c r="T145" s="6">
        <v>10780409.939999999</v>
      </c>
      <c r="U145" s="6">
        <v>7903311.0700000003</v>
      </c>
      <c r="V145" s="6">
        <v>0.1</v>
      </c>
      <c r="W145" s="6">
        <v>0.1</v>
      </c>
      <c r="X145" s="6" t="s">
        <v>775</v>
      </c>
      <c r="Y145" s="6">
        <v>3452662.69</v>
      </c>
      <c r="Z145" s="6">
        <v>3387902.37</v>
      </c>
      <c r="AA145" s="6">
        <v>90</v>
      </c>
      <c r="AB145" s="6">
        <v>18</v>
      </c>
      <c r="AC145" s="6"/>
      <c r="AD145" s="6" t="s">
        <v>320</v>
      </c>
      <c r="AE145" s="6">
        <v>0.36</v>
      </c>
      <c r="AF145" s="6" t="s">
        <v>4312</v>
      </c>
      <c r="AG145" s="6">
        <v>0.15</v>
      </c>
      <c r="AH145" s="6">
        <v>0.09</v>
      </c>
      <c r="AI145" s="6">
        <v>14</v>
      </c>
      <c r="AJ145" s="6">
        <v>204</v>
      </c>
      <c r="AK145" s="6">
        <v>2032762.94</v>
      </c>
      <c r="AL145" s="6">
        <v>1965559.52</v>
      </c>
      <c r="AM145" s="6"/>
      <c r="AN145" s="6"/>
      <c r="AO145" s="6">
        <v>76</v>
      </c>
      <c r="AP145" s="6" t="s">
        <v>4275</v>
      </c>
      <c r="AQ145" s="6" t="s">
        <v>4275</v>
      </c>
      <c r="AR145" s="6" t="s">
        <v>186</v>
      </c>
      <c r="AS145" s="6"/>
    </row>
    <row r="146" spans="1:45" x14ac:dyDescent="0.3">
      <c r="A146" s="7" t="s">
        <v>776</v>
      </c>
      <c r="B146" s="7" t="s">
        <v>3554</v>
      </c>
      <c r="C146" s="7" t="s">
        <v>282</v>
      </c>
      <c r="D146" s="7" t="s">
        <v>209</v>
      </c>
      <c r="E146" s="7" t="s">
        <v>4306</v>
      </c>
      <c r="F146" s="7" t="s">
        <v>75</v>
      </c>
      <c r="G146" s="7" t="s">
        <v>73</v>
      </c>
      <c r="H146" s="7" t="s">
        <v>216</v>
      </c>
      <c r="I146" s="7" t="s">
        <v>183</v>
      </c>
      <c r="J146" s="6" t="s">
        <v>119</v>
      </c>
      <c r="K146" s="7" t="s">
        <v>221</v>
      </c>
      <c r="L146" s="7" t="s">
        <v>777</v>
      </c>
      <c r="M146" s="7" t="s">
        <v>4548</v>
      </c>
      <c r="N146" s="7"/>
      <c r="O146" s="7" t="s">
        <v>3555</v>
      </c>
      <c r="P146" s="7">
        <v>31</v>
      </c>
      <c r="Q146" s="7">
        <v>29886336</v>
      </c>
      <c r="R146" s="7">
        <v>0.22</v>
      </c>
      <c r="S146" s="7">
        <v>-0.03</v>
      </c>
      <c r="T146" s="7">
        <v>22612001.82</v>
      </c>
      <c r="U146" s="7">
        <v>17701088.059999999</v>
      </c>
      <c r="V146" s="7">
        <v>0.1</v>
      </c>
      <c r="W146" s="7">
        <v>0.19</v>
      </c>
      <c r="X146" s="7" t="s">
        <v>778</v>
      </c>
      <c r="Y146" s="7">
        <v>10580063.98</v>
      </c>
      <c r="Z146" s="7">
        <v>11245856.32</v>
      </c>
      <c r="AA146" s="7">
        <v>30</v>
      </c>
      <c r="AB146" s="7">
        <v>163</v>
      </c>
      <c r="AC146" s="7" t="s">
        <v>353</v>
      </c>
      <c r="AD146" s="7" t="s">
        <v>336</v>
      </c>
      <c r="AE146" s="7">
        <v>0.98</v>
      </c>
      <c r="AF146" s="7" t="s">
        <v>4319</v>
      </c>
      <c r="AG146" s="7">
        <v>0.05</v>
      </c>
      <c r="AH146" s="7">
        <v>0.02</v>
      </c>
      <c r="AI146" s="7">
        <v>5</v>
      </c>
      <c r="AJ146" s="7">
        <v>2469</v>
      </c>
      <c r="AK146" s="7">
        <v>1246909.51</v>
      </c>
      <c r="AL146" s="7">
        <v>4588352.54</v>
      </c>
      <c r="AM146" s="7"/>
      <c r="AN146" s="7" t="s">
        <v>330</v>
      </c>
      <c r="AO146" s="7"/>
      <c r="AP146" s="7">
        <v>48</v>
      </c>
      <c r="AQ146" s="7" t="s">
        <v>387</v>
      </c>
      <c r="AR146" s="7" t="s">
        <v>229</v>
      </c>
      <c r="AS146" s="7"/>
    </row>
    <row r="147" spans="1:45" x14ac:dyDescent="0.3">
      <c r="A147" s="6" t="s">
        <v>779</v>
      </c>
      <c r="B147" s="6" t="s">
        <v>4549</v>
      </c>
      <c r="C147" s="6" t="s">
        <v>225</v>
      </c>
      <c r="D147" s="6" t="s">
        <v>394</v>
      </c>
      <c r="E147" s="6" t="s">
        <v>20</v>
      </c>
      <c r="F147" s="6" t="s">
        <v>196</v>
      </c>
      <c r="G147" s="6" t="s">
        <v>66</v>
      </c>
      <c r="H147" s="6" t="s">
        <v>4271</v>
      </c>
      <c r="I147" s="6" t="s">
        <v>203</v>
      </c>
      <c r="J147" s="6" t="s">
        <v>136</v>
      </c>
      <c r="K147" s="6" t="s">
        <v>333</v>
      </c>
      <c r="L147" s="6" t="s">
        <v>780</v>
      </c>
      <c r="M147" s="6" t="s">
        <v>4550</v>
      </c>
      <c r="N147" s="6" t="s">
        <v>3556</v>
      </c>
      <c r="O147" s="6" t="s">
        <v>4551</v>
      </c>
      <c r="P147" s="6" t="s">
        <v>4275</v>
      </c>
      <c r="Q147" s="6">
        <v>10583382</v>
      </c>
      <c r="R147" s="6">
        <v>0.32</v>
      </c>
      <c r="S147" s="6">
        <v>-0.05</v>
      </c>
      <c r="T147" s="6">
        <v>6836864.7699999996</v>
      </c>
      <c r="U147" s="6">
        <v>5396240.3799999999</v>
      </c>
      <c r="V147" s="6">
        <v>0.28999999999999998</v>
      </c>
      <c r="W147" s="6">
        <v>0.15</v>
      </c>
      <c r="X147" s="6" t="s">
        <v>781</v>
      </c>
      <c r="Y147" s="6">
        <v>5349209.88</v>
      </c>
      <c r="Z147" s="6">
        <v>4730279.09</v>
      </c>
      <c r="AA147" s="6">
        <v>60</v>
      </c>
      <c r="AB147" s="6">
        <v>126</v>
      </c>
      <c r="AC147" s="6"/>
      <c r="AD147" s="6" t="s">
        <v>336</v>
      </c>
      <c r="AE147" s="6">
        <v>0.43</v>
      </c>
      <c r="AF147" s="6" t="s">
        <v>4303</v>
      </c>
      <c r="AG147" s="6">
        <v>0.1</v>
      </c>
      <c r="AH147" s="6">
        <v>0.09</v>
      </c>
      <c r="AI147" s="6">
        <v>11</v>
      </c>
      <c r="AJ147" s="6">
        <v>1332</v>
      </c>
      <c r="AK147" s="6"/>
      <c r="AL147" s="6">
        <v>2445949.6</v>
      </c>
      <c r="AM147" s="6" t="s">
        <v>343</v>
      </c>
      <c r="AN147" s="6" t="s">
        <v>386</v>
      </c>
      <c r="AO147" s="6">
        <v>97.2</v>
      </c>
      <c r="AP147" s="6">
        <v>48</v>
      </c>
      <c r="AQ147" s="6" t="s">
        <v>4275</v>
      </c>
      <c r="AR147" s="6" t="s">
        <v>229</v>
      </c>
      <c r="AS147" s="6" t="s">
        <v>357</v>
      </c>
    </row>
    <row r="148" spans="1:45" x14ac:dyDescent="0.3">
      <c r="A148" s="7" t="s">
        <v>782</v>
      </c>
      <c r="B148" s="7" t="s">
        <v>4552</v>
      </c>
      <c r="C148" s="7" t="s">
        <v>279</v>
      </c>
      <c r="D148" s="7" t="s">
        <v>245</v>
      </c>
      <c r="E148" s="7" t="s">
        <v>4376</v>
      </c>
      <c r="F148" s="7" t="s">
        <v>196</v>
      </c>
      <c r="G148" s="7" t="s">
        <v>73</v>
      </c>
      <c r="H148" s="7" t="s">
        <v>197</v>
      </c>
      <c r="I148" s="7"/>
      <c r="J148" s="7" t="s">
        <v>136</v>
      </c>
      <c r="K148" s="7" t="s">
        <v>326</v>
      </c>
      <c r="L148" s="7" t="s">
        <v>783</v>
      </c>
      <c r="M148" s="7" t="s">
        <v>3558</v>
      </c>
      <c r="N148" s="7" t="s">
        <v>3559</v>
      </c>
      <c r="O148" s="7" t="s">
        <v>4274</v>
      </c>
      <c r="P148" s="7">
        <v>48</v>
      </c>
      <c r="Q148" s="7">
        <v>46628381</v>
      </c>
      <c r="R148" s="7" t="s">
        <v>3273</v>
      </c>
      <c r="S148" s="7">
        <v>0.19</v>
      </c>
      <c r="T148" s="7">
        <v>49384118.32</v>
      </c>
      <c r="U148" s="7">
        <v>36837657.259999998</v>
      </c>
      <c r="V148" s="7">
        <v>0.09</v>
      </c>
      <c r="W148" s="7">
        <v>0.14000000000000001</v>
      </c>
      <c r="X148" s="7" t="s">
        <v>784</v>
      </c>
      <c r="Y148" s="7">
        <v>30110146.390000001</v>
      </c>
      <c r="Z148" s="7">
        <v>18253700.789999999</v>
      </c>
      <c r="AA148" s="7">
        <v>60</v>
      </c>
      <c r="AB148" s="7">
        <v>106</v>
      </c>
      <c r="AC148" s="7" t="s">
        <v>347</v>
      </c>
      <c r="AD148" s="7" t="s">
        <v>320</v>
      </c>
      <c r="AE148" s="7">
        <v>0.76</v>
      </c>
      <c r="AF148" s="7" t="s">
        <v>159</v>
      </c>
      <c r="AG148" s="7">
        <v>0.15</v>
      </c>
      <c r="AH148" s="7">
        <v>0.09</v>
      </c>
      <c r="AI148" s="7">
        <v>3</v>
      </c>
      <c r="AJ148" s="7">
        <v>3358</v>
      </c>
      <c r="AK148" s="7">
        <v>11357528.57</v>
      </c>
      <c r="AL148" s="7">
        <v>17510297.5</v>
      </c>
      <c r="AM148" s="7" t="s">
        <v>355</v>
      </c>
      <c r="AN148" s="7" t="s">
        <v>322</v>
      </c>
      <c r="AO148" s="7">
        <v>52.9</v>
      </c>
      <c r="AP148" s="7" t="s">
        <v>4275</v>
      </c>
      <c r="AQ148" s="7" t="s">
        <v>323</v>
      </c>
      <c r="AR148" s="7" t="s">
        <v>224</v>
      </c>
      <c r="AS148" s="7" t="s">
        <v>361</v>
      </c>
    </row>
    <row r="149" spans="1:45" x14ac:dyDescent="0.3">
      <c r="A149" s="6" t="s">
        <v>785</v>
      </c>
      <c r="B149" s="6" t="s">
        <v>4553</v>
      </c>
      <c r="C149" s="6" t="s">
        <v>244</v>
      </c>
      <c r="D149" s="6" t="s">
        <v>215</v>
      </c>
      <c r="E149" s="6" t="s">
        <v>36</v>
      </c>
      <c r="F149" s="6" t="s">
        <v>339</v>
      </c>
      <c r="G149" s="6" t="s">
        <v>73</v>
      </c>
      <c r="H149" s="6" t="s">
        <v>212</v>
      </c>
      <c r="I149" s="6" t="s">
        <v>246</v>
      </c>
      <c r="J149" s="6" t="s">
        <v>115</v>
      </c>
      <c r="K149" s="6" t="s">
        <v>223</v>
      </c>
      <c r="L149" s="6" t="s">
        <v>786</v>
      </c>
      <c r="M149" s="6" t="s">
        <v>3561</v>
      </c>
      <c r="N149" s="6"/>
      <c r="O149" s="6" t="s">
        <v>3562</v>
      </c>
      <c r="P149" s="6" t="s">
        <v>4275</v>
      </c>
      <c r="Q149" s="6">
        <v>32760841</v>
      </c>
      <c r="R149" s="6">
        <v>0.24</v>
      </c>
      <c r="S149" s="6">
        <v>-0.02</v>
      </c>
      <c r="T149" s="6">
        <v>24400274.379999999</v>
      </c>
      <c r="U149" s="6">
        <v>18524415.07</v>
      </c>
      <c r="V149" s="6">
        <v>0.31</v>
      </c>
      <c r="W149" s="6">
        <v>0.09</v>
      </c>
      <c r="X149" s="6" t="s">
        <v>787</v>
      </c>
      <c r="Y149" s="6">
        <v>2486339.08</v>
      </c>
      <c r="Z149" s="6">
        <v>2241282.91</v>
      </c>
      <c r="AA149" s="6">
        <v>30</v>
      </c>
      <c r="AB149" s="6">
        <v>171</v>
      </c>
      <c r="AC149" s="6"/>
      <c r="AD149" s="6" t="s">
        <v>354</v>
      </c>
      <c r="AE149" s="6">
        <v>0.6</v>
      </c>
      <c r="AF149" s="6" t="s">
        <v>4294</v>
      </c>
      <c r="AG149" s="6">
        <v>0.05</v>
      </c>
      <c r="AH149" s="6">
        <v>0.02</v>
      </c>
      <c r="AI149" s="6">
        <v>0</v>
      </c>
      <c r="AJ149" s="6">
        <v>35</v>
      </c>
      <c r="AK149" s="6">
        <v>5861820.4800000004</v>
      </c>
      <c r="AL149" s="6">
        <v>2602341.0299999998</v>
      </c>
      <c r="AM149" s="6" t="s">
        <v>391</v>
      </c>
      <c r="AN149" s="6" t="s">
        <v>330</v>
      </c>
      <c r="AO149" s="6">
        <v>82.9</v>
      </c>
      <c r="AP149" s="6">
        <v>12</v>
      </c>
      <c r="AQ149" s="6" t="s">
        <v>392</v>
      </c>
      <c r="AR149" s="6" t="s">
        <v>206</v>
      </c>
      <c r="AS149" s="6" t="s">
        <v>324</v>
      </c>
    </row>
    <row r="150" spans="1:45" x14ac:dyDescent="0.3">
      <c r="A150" s="7" t="s">
        <v>788</v>
      </c>
      <c r="B150" s="7" t="s">
        <v>4554</v>
      </c>
      <c r="C150" s="7" t="s">
        <v>261</v>
      </c>
      <c r="D150" s="7" t="s">
        <v>255</v>
      </c>
      <c r="E150" s="7" t="s">
        <v>113</v>
      </c>
      <c r="F150" s="7"/>
      <c r="G150" s="7" t="s">
        <v>23</v>
      </c>
      <c r="H150" s="7" t="s">
        <v>212</v>
      </c>
      <c r="I150" s="7"/>
      <c r="J150" s="7" t="s">
        <v>123</v>
      </c>
      <c r="K150" s="7" t="s">
        <v>210</v>
      </c>
      <c r="L150" s="7" t="s">
        <v>789</v>
      </c>
      <c r="M150" s="7" t="s">
        <v>3563</v>
      </c>
      <c r="N150" s="7" t="s">
        <v>3564</v>
      </c>
      <c r="O150" s="7" t="s">
        <v>3565</v>
      </c>
      <c r="P150" s="7">
        <v>17</v>
      </c>
      <c r="Q150" s="7">
        <v>5660596</v>
      </c>
      <c r="R150" s="7">
        <v>0.13</v>
      </c>
      <c r="S150" s="7">
        <v>0.18</v>
      </c>
      <c r="T150" s="7">
        <v>5811167.8499999996</v>
      </c>
      <c r="U150" s="7">
        <v>4647654.6900000004</v>
      </c>
      <c r="V150" s="7">
        <v>0.28000000000000003</v>
      </c>
      <c r="W150" s="7">
        <v>0.15</v>
      </c>
      <c r="X150" s="7" t="s">
        <v>790</v>
      </c>
      <c r="Y150" s="7">
        <v>4940980.1500000004</v>
      </c>
      <c r="Z150" s="7">
        <v>3364301.2</v>
      </c>
      <c r="AA150" s="7">
        <v>30</v>
      </c>
      <c r="AB150" s="7">
        <v>99</v>
      </c>
      <c r="AC150" s="7"/>
      <c r="AD150" s="7" t="s">
        <v>336</v>
      </c>
      <c r="AE150" s="7">
        <v>0.33</v>
      </c>
      <c r="AF150" s="7" t="s">
        <v>4361</v>
      </c>
      <c r="AG150" s="7">
        <v>0.05</v>
      </c>
      <c r="AH150" s="7">
        <v>7.0000000000000007E-2</v>
      </c>
      <c r="AI150" s="7">
        <v>1</v>
      </c>
      <c r="AJ150" s="7">
        <v>4728</v>
      </c>
      <c r="AK150" s="7">
        <v>919072.61</v>
      </c>
      <c r="AL150" s="7">
        <v>1457464.89</v>
      </c>
      <c r="AM150" s="7"/>
      <c r="AN150" s="7" t="s">
        <v>348</v>
      </c>
      <c r="AO150" s="7">
        <v>74.599999999999994</v>
      </c>
      <c r="AP150" s="7">
        <v>48</v>
      </c>
      <c r="AQ150" s="7" t="s">
        <v>387</v>
      </c>
      <c r="AR150" s="7" t="s">
        <v>186</v>
      </c>
      <c r="AS150" s="7"/>
    </row>
    <row r="151" spans="1:45" x14ac:dyDescent="0.3">
      <c r="A151" s="6" t="s">
        <v>791</v>
      </c>
      <c r="B151" s="6" t="s">
        <v>3566</v>
      </c>
      <c r="C151" s="6" t="s">
        <v>267</v>
      </c>
      <c r="D151" s="6" t="s">
        <v>281</v>
      </c>
      <c r="E151" s="6" t="s">
        <v>20</v>
      </c>
      <c r="F151" s="6"/>
      <c r="G151" s="6" t="s">
        <v>57</v>
      </c>
      <c r="H151" s="6" t="s">
        <v>216</v>
      </c>
      <c r="I151" s="6"/>
      <c r="J151" s="6" t="s">
        <v>136</v>
      </c>
      <c r="K151" s="6" t="s">
        <v>223</v>
      </c>
      <c r="L151" s="6" t="s">
        <v>792</v>
      </c>
      <c r="M151" s="6" t="s">
        <v>4555</v>
      </c>
      <c r="N151" s="6" t="s">
        <v>3567</v>
      </c>
      <c r="O151" s="6" t="s">
        <v>4274</v>
      </c>
      <c r="P151" s="6">
        <v>50</v>
      </c>
      <c r="Q151" s="6">
        <v>19727102</v>
      </c>
      <c r="R151" s="6" t="s">
        <v>3273</v>
      </c>
      <c r="S151" s="6">
        <v>-0.03</v>
      </c>
      <c r="T151" s="6">
        <v>18369877.379999999</v>
      </c>
      <c r="U151" s="6">
        <v>15437815.810000001</v>
      </c>
      <c r="V151" s="6">
        <v>0.26</v>
      </c>
      <c r="W151" s="6">
        <v>0.1</v>
      </c>
      <c r="X151" s="6" t="s">
        <v>793</v>
      </c>
      <c r="Y151" s="6">
        <v>12482222.119999999</v>
      </c>
      <c r="Z151" s="6">
        <v>13103443.85</v>
      </c>
      <c r="AA151" s="6">
        <v>30</v>
      </c>
      <c r="AB151" s="6">
        <v>147</v>
      </c>
      <c r="AC151" s="6"/>
      <c r="AD151" s="6" t="s">
        <v>226</v>
      </c>
      <c r="AE151" s="6">
        <v>0.4</v>
      </c>
      <c r="AF151" s="6" t="s">
        <v>4303</v>
      </c>
      <c r="AG151" s="6">
        <v>0.1</v>
      </c>
      <c r="AH151" s="6">
        <v>0.1</v>
      </c>
      <c r="AI151" s="6">
        <v>0</v>
      </c>
      <c r="AJ151" s="6">
        <v>1777</v>
      </c>
      <c r="AK151" s="6">
        <v>3342441.62</v>
      </c>
      <c r="AL151" s="6">
        <v>9046376.8699999992</v>
      </c>
      <c r="AM151" s="6" t="s">
        <v>391</v>
      </c>
      <c r="AN151" s="6" t="s">
        <v>356</v>
      </c>
      <c r="AO151" s="6">
        <v>99.8</v>
      </c>
      <c r="AP151" s="6">
        <v>24</v>
      </c>
      <c r="AQ151" s="6"/>
      <c r="AR151" s="6" t="s">
        <v>224</v>
      </c>
      <c r="AS151" s="6" t="s">
        <v>188</v>
      </c>
    </row>
    <row r="152" spans="1:45" x14ac:dyDescent="0.3">
      <c r="A152" s="7" t="s">
        <v>794</v>
      </c>
      <c r="B152" s="7" t="s">
        <v>4401</v>
      </c>
      <c r="C152" s="7" t="s">
        <v>254</v>
      </c>
      <c r="D152" s="7" t="s">
        <v>262</v>
      </c>
      <c r="E152" s="7"/>
      <c r="F152" s="7" t="s">
        <v>75</v>
      </c>
      <c r="G152" s="7" t="s">
        <v>23</v>
      </c>
      <c r="H152" s="7" t="s">
        <v>4266</v>
      </c>
      <c r="I152" s="7" t="s">
        <v>4272</v>
      </c>
      <c r="J152" s="7" t="s">
        <v>130</v>
      </c>
      <c r="K152" s="7" t="s">
        <v>199</v>
      </c>
      <c r="L152" s="7" t="s">
        <v>795</v>
      </c>
      <c r="M152" s="7" t="s">
        <v>3568</v>
      </c>
      <c r="N152" s="7" t="s">
        <v>3569</v>
      </c>
      <c r="O152" s="7" t="s">
        <v>4556</v>
      </c>
      <c r="P152" s="7">
        <v>50</v>
      </c>
      <c r="Q152" s="7">
        <v>49014683</v>
      </c>
      <c r="R152" s="7">
        <v>0.14000000000000001</v>
      </c>
      <c r="S152" s="7">
        <v>0.2</v>
      </c>
      <c r="T152" s="7">
        <v>50583152.859999999</v>
      </c>
      <c r="U152" s="7">
        <v>40232393.020000003</v>
      </c>
      <c r="V152" s="7">
        <v>0.35</v>
      </c>
      <c r="W152" s="7">
        <v>7.0000000000000007E-2</v>
      </c>
      <c r="X152" s="7" t="s">
        <v>796</v>
      </c>
      <c r="Y152" s="7">
        <v>30874073</v>
      </c>
      <c r="Z152" s="7">
        <v>30219993.32</v>
      </c>
      <c r="AA152" s="7">
        <v>30</v>
      </c>
      <c r="AB152" s="7">
        <v>141</v>
      </c>
      <c r="AC152" s="7" t="s">
        <v>376</v>
      </c>
      <c r="AD152" s="7" t="s">
        <v>336</v>
      </c>
      <c r="AE152" s="7">
        <v>0.42</v>
      </c>
      <c r="AF152" s="7" t="s">
        <v>155</v>
      </c>
      <c r="AG152" s="7">
        <v>0.1</v>
      </c>
      <c r="AH152" s="7">
        <v>7.0000000000000007E-2</v>
      </c>
      <c r="AI152" s="7">
        <v>11</v>
      </c>
      <c r="AJ152" s="7">
        <v>471</v>
      </c>
      <c r="AK152" s="7">
        <v>12345147.99</v>
      </c>
      <c r="AL152" s="7">
        <v>6119997.2999999998</v>
      </c>
      <c r="AM152" s="7"/>
      <c r="AN152" s="7"/>
      <c r="AO152" s="7">
        <v>57.4</v>
      </c>
      <c r="AP152" s="7">
        <v>36</v>
      </c>
      <c r="AQ152" s="7"/>
      <c r="AR152" s="7" t="s">
        <v>192</v>
      </c>
      <c r="AS152" s="7" t="s">
        <v>188</v>
      </c>
    </row>
    <row r="153" spans="1:45" x14ac:dyDescent="0.3">
      <c r="A153" s="6" t="s">
        <v>797</v>
      </c>
      <c r="B153" s="6" t="s">
        <v>4557</v>
      </c>
      <c r="C153" s="6" t="s">
        <v>217</v>
      </c>
      <c r="D153" s="6" t="s">
        <v>238</v>
      </c>
      <c r="E153" s="6"/>
      <c r="F153" s="6" t="s">
        <v>363</v>
      </c>
      <c r="G153" s="6" t="s">
        <v>50</v>
      </c>
      <c r="H153" s="6" t="s">
        <v>212</v>
      </c>
      <c r="I153" s="6" t="s">
        <v>4372</v>
      </c>
      <c r="J153" s="6" t="s">
        <v>130</v>
      </c>
      <c r="K153" s="6" t="s">
        <v>333</v>
      </c>
      <c r="L153" s="6" t="s">
        <v>798</v>
      </c>
      <c r="M153" s="6" t="s">
        <v>3571</v>
      </c>
      <c r="N153" s="6" t="s">
        <v>3360</v>
      </c>
      <c r="O153" s="6" t="s">
        <v>3572</v>
      </c>
      <c r="P153" s="6">
        <v>11</v>
      </c>
      <c r="Q153" s="6">
        <v>16363533</v>
      </c>
      <c r="R153" s="6">
        <v>0.14000000000000001</v>
      </c>
      <c r="S153" s="6">
        <v>0.03</v>
      </c>
      <c r="T153" s="6">
        <v>14494817.529999999</v>
      </c>
      <c r="U153" s="6">
        <v>8973009.4000000004</v>
      </c>
      <c r="V153" s="6">
        <v>0.33</v>
      </c>
      <c r="W153" s="6">
        <v>0.08</v>
      </c>
      <c r="X153" s="6" t="s">
        <v>799</v>
      </c>
      <c r="Y153" s="6">
        <v>8069731.0300000003</v>
      </c>
      <c r="Z153" s="6">
        <v>3534458.29</v>
      </c>
      <c r="AA153" s="6">
        <v>90</v>
      </c>
      <c r="AB153" s="6">
        <v>178</v>
      </c>
      <c r="AC153" s="6" t="s">
        <v>329</v>
      </c>
      <c r="AD153" s="6" t="s">
        <v>226</v>
      </c>
      <c r="AE153" s="6">
        <v>0.98</v>
      </c>
      <c r="AF153" s="6" t="s">
        <v>4361</v>
      </c>
      <c r="AG153" s="6">
        <v>0.15</v>
      </c>
      <c r="AH153" s="6">
        <v>7.0000000000000007E-2</v>
      </c>
      <c r="AI153" s="6">
        <v>14</v>
      </c>
      <c r="AJ153" s="6">
        <v>4800</v>
      </c>
      <c r="AK153" s="6">
        <v>3019710.4</v>
      </c>
      <c r="AL153" s="6">
        <v>5818267.3899999997</v>
      </c>
      <c r="AM153" s="6" t="s">
        <v>391</v>
      </c>
      <c r="AN153" s="6"/>
      <c r="AO153" s="6">
        <v>69.7</v>
      </c>
      <c r="AP153" s="6">
        <v>12</v>
      </c>
      <c r="AQ153" s="6" t="s">
        <v>323</v>
      </c>
      <c r="AR153" s="6" t="s">
        <v>186</v>
      </c>
      <c r="AS153" s="6" t="s">
        <v>324</v>
      </c>
    </row>
    <row r="154" spans="1:45" x14ac:dyDescent="0.3">
      <c r="A154" s="7" t="s">
        <v>800</v>
      </c>
      <c r="B154" s="7" t="s">
        <v>4558</v>
      </c>
      <c r="C154" s="7" t="s">
        <v>277</v>
      </c>
      <c r="D154" s="7" t="s">
        <v>232</v>
      </c>
      <c r="E154" s="7" t="s">
        <v>4270</v>
      </c>
      <c r="F154" s="7" t="s">
        <v>181</v>
      </c>
      <c r="G154" s="7" t="s">
        <v>66</v>
      </c>
      <c r="H154" s="7" t="s">
        <v>182</v>
      </c>
      <c r="I154" s="7" t="s">
        <v>183</v>
      </c>
      <c r="J154" s="7" t="s">
        <v>123</v>
      </c>
      <c r="K154" s="7" t="s">
        <v>223</v>
      </c>
      <c r="L154" s="7" t="s">
        <v>801</v>
      </c>
      <c r="M154" s="7" t="s">
        <v>4559</v>
      </c>
      <c r="N154" s="7" t="s">
        <v>4560</v>
      </c>
      <c r="O154" s="7" t="s">
        <v>3574</v>
      </c>
      <c r="P154" s="7">
        <v>56</v>
      </c>
      <c r="Q154" s="7">
        <v>2826853</v>
      </c>
      <c r="R154" s="7">
        <v>0.05</v>
      </c>
      <c r="S154" s="7">
        <v>0</v>
      </c>
      <c r="T154" s="7">
        <v>2685510.35</v>
      </c>
      <c r="U154" s="7">
        <v>1719431.31</v>
      </c>
      <c r="V154" s="7">
        <v>0.26</v>
      </c>
      <c r="W154" s="7">
        <v>0.09</v>
      </c>
      <c r="X154" s="7" t="s">
        <v>802</v>
      </c>
      <c r="Y154" s="7">
        <v>502267.57</v>
      </c>
      <c r="Z154" s="7">
        <v>376699.15</v>
      </c>
      <c r="AA154" s="7">
        <v>30</v>
      </c>
      <c r="AB154" s="7">
        <v>22</v>
      </c>
      <c r="AC154" s="7" t="s">
        <v>329</v>
      </c>
      <c r="AD154" s="7" t="s">
        <v>381</v>
      </c>
      <c r="AE154" s="7">
        <v>0.97</v>
      </c>
      <c r="AF154" s="7" t="s">
        <v>155</v>
      </c>
      <c r="AG154" s="7">
        <v>0.15</v>
      </c>
      <c r="AH154" s="7">
        <v>0.04</v>
      </c>
      <c r="AI154" s="7">
        <v>5</v>
      </c>
      <c r="AJ154" s="7">
        <v>1347</v>
      </c>
      <c r="AK154" s="7">
        <v>105133.53</v>
      </c>
      <c r="AL154" s="7">
        <v>725456.64</v>
      </c>
      <c r="AM154" s="7" t="s">
        <v>391</v>
      </c>
      <c r="AN154" s="7" t="s">
        <v>356</v>
      </c>
      <c r="AO154" s="7">
        <v>53.7</v>
      </c>
      <c r="AP154" s="7">
        <v>60</v>
      </c>
      <c r="AQ154" s="7"/>
      <c r="AR154" s="7" t="s">
        <v>186</v>
      </c>
      <c r="AS154" s="7" t="s">
        <v>188</v>
      </c>
    </row>
    <row r="155" spans="1:45" x14ac:dyDescent="0.3">
      <c r="A155" s="6" t="s">
        <v>803</v>
      </c>
      <c r="B155" s="6" t="s">
        <v>4541</v>
      </c>
      <c r="C155" s="6" t="s">
        <v>285</v>
      </c>
      <c r="D155" s="6" t="s">
        <v>215</v>
      </c>
      <c r="E155" s="6" t="s">
        <v>52</v>
      </c>
      <c r="F155" s="6" t="s">
        <v>75</v>
      </c>
      <c r="G155" s="6" t="s">
        <v>66</v>
      </c>
      <c r="H155" s="6" t="s">
        <v>4266</v>
      </c>
      <c r="I155" s="6" t="s">
        <v>233</v>
      </c>
      <c r="J155" s="6" t="s">
        <v>133</v>
      </c>
      <c r="K155" s="6" t="s">
        <v>221</v>
      </c>
      <c r="L155" s="6" t="s">
        <v>804</v>
      </c>
      <c r="M155" s="6" t="s">
        <v>3545</v>
      </c>
      <c r="N155" s="6" t="s">
        <v>3575</v>
      </c>
      <c r="O155" s="6" t="s">
        <v>4561</v>
      </c>
      <c r="P155" s="6" t="s">
        <v>4275</v>
      </c>
      <c r="Q155" s="6">
        <v>44311867</v>
      </c>
      <c r="R155" s="6" t="s">
        <v>3273</v>
      </c>
      <c r="S155" s="6">
        <v>0.08</v>
      </c>
      <c r="T155" s="6">
        <v>36849748.600000001</v>
      </c>
      <c r="U155" s="6">
        <v>28435013.530000001</v>
      </c>
      <c r="V155" s="6">
        <v>0.14000000000000001</v>
      </c>
      <c r="W155" s="6">
        <v>0.06</v>
      </c>
      <c r="X155" s="6" t="s">
        <v>805</v>
      </c>
      <c r="Y155" s="6">
        <v>6980691.5</v>
      </c>
      <c r="Z155" s="6">
        <v>6682296.5599999996</v>
      </c>
      <c r="AA155" s="6">
        <v>60</v>
      </c>
      <c r="AB155" s="6">
        <v>112</v>
      </c>
      <c r="AC155" s="6"/>
      <c r="AD155" s="6" t="s">
        <v>381</v>
      </c>
      <c r="AE155" s="6">
        <v>0.41</v>
      </c>
      <c r="AF155" s="6" t="s">
        <v>152</v>
      </c>
      <c r="AG155" s="6">
        <v>0.15</v>
      </c>
      <c r="AH155" s="6">
        <v>0.03</v>
      </c>
      <c r="AI155" s="6">
        <v>8</v>
      </c>
      <c r="AJ155" s="6">
        <v>4365</v>
      </c>
      <c r="AK155" s="6">
        <v>8212514.1699999999</v>
      </c>
      <c r="AL155" s="6">
        <v>12415566.529999999</v>
      </c>
      <c r="AM155" s="6" t="s">
        <v>355</v>
      </c>
      <c r="AN155" s="6" t="s">
        <v>321</v>
      </c>
      <c r="AO155" s="6">
        <v>97.3</v>
      </c>
      <c r="AP155" s="6">
        <v>60</v>
      </c>
      <c r="AQ155" s="6" t="s">
        <v>392</v>
      </c>
      <c r="AR155" s="6" t="s">
        <v>186</v>
      </c>
      <c r="AS155" s="6" t="s">
        <v>377</v>
      </c>
    </row>
    <row r="156" spans="1:45" x14ac:dyDescent="0.3">
      <c r="A156" s="7" t="s">
        <v>806</v>
      </c>
      <c r="B156" s="7" t="s">
        <v>4469</v>
      </c>
      <c r="C156" s="7" t="s">
        <v>256</v>
      </c>
      <c r="D156" s="7" t="s">
        <v>232</v>
      </c>
      <c r="E156" s="7" t="s">
        <v>4306</v>
      </c>
      <c r="F156" s="7" t="s">
        <v>75</v>
      </c>
      <c r="G156" s="7" t="s">
        <v>57</v>
      </c>
      <c r="H156" s="7"/>
      <c r="I156" s="7"/>
      <c r="J156" s="7" t="s">
        <v>133</v>
      </c>
      <c r="K156" s="7" t="s">
        <v>210</v>
      </c>
      <c r="L156" s="7" t="s">
        <v>807</v>
      </c>
      <c r="M156" s="7" t="s">
        <v>4562</v>
      </c>
      <c r="N156" s="7"/>
      <c r="O156" s="7" t="s">
        <v>4563</v>
      </c>
      <c r="P156" s="7">
        <v>30</v>
      </c>
      <c r="Q156" s="7">
        <v>48882063</v>
      </c>
      <c r="R156" s="7">
        <v>0.23</v>
      </c>
      <c r="S156" s="7">
        <v>0.04</v>
      </c>
      <c r="T156" s="7">
        <v>39144756.049999997</v>
      </c>
      <c r="U156" s="7">
        <v>34436911.189999998</v>
      </c>
      <c r="V156" s="7">
        <v>0.22</v>
      </c>
      <c r="W156" s="7">
        <v>0.15</v>
      </c>
      <c r="X156" s="7" t="s">
        <v>808</v>
      </c>
      <c r="Y156" s="7">
        <v>27827965.469999999</v>
      </c>
      <c r="Z156" s="7">
        <v>23447069.530000001</v>
      </c>
      <c r="AA156" s="7">
        <v>90</v>
      </c>
      <c r="AB156" s="7">
        <v>118</v>
      </c>
      <c r="AC156" s="7"/>
      <c r="AD156" s="7" t="s">
        <v>336</v>
      </c>
      <c r="AE156" s="7">
        <v>0.22</v>
      </c>
      <c r="AF156" s="7" t="s">
        <v>162</v>
      </c>
      <c r="AG156" s="7">
        <v>0.1</v>
      </c>
      <c r="AH156" s="7">
        <v>0.08</v>
      </c>
      <c r="AI156" s="7">
        <v>9</v>
      </c>
      <c r="AJ156" s="7">
        <v>69</v>
      </c>
      <c r="AK156" s="7">
        <v>7108534.8099999996</v>
      </c>
      <c r="AL156" s="7">
        <v>7738546.3499999996</v>
      </c>
      <c r="AM156" s="7" t="s">
        <v>73</v>
      </c>
      <c r="AN156" s="7" t="s">
        <v>356</v>
      </c>
      <c r="AO156" s="7">
        <v>84.9</v>
      </c>
      <c r="AP156" s="7">
        <v>60</v>
      </c>
      <c r="AQ156" s="7" t="s">
        <v>387</v>
      </c>
      <c r="AR156" s="7" t="s">
        <v>224</v>
      </c>
      <c r="AS156" s="7" t="s">
        <v>357</v>
      </c>
    </row>
    <row r="157" spans="1:45" x14ac:dyDescent="0.3">
      <c r="A157" s="6" t="s">
        <v>809</v>
      </c>
      <c r="B157" s="6" t="s">
        <v>4465</v>
      </c>
      <c r="C157" s="6" t="s">
        <v>283</v>
      </c>
      <c r="D157" s="6" t="s">
        <v>265</v>
      </c>
      <c r="E157" s="6"/>
      <c r="F157" s="6" t="s">
        <v>363</v>
      </c>
      <c r="G157" s="6" t="s">
        <v>73</v>
      </c>
      <c r="H157" s="6" t="s">
        <v>212</v>
      </c>
      <c r="I157" s="6" t="s">
        <v>203</v>
      </c>
      <c r="J157" s="6" t="s">
        <v>130</v>
      </c>
      <c r="K157" s="6" t="s">
        <v>184</v>
      </c>
      <c r="L157" s="6" t="s">
        <v>810</v>
      </c>
      <c r="M157" s="6" t="s">
        <v>4564</v>
      </c>
      <c r="N157" s="6"/>
      <c r="O157" s="6" t="s">
        <v>4274</v>
      </c>
      <c r="P157" s="6">
        <v>22</v>
      </c>
      <c r="Q157" s="6">
        <v>24832371</v>
      </c>
      <c r="R157" s="6">
        <v>0.3</v>
      </c>
      <c r="S157" s="6">
        <v>0.08</v>
      </c>
      <c r="T157" s="6">
        <v>18773272.48</v>
      </c>
      <c r="U157" s="6">
        <v>11292993.039999999</v>
      </c>
      <c r="V157" s="6">
        <v>0.12</v>
      </c>
      <c r="W157" s="6">
        <v>0.1</v>
      </c>
      <c r="X157" s="6" t="s">
        <v>811</v>
      </c>
      <c r="Y157" s="6">
        <v>16137712.689999999</v>
      </c>
      <c r="Z157" s="6">
        <v>10298730.220000001</v>
      </c>
      <c r="AA157" s="6">
        <v>90</v>
      </c>
      <c r="AB157" s="6">
        <v>44</v>
      </c>
      <c r="AC157" s="6" t="s">
        <v>353</v>
      </c>
      <c r="AD157" s="6" t="s">
        <v>455</v>
      </c>
      <c r="AE157" s="6">
        <v>0.4</v>
      </c>
      <c r="AF157" s="6" t="s">
        <v>155</v>
      </c>
      <c r="AG157" s="6">
        <v>0.05</v>
      </c>
      <c r="AH157" s="6">
        <v>0.04</v>
      </c>
      <c r="AI157" s="6">
        <v>7</v>
      </c>
      <c r="AJ157" s="6">
        <v>4002</v>
      </c>
      <c r="AK157" s="6"/>
      <c r="AL157" s="6">
        <v>3755666.4</v>
      </c>
      <c r="AM157" s="6" t="s">
        <v>343</v>
      </c>
      <c r="AN157" s="6" t="s">
        <v>321</v>
      </c>
      <c r="AO157" s="6">
        <v>59.9</v>
      </c>
      <c r="AP157" s="6">
        <v>36</v>
      </c>
      <c r="AQ157" s="6" t="s">
        <v>4275</v>
      </c>
      <c r="AR157" s="6" t="s">
        <v>229</v>
      </c>
      <c r="AS157" s="6"/>
    </row>
    <row r="158" spans="1:45" x14ac:dyDescent="0.3">
      <c r="A158" s="7" t="s">
        <v>812</v>
      </c>
      <c r="B158" s="7" t="s">
        <v>3967</v>
      </c>
      <c r="C158" s="7" t="s">
        <v>256</v>
      </c>
      <c r="D158" s="7" t="s">
        <v>255</v>
      </c>
      <c r="E158" s="7" t="s">
        <v>4306</v>
      </c>
      <c r="F158" s="7" t="s">
        <v>75</v>
      </c>
      <c r="G158" s="7" t="s">
        <v>16</v>
      </c>
      <c r="H158" s="7" t="s">
        <v>236</v>
      </c>
      <c r="I158" s="7" t="s">
        <v>4372</v>
      </c>
      <c r="J158" s="6" t="s">
        <v>119</v>
      </c>
      <c r="K158" s="7" t="s">
        <v>326</v>
      </c>
      <c r="L158" s="7" t="s">
        <v>813</v>
      </c>
      <c r="M158" s="7" t="s">
        <v>3578</v>
      </c>
      <c r="N158" s="7"/>
      <c r="O158" s="7" t="s">
        <v>3455</v>
      </c>
      <c r="P158" s="7">
        <v>35</v>
      </c>
      <c r="Q158" s="7">
        <v>29684729</v>
      </c>
      <c r="R158" s="7">
        <v>7.0000000000000007E-2</v>
      </c>
      <c r="S158" s="7">
        <v>0.04</v>
      </c>
      <c r="T158" s="7">
        <v>28711069.890000001</v>
      </c>
      <c r="U158" s="7"/>
      <c r="V158" s="7">
        <v>7.0000000000000007E-2</v>
      </c>
      <c r="W158" s="7">
        <v>0.17</v>
      </c>
      <c r="X158" s="7" t="s">
        <v>814</v>
      </c>
      <c r="Y158" s="7">
        <v>12026094.779999999</v>
      </c>
      <c r="Z158" s="7">
        <v>7064000.5599999996</v>
      </c>
      <c r="AA158" s="7">
        <v>45</v>
      </c>
      <c r="AB158" s="7">
        <v>29</v>
      </c>
      <c r="AC158" s="7" t="s">
        <v>353</v>
      </c>
      <c r="AD158" s="7" t="s">
        <v>336</v>
      </c>
      <c r="AE158" s="7">
        <v>0.23</v>
      </c>
      <c r="AF158" s="7" t="s">
        <v>162</v>
      </c>
      <c r="AG158" s="7">
        <v>0.05</v>
      </c>
      <c r="AH158" s="7">
        <v>0.02</v>
      </c>
      <c r="AI158" s="7">
        <v>13</v>
      </c>
      <c r="AJ158" s="7">
        <v>686</v>
      </c>
      <c r="AK158" s="7">
        <v>2210232.1</v>
      </c>
      <c r="AL158" s="7">
        <v>8742404.0500000007</v>
      </c>
      <c r="AM158" s="7" t="s">
        <v>355</v>
      </c>
      <c r="AN158" s="7" t="s">
        <v>330</v>
      </c>
      <c r="AO158" s="7">
        <v>86.9</v>
      </c>
      <c r="AP158" s="7">
        <v>12</v>
      </c>
      <c r="AQ158" s="7"/>
      <c r="AR158" s="7" t="s">
        <v>229</v>
      </c>
      <c r="AS158" s="7"/>
    </row>
    <row r="159" spans="1:45" x14ac:dyDescent="0.3">
      <c r="A159" s="6" t="s">
        <v>815</v>
      </c>
      <c r="B159" s="6" t="s">
        <v>4565</v>
      </c>
      <c r="C159" s="6" t="s">
        <v>267</v>
      </c>
      <c r="D159" s="6" t="s">
        <v>248</v>
      </c>
      <c r="E159" s="6" t="s">
        <v>113</v>
      </c>
      <c r="F159" s="6" t="s">
        <v>181</v>
      </c>
      <c r="G159" s="6" t="s">
        <v>33</v>
      </c>
      <c r="H159" s="6" t="s">
        <v>236</v>
      </c>
      <c r="I159" s="6" t="s">
        <v>233</v>
      </c>
      <c r="J159" s="6" t="s">
        <v>127</v>
      </c>
      <c r="K159" s="6" t="s">
        <v>326</v>
      </c>
      <c r="L159" s="6" t="s">
        <v>816</v>
      </c>
      <c r="M159" s="6" t="s">
        <v>4566</v>
      </c>
      <c r="N159" s="6"/>
      <c r="O159" s="6" t="s">
        <v>3490</v>
      </c>
      <c r="P159" s="6">
        <v>60</v>
      </c>
      <c r="Q159" s="6">
        <v>7116567</v>
      </c>
      <c r="R159" s="6">
        <v>0.25</v>
      </c>
      <c r="S159" s="6">
        <v>0.08</v>
      </c>
      <c r="T159" s="6">
        <v>5764419.2699999996</v>
      </c>
      <c r="U159" s="6"/>
      <c r="V159" s="6" t="s">
        <v>4374</v>
      </c>
      <c r="W159" s="6">
        <v>0.06</v>
      </c>
      <c r="X159" s="6" t="s">
        <v>817</v>
      </c>
      <c r="Y159" s="6">
        <v>1175999.24</v>
      </c>
      <c r="Z159" s="6">
        <v>1286591.78</v>
      </c>
      <c r="AA159" s="6">
        <v>120</v>
      </c>
      <c r="AB159" s="6">
        <v>162</v>
      </c>
      <c r="AC159" s="6" t="s">
        <v>376</v>
      </c>
      <c r="AD159" s="6" t="s">
        <v>381</v>
      </c>
      <c r="AE159" s="6">
        <v>0.65</v>
      </c>
      <c r="AF159" s="6" t="s">
        <v>153</v>
      </c>
      <c r="AG159" s="6">
        <v>0.05</v>
      </c>
      <c r="AH159" s="6">
        <v>0.02</v>
      </c>
      <c r="AI159" s="6">
        <v>12</v>
      </c>
      <c r="AJ159" s="6">
        <v>2076</v>
      </c>
      <c r="AK159" s="6">
        <v>597330.37</v>
      </c>
      <c r="AL159" s="6">
        <v>799841.35</v>
      </c>
      <c r="AM159" s="6" t="s">
        <v>321</v>
      </c>
      <c r="AN159" s="6" t="s">
        <v>356</v>
      </c>
      <c r="AO159" s="6">
        <v>64.3</v>
      </c>
      <c r="AP159" s="6" t="s">
        <v>4275</v>
      </c>
      <c r="AQ159" s="6" t="s">
        <v>337</v>
      </c>
      <c r="AR159" s="6" t="s">
        <v>206</v>
      </c>
      <c r="AS159" s="6" t="s">
        <v>361</v>
      </c>
    </row>
    <row r="160" spans="1:45" x14ac:dyDescent="0.3">
      <c r="A160" s="7" t="s">
        <v>818</v>
      </c>
      <c r="B160" s="7" t="s">
        <v>4567</v>
      </c>
      <c r="C160" s="7" t="s">
        <v>268</v>
      </c>
      <c r="D160" s="7" t="s">
        <v>220</v>
      </c>
      <c r="E160" s="7" t="s">
        <v>36</v>
      </c>
      <c r="F160" s="7"/>
      <c r="G160" s="7" t="s">
        <v>80</v>
      </c>
      <c r="H160" s="7" t="s">
        <v>263</v>
      </c>
      <c r="I160" s="7" t="s">
        <v>203</v>
      </c>
      <c r="J160" s="7" t="s">
        <v>115</v>
      </c>
      <c r="K160" s="7" t="s">
        <v>223</v>
      </c>
      <c r="L160" s="7" t="s">
        <v>819</v>
      </c>
      <c r="M160" s="7" t="s">
        <v>4109</v>
      </c>
      <c r="N160" s="7" t="s">
        <v>3579</v>
      </c>
      <c r="O160" s="7" t="s">
        <v>4274</v>
      </c>
      <c r="P160" s="7">
        <v>35</v>
      </c>
      <c r="Q160" s="7">
        <v>40781656</v>
      </c>
      <c r="R160" s="7">
        <v>0.14000000000000001</v>
      </c>
      <c r="S160" s="7">
        <v>0.11</v>
      </c>
      <c r="T160" s="7">
        <v>38930168.82</v>
      </c>
      <c r="U160" s="7">
        <v>25307745.109999999</v>
      </c>
      <c r="V160" s="7">
        <v>0.39</v>
      </c>
      <c r="W160" s="7">
        <v>0.09</v>
      </c>
      <c r="X160" s="7" t="s">
        <v>820</v>
      </c>
      <c r="Y160" s="7">
        <v>8896645.5600000005</v>
      </c>
      <c r="Z160" s="7">
        <v>5402394.4699999997</v>
      </c>
      <c r="AA160" s="7">
        <v>30</v>
      </c>
      <c r="AB160" s="7">
        <v>34</v>
      </c>
      <c r="AC160" s="7" t="s">
        <v>376</v>
      </c>
      <c r="AD160" s="7" t="s">
        <v>336</v>
      </c>
      <c r="AE160" s="7">
        <v>0.64</v>
      </c>
      <c r="AF160" s="7" t="s">
        <v>4319</v>
      </c>
      <c r="AG160" s="7">
        <v>0.15</v>
      </c>
      <c r="AH160" s="7">
        <v>0.02</v>
      </c>
      <c r="AI160" s="7">
        <v>6</v>
      </c>
      <c r="AJ160" s="7">
        <v>4065</v>
      </c>
      <c r="AK160" s="7">
        <v>8570819.8599999994</v>
      </c>
      <c r="AL160" s="7">
        <v>6470477.7800000003</v>
      </c>
      <c r="AM160" s="7" t="s">
        <v>385</v>
      </c>
      <c r="AN160" s="7" t="s">
        <v>348</v>
      </c>
      <c r="AO160" s="7"/>
      <c r="AP160" s="7">
        <v>48</v>
      </c>
      <c r="AQ160" s="7" t="s">
        <v>4275</v>
      </c>
      <c r="AR160" s="7" t="s">
        <v>192</v>
      </c>
      <c r="AS160" s="7" t="s">
        <v>361</v>
      </c>
    </row>
    <row r="161" spans="1:45" x14ac:dyDescent="0.3">
      <c r="A161" s="6" t="s">
        <v>821</v>
      </c>
      <c r="B161" s="6" t="s">
        <v>4568</v>
      </c>
      <c r="C161" s="6" t="s">
        <v>239</v>
      </c>
      <c r="D161" s="6" t="s">
        <v>281</v>
      </c>
      <c r="E161" s="6" t="s">
        <v>4325</v>
      </c>
      <c r="F161" s="6" t="s">
        <v>19</v>
      </c>
      <c r="G161" s="6" t="s">
        <v>57</v>
      </c>
      <c r="H161" s="6" t="s">
        <v>263</v>
      </c>
      <c r="I161" s="6" t="s">
        <v>191</v>
      </c>
      <c r="J161" s="6" t="s">
        <v>115</v>
      </c>
      <c r="K161" s="6" t="s">
        <v>221</v>
      </c>
      <c r="L161" s="6" t="s">
        <v>822</v>
      </c>
      <c r="M161" s="6" t="s">
        <v>3410</v>
      </c>
      <c r="N161" s="6"/>
      <c r="O161" s="6" t="s">
        <v>4569</v>
      </c>
      <c r="P161" s="6">
        <v>48</v>
      </c>
      <c r="Q161" s="6">
        <v>38579423</v>
      </c>
      <c r="R161" s="6">
        <v>0.08</v>
      </c>
      <c r="S161" s="6">
        <v>0.12</v>
      </c>
      <c r="T161" s="6">
        <v>39752237.460000001</v>
      </c>
      <c r="U161" s="6">
        <v>27000175.010000002</v>
      </c>
      <c r="V161" s="6">
        <v>0.36</v>
      </c>
      <c r="W161" s="6">
        <v>0.09</v>
      </c>
      <c r="X161" s="6" t="s">
        <v>823</v>
      </c>
      <c r="Y161" s="6">
        <v>31693734.02</v>
      </c>
      <c r="Z161" s="6">
        <v>29554961.670000002</v>
      </c>
      <c r="AA161" s="6">
        <v>90</v>
      </c>
      <c r="AB161" s="6">
        <v>129</v>
      </c>
      <c r="AC161" s="6" t="s">
        <v>347</v>
      </c>
      <c r="AD161" s="6" t="s">
        <v>320</v>
      </c>
      <c r="AE161" s="6">
        <v>0.72</v>
      </c>
      <c r="AF161" s="6" t="s">
        <v>162</v>
      </c>
      <c r="AG161" s="6">
        <v>0.15</v>
      </c>
      <c r="AH161" s="6">
        <v>0.03</v>
      </c>
      <c r="AI161" s="6">
        <v>7</v>
      </c>
      <c r="AJ161" s="6">
        <v>1457</v>
      </c>
      <c r="AK161" s="6">
        <v>938027.69</v>
      </c>
      <c r="AL161" s="6">
        <v>17776913.399999999</v>
      </c>
      <c r="AM161" s="6" t="s">
        <v>385</v>
      </c>
      <c r="AN161" s="6" t="s">
        <v>321</v>
      </c>
      <c r="AO161" s="6">
        <v>50.5</v>
      </c>
      <c r="AP161" s="6">
        <v>60</v>
      </c>
      <c r="AQ161" s="6"/>
      <c r="AR161" s="6" t="s">
        <v>224</v>
      </c>
      <c r="AS161" s="6" t="s">
        <v>361</v>
      </c>
    </row>
    <row r="162" spans="1:45" x14ac:dyDescent="0.3">
      <c r="A162" s="7" t="s">
        <v>824</v>
      </c>
      <c r="B162" s="7" t="s">
        <v>3324</v>
      </c>
      <c r="C162" s="7" t="s">
        <v>264</v>
      </c>
      <c r="D162" s="7" t="s">
        <v>394</v>
      </c>
      <c r="E162" s="7" t="s">
        <v>4306</v>
      </c>
      <c r="F162" s="7" t="s">
        <v>75</v>
      </c>
      <c r="G162" s="7" t="s">
        <v>23</v>
      </c>
      <c r="H162" s="7" t="s">
        <v>4340</v>
      </c>
      <c r="I162" s="7" t="s">
        <v>191</v>
      </c>
      <c r="J162" s="6" t="s">
        <v>133</v>
      </c>
      <c r="K162" s="7" t="s">
        <v>326</v>
      </c>
      <c r="L162" s="7" t="s">
        <v>825</v>
      </c>
      <c r="M162" s="7" t="s">
        <v>4570</v>
      </c>
      <c r="N162" s="7"/>
      <c r="O162" s="7" t="s">
        <v>4274</v>
      </c>
      <c r="P162" s="7">
        <v>44</v>
      </c>
      <c r="Q162" s="7">
        <v>29874525</v>
      </c>
      <c r="R162" s="7">
        <v>0.09</v>
      </c>
      <c r="S162" s="7">
        <v>0.02</v>
      </c>
      <c r="T162" s="7">
        <v>27729534.109999999</v>
      </c>
      <c r="U162" s="7">
        <v>17471551.43</v>
      </c>
      <c r="V162" s="7">
        <v>0.3</v>
      </c>
      <c r="W162" s="7">
        <v>0.17</v>
      </c>
      <c r="X162" s="7" t="s">
        <v>826</v>
      </c>
      <c r="Y162" s="7">
        <v>15096352.949999999</v>
      </c>
      <c r="Z162" s="7">
        <v>14283963.380000001</v>
      </c>
      <c r="AA162" s="7">
        <v>90</v>
      </c>
      <c r="AB162" s="7">
        <v>40</v>
      </c>
      <c r="AC162" s="7" t="s">
        <v>347</v>
      </c>
      <c r="AD162" s="7" t="s">
        <v>336</v>
      </c>
      <c r="AE162" s="7">
        <v>0.47</v>
      </c>
      <c r="AF162" s="7" t="s">
        <v>4294</v>
      </c>
      <c r="AG162" s="7">
        <v>0.15</v>
      </c>
      <c r="AH162" s="7">
        <v>0.08</v>
      </c>
      <c r="AI162" s="7">
        <v>11</v>
      </c>
      <c r="AJ162" s="7">
        <v>368</v>
      </c>
      <c r="AK162" s="7">
        <v>5466241.3700000001</v>
      </c>
      <c r="AL162" s="7">
        <v>13183711.859999999</v>
      </c>
      <c r="AM162" s="7" t="s">
        <v>321</v>
      </c>
      <c r="AN162" s="7" t="s">
        <v>348</v>
      </c>
      <c r="AO162" s="7"/>
      <c r="AP162" s="7">
        <v>12</v>
      </c>
      <c r="AQ162" s="7"/>
      <c r="AR162" s="7" t="s">
        <v>229</v>
      </c>
      <c r="AS162" s="7"/>
    </row>
    <row r="163" spans="1:45" x14ac:dyDescent="0.3">
      <c r="A163" s="6" t="s">
        <v>827</v>
      </c>
      <c r="B163" s="6" t="s">
        <v>3581</v>
      </c>
      <c r="C163" s="6" t="s">
        <v>234</v>
      </c>
      <c r="D163" s="6" t="s">
        <v>265</v>
      </c>
      <c r="E163" s="6" t="s">
        <v>4265</v>
      </c>
      <c r="F163" s="6" t="s">
        <v>363</v>
      </c>
      <c r="G163" s="6" t="s">
        <v>23</v>
      </c>
      <c r="H163" s="6" t="s">
        <v>4266</v>
      </c>
      <c r="I163" s="6" t="s">
        <v>240</v>
      </c>
      <c r="J163" s="6" t="s">
        <v>105</v>
      </c>
      <c r="K163" s="6" t="s">
        <v>326</v>
      </c>
      <c r="L163" s="6" t="s">
        <v>828</v>
      </c>
      <c r="M163" s="6" t="s">
        <v>2767</v>
      </c>
      <c r="N163" s="6"/>
      <c r="O163" s="6" t="s">
        <v>4274</v>
      </c>
      <c r="P163" s="6">
        <v>21</v>
      </c>
      <c r="Q163" s="6">
        <v>37972306</v>
      </c>
      <c r="R163" s="6">
        <v>0.31</v>
      </c>
      <c r="S163" s="6">
        <v>0.15</v>
      </c>
      <c r="T163" s="6">
        <v>30131024.809999999</v>
      </c>
      <c r="U163" s="6">
        <v>23644087.260000002</v>
      </c>
      <c r="V163" s="6">
        <v>0.37</v>
      </c>
      <c r="W163" s="6">
        <v>0.19</v>
      </c>
      <c r="X163" s="6" t="s">
        <v>829</v>
      </c>
      <c r="Y163" s="6">
        <v>9379102.3499999996</v>
      </c>
      <c r="Z163" s="6">
        <v>6407115.2999999998</v>
      </c>
      <c r="AA163" s="6">
        <v>45</v>
      </c>
      <c r="AB163" s="6">
        <v>15</v>
      </c>
      <c r="AC163" s="6" t="s">
        <v>353</v>
      </c>
      <c r="AD163" s="6" t="s">
        <v>226</v>
      </c>
      <c r="AE163" s="6">
        <v>0.56000000000000005</v>
      </c>
      <c r="AF163" s="6" t="s">
        <v>152</v>
      </c>
      <c r="AG163" s="6">
        <v>0.1</v>
      </c>
      <c r="AH163" s="6">
        <v>7.0000000000000007E-2</v>
      </c>
      <c r="AI163" s="6">
        <v>3</v>
      </c>
      <c r="AJ163" s="6">
        <v>3493</v>
      </c>
      <c r="AK163" s="6">
        <v>5226915.6100000003</v>
      </c>
      <c r="AL163" s="6">
        <v>12866701.41</v>
      </c>
      <c r="AM163" s="6" t="s">
        <v>73</v>
      </c>
      <c r="AN163" s="6" t="s">
        <v>321</v>
      </c>
      <c r="AO163" s="6">
        <v>58.9</v>
      </c>
      <c r="AP163" s="6">
        <v>12</v>
      </c>
      <c r="AQ163" s="6" t="s">
        <v>337</v>
      </c>
      <c r="AR163" s="6" t="s">
        <v>192</v>
      </c>
      <c r="AS163" s="6" t="s">
        <v>361</v>
      </c>
    </row>
    <row r="164" spans="1:45" x14ac:dyDescent="0.3">
      <c r="A164" s="7" t="s">
        <v>830</v>
      </c>
      <c r="B164" s="7" t="s">
        <v>4571</v>
      </c>
      <c r="C164" s="7" t="s">
        <v>272</v>
      </c>
      <c r="D164" s="7" t="s">
        <v>248</v>
      </c>
      <c r="E164" s="7" t="s">
        <v>41</v>
      </c>
      <c r="F164" s="7" t="s">
        <v>363</v>
      </c>
      <c r="G164" s="7" t="s">
        <v>28</v>
      </c>
      <c r="H164" s="7" t="s">
        <v>236</v>
      </c>
      <c r="I164" s="7" t="s">
        <v>4289</v>
      </c>
      <c r="J164" s="6" t="s">
        <v>130</v>
      </c>
      <c r="K164" s="7" t="s">
        <v>326</v>
      </c>
      <c r="L164" s="7" t="s">
        <v>831</v>
      </c>
      <c r="M164" s="7" t="s">
        <v>4572</v>
      </c>
      <c r="N164" s="7" t="s">
        <v>4573</v>
      </c>
      <c r="O164" s="7" t="s">
        <v>3583</v>
      </c>
      <c r="P164" s="7">
        <v>52</v>
      </c>
      <c r="Q164" s="7">
        <v>44213625</v>
      </c>
      <c r="R164" s="7">
        <v>0.06</v>
      </c>
      <c r="S164" s="7">
        <v>-0.01</v>
      </c>
      <c r="T164" s="7">
        <v>41145199.420000002</v>
      </c>
      <c r="U164" s="7">
        <v>33923601.799999997</v>
      </c>
      <c r="V164" s="7">
        <v>0.13</v>
      </c>
      <c r="W164" s="7">
        <v>0.05</v>
      </c>
      <c r="X164" s="7" t="s">
        <v>832</v>
      </c>
      <c r="Y164" s="7">
        <v>17679725.329999998</v>
      </c>
      <c r="Z164" s="7">
        <v>16574399.359999999</v>
      </c>
      <c r="AA164" s="7">
        <v>90</v>
      </c>
      <c r="AB164" s="7">
        <v>18</v>
      </c>
      <c r="AC164" s="7" t="s">
        <v>329</v>
      </c>
      <c r="AD164" s="7" t="s">
        <v>226</v>
      </c>
      <c r="AE164" s="7">
        <v>0.16</v>
      </c>
      <c r="AF164" s="7" t="s">
        <v>4303</v>
      </c>
      <c r="AG164" s="7">
        <v>0.1</v>
      </c>
      <c r="AH164" s="7">
        <v>0.1</v>
      </c>
      <c r="AI164" s="7">
        <v>8</v>
      </c>
      <c r="AJ164" s="7">
        <v>498</v>
      </c>
      <c r="AK164" s="7">
        <v>4237851.17</v>
      </c>
      <c r="AL164" s="7">
        <v>16929552.359999999</v>
      </c>
      <c r="AM164" s="7" t="s">
        <v>343</v>
      </c>
      <c r="AN164" s="7"/>
      <c r="AO164" s="7"/>
      <c r="AP164" s="7">
        <v>48</v>
      </c>
      <c r="AQ164" s="7" t="s">
        <v>387</v>
      </c>
      <c r="AR164" s="7" t="s">
        <v>224</v>
      </c>
      <c r="AS164" s="7" t="s">
        <v>357</v>
      </c>
    </row>
    <row r="165" spans="1:45" x14ac:dyDescent="0.3">
      <c r="A165" s="6" t="s">
        <v>833</v>
      </c>
      <c r="B165" s="6" t="s">
        <v>4574</v>
      </c>
      <c r="C165" s="6" t="s">
        <v>270</v>
      </c>
      <c r="D165" s="6" t="s">
        <v>265</v>
      </c>
      <c r="E165" s="6" t="s">
        <v>113</v>
      </c>
      <c r="F165" s="6" t="s">
        <v>367</v>
      </c>
      <c r="G165" s="6" t="s">
        <v>78</v>
      </c>
      <c r="H165" s="6" t="s">
        <v>236</v>
      </c>
      <c r="I165" s="6" t="s">
        <v>198</v>
      </c>
      <c r="J165" s="6" t="s">
        <v>123</v>
      </c>
      <c r="K165" s="6" t="s">
        <v>199</v>
      </c>
      <c r="L165" s="6" t="s">
        <v>834</v>
      </c>
      <c r="M165" s="6" t="s">
        <v>3584</v>
      </c>
      <c r="N165" s="6" t="s">
        <v>4335</v>
      </c>
      <c r="O165" s="6" t="s">
        <v>4575</v>
      </c>
      <c r="P165" s="6">
        <v>5</v>
      </c>
      <c r="Q165" s="6">
        <v>9447689</v>
      </c>
      <c r="R165" s="6">
        <v>0.05</v>
      </c>
      <c r="S165" s="6">
        <v>0.12</v>
      </c>
      <c r="T165" s="6">
        <v>10052341.1</v>
      </c>
      <c r="U165" s="6">
        <v>6554870.8799999999</v>
      </c>
      <c r="V165" s="6">
        <v>0.19</v>
      </c>
      <c r="W165" s="6">
        <v>0.11</v>
      </c>
      <c r="X165" s="6" t="s">
        <v>835</v>
      </c>
      <c r="Y165" s="6">
        <v>1725133.45</v>
      </c>
      <c r="Z165" s="6">
        <v>1529270.8</v>
      </c>
      <c r="AA165" s="6">
        <v>90</v>
      </c>
      <c r="AB165" s="6">
        <v>96</v>
      </c>
      <c r="AC165" s="6" t="s">
        <v>342</v>
      </c>
      <c r="AD165" s="6" t="s">
        <v>320</v>
      </c>
      <c r="AE165" s="6">
        <v>0.1</v>
      </c>
      <c r="AF165" s="6" t="s">
        <v>159</v>
      </c>
      <c r="AG165" s="6">
        <v>0.05</v>
      </c>
      <c r="AH165" s="6">
        <v>7.0000000000000007E-2</v>
      </c>
      <c r="AI165" s="6">
        <v>2</v>
      </c>
      <c r="AJ165" s="6">
        <v>3480</v>
      </c>
      <c r="AK165" s="6">
        <v>829522.7</v>
      </c>
      <c r="AL165" s="6">
        <v>2523380</v>
      </c>
      <c r="AM165" s="6" t="s">
        <v>355</v>
      </c>
      <c r="AN165" s="6" t="s">
        <v>330</v>
      </c>
      <c r="AO165" s="6">
        <v>91.5</v>
      </c>
      <c r="AP165" s="6">
        <v>24</v>
      </c>
      <c r="AQ165" s="6" t="s">
        <v>387</v>
      </c>
      <c r="AR165" s="6" t="s">
        <v>192</v>
      </c>
      <c r="AS165" s="6" t="s">
        <v>357</v>
      </c>
    </row>
    <row r="166" spans="1:45" x14ac:dyDescent="0.3">
      <c r="A166" s="7" t="s">
        <v>836</v>
      </c>
      <c r="B166" s="7" t="s">
        <v>4576</v>
      </c>
      <c r="C166" s="7" t="s">
        <v>208</v>
      </c>
      <c r="D166" s="7" t="s">
        <v>255</v>
      </c>
      <c r="E166" s="7" t="s">
        <v>36</v>
      </c>
      <c r="F166" s="7" t="s">
        <v>19</v>
      </c>
      <c r="G166" s="7" t="s">
        <v>46</v>
      </c>
      <c r="H166" s="7" t="s">
        <v>4271</v>
      </c>
      <c r="I166" s="7" t="s">
        <v>4289</v>
      </c>
      <c r="J166" s="7" t="s">
        <v>115</v>
      </c>
      <c r="K166" s="7" t="s">
        <v>184</v>
      </c>
      <c r="L166" s="7" t="s">
        <v>837</v>
      </c>
      <c r="M166" s="7" t="s">
        <v>4577</v>
      </c>
      <c r="N166" s="7"/>
      <c r="O166" s="7" t="s">
        <v>4578</v>
      </c>
      <c r="P166" s="7" t="s">
        <v>4275</v>
      </c>
      <c r="Q166" s="7">
        <v>46667962</v>
      </c>
      <c r="R166" s="7">
        <v>0.17</v>
      </c>
      <c r="S166" s="7">
        <v>0.03</v>
      </c>
      <c r="T166" s="7">
        <v>39896440.710000001</v>
      </c>
      <c r="U166" s="7">
        <v>35230661.380000003</v>
      </c>
      <c r="V166" s="7" t="s">
        <v>4374</v>
      </c>
      <c r="W166" s="7">
        <v>0.1</v>
      </c>
      <c r="X166" s="7" t="s">
        <v>838</v>
      </c>
      <c r="Y166" s="7" t="s">
        <v>158</v>
      </c>
      <c r="Z166" s="7">
        <v>22854946.050000001</v>
      </c>
      <c r="AA166" s="7">
        <v>45</v>
      </c>
      <c r="AB166" s="7">
        <v>14</v>
      </c>
      <c r="AC166" s="7" t="s">
        <v>347</v>
      </c>
      <c r="AD166" s="7" t="s">
        <v>406</v>
      </c>
      <c r="AE166" s="7">
        <v>0.81</v>
      </c>
      <c r="AF166" s="7" t="s">
        <v>4276</v>
      </c>
      <c r="AG166" s="7">
        <v>0.15</v>
      </c>
      <c r="AH166" s="7">
        <v>0.05</v>
      </c>
      <c r="AI166" s="7">
        <v>8</v>
      </c>
      <c r="AJ166" s="7">
        <v>1071</v>
      </c>
      <c r="AK166" s="7">
        <v>1691503.85</v>
      </c>
      <c r="AL166" s="7">
        <v>15822151.869999999</v>
      </c>
      <c r="AM166" s="7" t="s">
        <v>385</v>
      </c>
      <c r="AN166" s="7" t="s">
        <v>386</v>
      </c>
      <c r="AO166" s="7">
        <v>75</v>
      </c>
      <c r="AP166" s="7">
        <v>24</v>
      </c>
      <c r="AQ166" s="7" t="s">
        <v>387</v>
      </c>
      <c r="AR166" s="7" t="s">
        <v>224</v>
      </c>
      <c r="AS166" s="7" t="s">
        <v>324</v>
      </c>
    </row>
    <row r="167" spans="1:45" x14ac:dyDescent="0.3">
      <c r="A167" s="6" t="s">
        <v>839</v>
      </c>
      <c r="B167" s="6" t="s">
        <v>3587</v>
      </c>
      <c r="C167" s="6" t="s">
        <v>235</v>
      </c>
      <c r="D167" s="6" t="s">
        <v>245</v>
      </c>
      <c r="E167" s="6" t="s">
        <v>4265</v>
      </c>
      <c r="F167" s="6"/>
      <c r="G167" s="6" t="s">
        <v>46</v>
      </c>
      <c r="H167" s="6" t="s">
        <v>212</v>
      </c>
      <c r="I167" s="6" t="s">
        <v>213</v>
      </c>
      <c r="J167" s="6" t="s">
        <v>130</v>
      </c>
      <c r="K167" s="6" t="s">
        <v>333</v>
      </c>
      <c r="L167" s="6" t="s">
        <v>840</v>
      </c>
      <c r="M167" s="6" t="s">
        <v>4579</v>
      </c>
      <c r="N167" s="6"/>
      <c r="O167" s="6" t="s">
        <v>3589</v>
      </c>
      <c r="P167" s="6">
        <v>32</v>
      </c>
      <c r="Q167" s="6">
        <v>45993342</v>
      </c>
      <c r="R167" s="6">
        <v>0.17</v>
      </c>
      <c r="S167" s="6">
        <v>0.17</v>
      </c>
      <c r="T167" s="6">
        <v>44664134.420000002</v>
      </c>
      <c r="U167" s="6">
        <v>39314121.090000004</v>
      </c>
      <c r="V167" s="6">
        <v>0.15</v>
      </c>
      <c r="W167" s="6">
        <v>0.1</v>
      </c>
      <c r="X167" s="6" t="s">
        <v>841</v>
      </c>
      <c r="Y167" s="6">
        <v>5774949.0999999996</v>
      </c>
      <c r="Z167" s="6">
        <v>5051753.18</v>
      </c>
      <c r="AA167" s="6">
        <v>45</v>
      </c>
      <c r="AB167" s="6">
        <v>175</v>
      </c>
      <c r="AC167" s="6" t="s">
        <v>347</v>
      </c>
      <c r="AD167" s="6" t="s">
        <v>381</v>
      </c>
      <c r="AE167" s="6">
        <v>0.66</v>
      </c>
      <c r="AF167" s="6" t="s">
        <v>4312</v>
      </c>
      <c r="AG167" s="6">
        <v>0.15</v>
      </c>
      <c r="AH167" s="6">
        <v>0.02</v>
      </c>
      <c r="AI167" s="6">
        <v>10</v>
      </c>
      <c r="AJ167" s="6">
        <v>2107</v>
      </c>
      <c r="AK167" s="6">
        <v>5434304.8499999996</v>
      </c>
      <c r="AL167" s="6">
        <v>21257081.350000001</v>
      </c>
      <c r="AM167" s="6" t="s">
        <v>355</v>
      </c>
      <c r="AN167" s="6" t="s">
        <v>321</v>
      </c>
      <c r="AO167" s="6"/>
      <c r="AP167" s="6">
        <v>48</v>
      </c>
      <c r="AQ167" s="6" t="s">
        <v>387</v>
      </c>
      <c r="AR167" s="6" t="s">
        <v>224</v>
      </c>
      <c r="AS167" s="6" t="s">
        <v>377</v>
      </c>
    </row>
    <row r="168" spans="1:45" x14ac:dyDescent="0.3">
      <c r="A168" s="7" t="s">
        <v>842</v>
      </c>
      <c r="B168" s="7" t="s">
        <v>3590</v>
      </c>
      <c r="C168" s="7" t="s">
        <v>270</v>
      </c>
      <c r="D168" s="7" t="s">
        <v>209</v>
      </c>
      <c r="E168" s="7" t="s">
        <v>20</v>
      </c>
      <c r="F168" s="7" t="s">
        <v>35</v>
      </c>
      <c r="G168" s="7" t="s">
        <v>70</v>
      </c>
      <c r="H168" s="7" t="s">
        <v>212</v>
      </c>
      <c r="I168" s="7" t="s">
        <v>4291</v>
      </c>
      <c r="J168" s="7" t="s">
        <v>136</v>
      </c>
      <c r="K168" s="7" t="s">
        <v>333</v>
      </c>
      <c r="L168" s="7" t="s">
        <v>843</v>
      </c>
      <c r="M168" s="7" t="s">
        <v>4580</v>
      </c>
      <c r="N168" s="7"/>
      <c r="O168" s="7" t="s">
        <v>4274</v>
      </c>
      <c r="P168" s="7">
        <v>28</v>
      </c>
      <c r="Q168" s="7">
        <v>24810985</v>
      </c>
      <c r="R168" s="7">
        <v>0.18</v>
      </c>
      <c r="S168" s="7">
        <v>0.11</v>
      </c>
      <c r="T168" s="7">
        <v>22582958.550000001</v>
      </c>
      <c r="U168" s="7">
        <v>14901168.73</v>
      </c>
      <c r="V168" s="7">
        <v>0.16</v>
      </c>
      <c r="W168" s="7">
        <v>0.2</v>
      </c>
      <c r="X168" s="7" t="s">
        <v>844</v>
      </c>
      <c r="Y168" s="7">
        <v>7149733.0300000003</v>
      </c>
      <c r="Z168" s="7">
        <v>2622468.0099999998</v>
      </c>
      <c r="AA168" s="7">
        <v>90</v>
      </c>
      <c r="AB168" s="7">
        <v>130</v>
      </c>
      <c r="AC168" s="7" t="s">
        <v>376</v>
      </c>
      <c r="AD168" s="7" t="s">
        <v>354</v>
      </c>
      <c r="AE168" s="7">
        <v>0.47</v>
      </c>
      <c r="AF168" s="7" t="s">
        <v>153</v>
      </c>
      <c r="AG168" s="7">
        <v>0.15</v>
      </c>
      <c r="AH168" s="7">
        <v>0.01</v>
      </c>
      <c r="AI168" s="7">
        <v>1</v>
      </c>
      <c r="AJ168" s="7"/>
      <c r="AK168" s="7">
        <v>2892708.42</v>
      </c>
      <c r="AL168" s="7">
        <v>5150600.32</v>
      </c>
      <c r="AM168" s="7" t="s">
        <v>391</v>
      </c>
      <c r="AN168" s="7" t="s">
        <v>330</v>
      </c>
      <c r="AO168" s="7">
        <v>87.1</v>
      </c>
      <c r="AP168" s="7" t="s">
        <v>4275</v>
      </c>
      <c r="AQ168" s="7" t="s">
        <v>337</v>
      </c>
      <c r="AR168" s="7" t="s">
        <v>224</v>
      </c>
      <c r="AS168" s="7"/>
    </row>
    <row r="169" spans="1:45" x14ac:dyDescent="0.3">
      <c r="A169" s="6" t="s">
        <v>845</v>
      </c>
      <c r="B169" s="6" t="s">
        <v>4469</v>
      </c>
      <c r="C169" s="6" t="s">
        <v>247</v>
      </c>
      <c r="D169" s="6" t="s">
        <v>248</v>
      </c>
      <c r="E169" s="6"/>
      <c r="F169" s="6" t="s">
        <v>31</v>
      </c>
      <c r="G169" s="6" t="s">
        <v>78</v>
      </c>
      <c r="H169" s="6" t="s">
        <v>4280</v>
      </c>
      <c r="I169" s="6" t="s">
        <v>4291</v>
      </c>
      <c r="J169" s="6" t="s">
        <v>130</v>
      </c>
      <c r="K169" s="6" t="s">
        <v>204</v>
      </c>
      <c r="L169" s="6" t="s">
        <v>846</v>
      </c>
      <c r="M169" s="6" t="s">
        <v>4581</v>
      </c>
      <c r="N169" s="6" t="s">
        <v>3591</v>
      </c>
      <c r="O169" s="6" t="s">
        <v>4582</v>
      </c>
      <c r="P169" s="6" t="s">
        <v>4275</v>
      </c>
      <c r="Q169" s="6">
        <v>14393047</v>
      </c>
      <c r="R169" s="6">
        <v>0.31</v>
      </c>
      <c r="S169" s="6">
        <v>0.19</v>
      </c>
      <c r="T169" s="6">
        <v>11818130.890000001</v>
      </c>
      <c r="U169" s="6">
        <v>9276685.7100000009</v>
      </c>
      <c r="V169" s="6">
        <v>0.4</v>
      </c>
      <c r="W169" s="6">
        <v>0.19</v>
      </c>
      <c r="X169" s="6" t="s">
        <v>847</v>
      </c>
      <c r="Y169" s="6">
        <v>7458667.3300000001</v>
      </c>
      <c r="Z169" s="6">
        <v>3847766.03</v>
      </c>
      <c r="AA169" s="6">
        <v>45</v>
      </c>
      <c r="AB169" s="6">
        <v>22</v>
      </c>
      <c r="AC169" s="6" t="s">
        <v>342</v>
      </c>
      <c r="AD169" s="6" t="s">
        <v>455</v>
      </c>
      <c r="AE169" s="6">
        <v>0.18</v>
      </c>
      <c r="AF169" s="6" t="s">
        <v>162</v>
      </c>
      <c r="AG169" s="6">
        <v>0.1</v>
      </c>
      <c r="AH169" s="6">
        <v>0.05</v>
      </c>
      <c r="AI169" s="6">
        <v>9</v>
      </c>
      <c r="AJ169" s="6">
        <v>4101</v>
      </c>
      <c r="AK169" s="6">
        <v>545165.43000000005</v>
      </c>
      <c r="AL169" s="6">
        <v>3102905.28</v>
      </c>
      <c r="AM169" s="6" t="s">
        <v>391</v>
      </c>
      <c r="AN169" s="6" t="s">
        <v>356</v>
      </c>
      <c r="AO169" s="6">
        <v>86.7</v>
      </c>
      <c r="AP169" s="6">
        <v>12</v>
      </c>
      <c r="AQ169" s="6"/>
      <c r="AR169" s="6" t="s">
        <v>192</v>
      </c>
      <c r="AS169" s="6" t="s">
        <v>377</v>
      </c>
    </row>
    <row r="170" spans="1:45" x14ac:dyDescent="0.3">
      <c r="A170" s="7" t="s">
        <v>848</v>
      </c>
      <c r="B170" s="7" t="s">
        <v>3314</v>
      </c>
      <c r="C170" s="7" t="s">
        <v>256</v>
      </c>
      <c r="D170" s="7" t="s">
        <v>242</v>
      </c>
      <c r="E170" s="7" t="s">
        <v>20</v>
      </c>
      <c r="F170" s="7" t="s">
        <v>35</v>
      </c>
      <c r="G170" s="7" t="s">
        <v>16</v>
      </c>
      <c r="H170" s="7" t="s">
        <v>212</v>
      </c>
      <c r="I170" s="7" t="s">
        <v>240</v>
      </c>
      <c r="J170" s="7" t="s">
        <v>136</v>
      </c>
      <c r="K170" s="7" t="s">
        <v>210</v>
      </c>
      <c r="L170" s="7" t="s">
        <v>849</v>
      </c>
      <c r="M170" s="7" t="s">
        <v>4583</v>
      </c>
      <c r="N170" s="7" t="s">
        <v>3541</v>
      </c>
      <c r="O170" s="7" t="s">
        <v>4584</v>
      </c>
      <c r="P170" s="7">
        <v>47</v>
      </c>
      <c r="Q170" s="7">
        <v>12793444</v>
      </c>
      <c r="R170" s="7">
        <v>0.15</v>
      </c>
      <c r="S170" s="7">
        <v>0.09</v>
      </c>
      <c r="T170" s="7">
        <v>11853125.869999999</v>
      </c>
      <c r="U170" s="7">
        <v>9366721.3800000008</v>
      </c>
      <c r="V170" s="7">
        <v>0.38</v>
      </c>
      <c r="W170" s="7">
        <v>0.19</v>
      </c>
      <c r="X170" s="7" t="s">
        <v>850</v>
      </c>
      <c r="Y170" s="7">
        <v>2266150.23</v>
      </c>
      <c r="Z170" s="7">
        <v>1364325</v>
      </c>
      <c r="AA170" s="7">
        <v>60</v>
      </c>
      <c r="AB170" s="7">
        <v>54</v>
      </c>
      <c r="AC170" s="7" t="s">
        <v>376</v>
      </c>
      <c r="AD170" s="7" t="s">
        <v>336</v>
      </c>
      <c r="AE170" s="7">
        <v>0.95</v>
      </c>
      <c r="AF170" s="7" t="s">
        <v>4319</v>
      </c>
      <c r="AG170" s="7">
        <v>0.15</v>
      </c>
      <c r="AH170" s="7">
        <v>0.06</v>
      </c>
      <c r="AI170" s="7">
        <v>0</v>
      </c>
      <c r="AJ170" s="7"/>
      <c r="AK170" s="7">
        <v>519704.09</v>
      </c>
      <c r="AL170" s="7">
        <v>4143026.36</v>
      </c>
      <c r="AM170" s="7" t="s">
        <v>385</v>
      </c>
      <c r="AN170" s="7" t="s">
        <v>321</v>
      </c>
      <c r="AO170" s="7">
        <v>90.3</v>
      </c>
      <c r="AP170" s="7">
        <v>48</v>
      </c>
      <c r="AQ170" s="7"/>
      <c r="AR170" s="7" t="s">
        <v>224</v>
      </c>
      <c r="AS170" s="7" t="s">
        <v>361</v>
      </c>
    </row>
    <row r="171" spans="1:45" x14ac:dyDescent="0.3">
      <c r="A171" s="6" t="s">
        <v>851</v>
      </c>
      <c r="B171" s="6" t="s">
        <v>4585</v>
      </c>
      <c r="C171" s="6" t="s">
        <v>278</v>
      </c>
      <c r="D171" s="6" t="s">
        <v>248</v>
      </c>
      <c r="E171" s="6" t="s">
        <v>4265</v>
      </c>
      <c r="F171" s="6" t="s">
        <v>363</v>
      </c>
      <c r="G171" s="6" t="s">
        <v>73</v>
      </c>
      <c r="H171" s="6" t="s">
        <v>216</v>
      </c>
      <c r="I171" s="6" t="s">
        <v>4291</v>
      </c>
      <c r="J171" s="6" t="s">
        <v>130</v>
      </c>
      <c r="K171" s="6" t="s">
        <v>223</v>
      </c>
      <c r="L171" s="6" t="s">
        <v>852</v>
      </c>
      <c r="M171" s="6" t="s">
        <v>4586</v>
      </c>
      <c r="N171" s="6" t="s">
        <v>3594</v>
      </c>
      <c r="O171" s="6" t="s">
        <v>4587</v>
      </c>
      <c r="P171" s="6">
        <v>28</v>
      </c>
      <c r="Q171" s="6">
        <v>30709694</v>
      </c>
      <c r="R171" s="6">
        <v>0.2</v>
      </c>
      <c r="S171" s="6">
        <v>-0.02</v>
      </c>
      <c r="T171" s="6">
        <v>24076400.100000001</v>
      </c>
      <c r="U171" s="6">
        <v>20233794.460000001</v>
      </c>
      <c r="V171" s="6">
        <v>0.1</v>
      </c>
      <c r="W171" s="6">
        <v>0.15</v>
      </c>
      <c r="X171" s="6" t="s">
        <v>853</v>
      </c>
      <c r="Y171" s="6">
        <v>18728820.66</v>
      </c>
      <c r="Z171" s="6">
        <v>19860812.989999998</v>
      </c>
      <c r="AA171" s="6">
        <v>60</v>
      </c>
      <c r="AB171" s="6">
        <v>119</v>
      </c>
      <c r="AC171" s="6" t="s">
        <v>376</v>
      </c>
      <c r="AD171" s="6" t="s">
        <v>455</v>
      </c>
      <c r="AE171" s="6">
        <v>0.44</v>
      </c>
      <c r="AF171" s="6" t="s">
        <v>155</v>
      </c>
      <c r="AG171" s="6">
        <v>0.15</v>
      </c>
      <c r="AH171" s="6">
        <v>7.0000000000000007E-2</v>
      </c>
      <c r="AI171" s="6">
        <v>12</v>
      </c>
      <c r="AJ171" s="6">
        <v>1044</v>
      </c>
      <c r="AK171" s="6">
        <v>3978178.4</v>
      </c>
      <c r="AL171" s="6">
        <v>10526498.039999999</v>
      </c>
      <c r="AM171" s="6" t="s">
        <v>391</v>
      </c>
      <c r="AN171" s="6" t="s">
        <v>356</v>
      </c>
      <c r="AO171" s="6">
        <v>95.2</v>
      </c>
      <c r="AP171" s="6">
        <v>36</v>
      </c>
      <c r="AQ171" s="6" t="s">
        <v>392</v>
      </c>
      <c r="AR171" s="6" t="s">
        <v>229</v>
      </c>
      <c r="AS171" s="6"/>
    </row>
    <row r="172" spans="1:45" x14ac:dyDescent="0.3">
      <c r="A172" s="7" t="s">
        <v>854</v>
      </c>
      <c r="B172" s="7" t="s">
        <v>4588</v>
      </c>
      <c r="C172" s="7" t="s">
        <v>282</v>
      </c>
      <c r="D172" s="7" t="s">
        <v>274</v>
      </c>
      <c r="E172" s="7" t="s">
        <v>20</v>
      </c>
      <c r="F172" s="7" t="s">
        <v>35</v>
      </c>
      <c r="G172" s="7" t="s">
        <v>46</v>
      </c>
      <c r="H172" s="7" t="s">
        <v>236</v>
      </c>
      <c r="I172" s="7" t="s">
        <v>183</v>
      </c>
      <c r="J172" s="7" t="s">
        <v>136</v>
      </c>
      <c r="K172" s="7" t="s">
        <v>204</v>
      </c>
      <c r="L172" s="7" t="s">
        <v>855</v>
      </c>
      <c r="M172" s="7" t="s">
        <v>4589</v>
      </c>
      <c r="N172" s="7" t="s">
        <v>3596</v>
      </c>
      <c r="O172" s="7" t="s">
        <v>4274</v>
      </c>
      <c r="P172" s="7">
        <v>10</v>
      </c>
      <c r="Q172" s="7">
        <v>42404370</v>
      </c>
      <c r="R172" s="7">
        <v>0.27</v>
      </c>
      <c r="S172" s="7">
        <v>-0.01</v>
      </c>
      <c r="T172" s="7">
        <v>30645638.199999999</v>
      </c>
      <c r="U172" s="7">
        <v>20984260.940000001</v>
      </c>
      <c r="V172" s="7">
        <v>0.08</v>
      </c>
      <c r="W172" s="7">
        <v>0.12</v>
      </c>
      <c r="X172" s="7" t="s">
        <v>856</v>
      </c>
      <c r="Y172" s="7">
        <v>17633031.23</v>
      </c>
      <c r="Z172" s="7">
        <v>12959184.52</v>
      </c>
      <c r="AA172" s="7">
        <v>30</v>
      </c>
      <c r="AB172" s="7">
        <v>147</v>
      </c>
      <c r="AC172" s="7" t="s">
        <v>353</v>
      </c>
      <c r="AD172" s="7" t="s">
        <v>455</v>
      </c>
      <c r="AE172" s="7">
        <v>0.41</v>
      </c>
      <c r="AF172" s="7" t="s">
        <v>4361</v>
      </c>
      <c r="AG172" s="7">
        <v>0.15</v>
      </c>
      <c r="AH172" s="7">
        <v>0.08</v>
      </c>
      <c r="AI172" s="7">
        <v>14</v>
      </c>
      <c r="AJ172" s="7"/>
      <c r="AK172" s="7"/>
      <c r="AL172" s="7">
        <v>4000024.19</v>
      </c>
      <c r="AM172" s="7"/>
      <c r="AN172" s="7" t="s">
        <v>386</v>
      </c>
      <c r="AO172" s="7">
        <v>60.4</v>
      </c>
      <c r="AP172" s="7">
        <v>48</v>
      </c>
      <c r="AQ172" s="7" t="s">
        <v>392</v>
      </c>
      <c r="AR172" s="7" t="s">
        <v>224</v>
      </c>
      <c r="AS172" s="7" t="s">
        <v>357</v>
      </c>
    </row>
    <row r="173" spans="1:45" x14ac:dyDescent="0.3">
      <c r="A173" s="6" t="s">
        <v>857</v>
      </c>
      <c r="B173" s="6" t="s">
        <v>4590</v>
      </c>
      <c r="C173" s="6" t="s">
        <v>231</v>
      </c>
      <c r="D173" s="6" t="s">
        <v>281</v>
      </c>
      <c r="E173" s="6" t="s">
        <v>52</v>
      </c>
      <c r="F173" s="6" t="s">
        <v>75</v>
      </c>
      <c r="G173" s="6" t="s">
        <v>80</v>
      </c>
      <c r="H173" s="6" t="s">
        <v>263</v>
      </c>
      <c r="I173" s="6" t="s">
        <v>183</v>
      </c>
      <c r="J173" s="6" t="s">
        <v>119</v>
      </c>
      <c r="K173" s="6" t="s">
        <v>204</v>
      </c>
      <c r="L173" s="6" t="s">
        <v>858</v>
      </c>
      <c r="M173" s="6" t="s">
        <v>4339</v>
      </c>
      <c r="N173" s="6" t="s">
        <v>4591</v>
      </c>
      <c r="O173" s="6" t="s">
        <v>4430</v>
      </c>
      <c r="P173" s="6">
        <v>54</v>
      </c>
      <c r="Q173" s="6">
        <v>38270445</v>
      </c>
      <c r="R173" s="6">
        <v>0.22</v>
      </c>
      <c r="S173" s="6">
        <v>0.16</v>
      </c>
      <c r="T173" s="6">
        <v>34627098.640000001</v>
      </c>
      <c r="U173" s="6">
        <v>26101801.829999998</v>
      </c>
      <c r="V173" s="6">
        <v>0.12</v>
      </c>
      <c r="W173" s="6">
        <v>0.08</v>
      </c>
      <c r="X173" s="6" t="s">
        <v>859</v>
      </c>
      <c r="Y173" s="6">
        <v>5181116.6399999997</v>
      </c>
      <c r="Z173" s="6">
        <v>2975247.74</v>
      </c>
      <c r="AA173" s="6">
        <v>60</v>
      </c>
      <c r="AB173" s="6">
        <v>124</v>
      </c>
      <c r="AC173" s="6" t="s">
        <v>376</v>
      </c>
      <c r="AD173" s="6" t="s">
        <v>354</v>
      </c>
      <c r="AE173" s="6">
        <v>0.99</v>
      </c>
      <c r="AF173" s="6" t="s">
        <v>4312</v>
      </c>
      <c r="AG173" s="6">
        <v>0.15</v>
      </c>
      <c r="AH173" s="6">
        <v>0.06</v>
      </c>
      <c r="AI173" s="6">
        <v>5</v>
      </c>
      <c r="AJ173" s="6">
        <v>4823</v>
      </c>
      <c r="AK173" s="6">
        <v>7016935.3799999999</v>
      </c>
      <c r="AL173" s="6">
        <v>10219589.66</v>
      </c>
      <c r="AM173" s="6" t="s">
        <v>73</v>
      </c>
      <c r="AN173" s="6" t="s">
        <v>356</v>
      </c>
      <c r="AO173" s="6">
        <v>85.9</v>
      </c>
      <c r="AP173" s="6">
        <v>48</v>
      </c>
      <c r="AQ173" s="6" t="s">
        <v>4275</v>
      </c>
      <c r="AR173" s="6" t="s">
        <v>229</v>
      </c>
      <c r="AS173" s="6"/>
    </row>
    <row r="174" spans="1:45" x14ac:dyDescent="0.3">
      <c r="A174" s="7" t="s">
        <v>860</v>
      </c>
      <c r="B174" s="7" t="s">
        <v>3430</v>
      </c>
      <c r="C174" s="7" t="s">
        <v>231</v>
      </c>
      <c r="D174" s="7" t="s">
        <v>238</v>
      </c>
      <c r="E174" s="7" t="s">
        <v>4265</v>
      </c>
      <c r="F174" s="7" t="s">
        <v>350</v>
      </c>
      <c r="G174" s="7"/>
      <c r="H174" s="7" t="s">
        <v>236</v>
      </c>
      <c r="I174" s="7" t="s">
        <v>4289</v>
      </c>
      <c r="J174" s="6" t="s">
        <v>130</v>
      </c>
      <c r="K174" s="7" t="s">
        <v>184</v>
      </c>
      <c r="L174" s="7" t="s">
        <v>861</v>
      </c>
      <c r="M174" s="7" t="s">
        <v>4592</v>
      </c>
      <c r="N174" s="7" t="s">
        <v>4593</v>
      </c>
      <c r="O174" s="7" t="s">
        <v>3599</v>
      </c>
      <c r="P174" s="7">
        <v>41</v>
      </c>
      <c r="Q174" s="7">
        <v>38260257</v>
      </c>
      <c r="R174" s="7">
        <v>0.13</v>
      </c>
      <c r="S174" s="7">
        <v>0.17</v>
      </c>
      <c r="T174" s="7">
        <v>38945115.600000001</v>
      </c>
      <c r="U174" s="7">
        <v>25907810.760000002</v>
      </c>
      <c r="V174" s="7">
        <v>0.3</v>
      </c>
      <c r="W174" s="7">
        <v>0.19</v>
      </c>
      <c r="X174" s="7" t="s">
        <v>862</v>
      </c>
      <c r="Y174" s="7">
        <v>29070209.079999998</v>
      </c>
      <c r="Z174" s="7">
        <v>19172462.989999998</v>
      </c>
      <c r="AA174" s="7">
        <v>30</v>
      </c>
      <c r="AB174" s="7">
        <v>131</v>
      </c>
      <c r="AC174" s="7" t="s">
        <v>353</v>
      </c>
      <c r="AD174" s="7" t="s">
        <v>406</v>
      </c>
      <c r="AE174" s="7">
        <v>0.28999999999999998</v>
      </c>
      <c r="AF174" s="7" t="s">
        <v>4276</v>
      </c>
      <c r="AG174" s="7">
        <v>0.1</v>
      </c>
      <c r="AH174" s="7">
        <v>0.04</v>
      </c>
      <c r="AI174" s="7">
        <v>11</v>
      </c>
      <c r="AJ174" s="7">
        <v>2613</v>
      </c>
      <c r="AK174" s="7">
        <v>2553810.1800000002</v>
      </c>
      <c r="AL174" s="7"/>
      <c r="AM174" s="7" t="s">
        <v>385</v>
      </c>
      <c r="AN174" s="7"/>
      <c r="AO174" s="7">
        <v>53.7</v>
      </c>
      <c r="AP174" s="7">
        <v>12</v>
      </c>
      <c r="AQ174" s="7" t="s">
        <v>387</v>
      </c>
      <c r="AR174" s="7" t="s">
        <v>206</v>
      </c>
      <c r="AS174" s="7" t="s">
        <v>357</v>
      </c>
    </row>
    <row r="175" spans="1:45" x14ac:dyDescent="0.3">
      <c r="A175" s="6" t="s">
        <v>863</v>
      </c>
      <c r="B175" s="6" t="s">
        <v>4498</v>
      </c>
      <c r="C175" s="6" t="s">
        <v>211</v>
      </c>
      <c r="D175" s="6" t="s">
        <v>245</v>
      </c>
      <c r="E175" s="6" t="s">
        <v>52</v>
      </c>
      <c r="F175" s="6"/>
      <c r="G175" s="6" t="s">
        <v>23</v>
      </c>
      <c r="H175" s="6" t="s">
        <v>4340</v>
      </c>
      <c r="I175" s="6" t="s">
        <v>203</v>
      </c>
      <c r="J175" s="6" t="s">
        <v>133</v>
      </c>
      <c r="K175" s="6" t="s">
        <v>333</v>
      </c>
      <c r="L175" s="6" t="s">
        <v>864</v>
      </c>
      <c r="M175" s="6" t="s">
        <v>3600</v>
      </c>
      <c r="N175" s="6" t="s">
        <v>3601</v>
      </c>
      <c r="O175" s="6" t="s">
        <v>4274</v>
      </c>
      <c r="P175" s="6" t="s">
        <v>4275</v>
      </c>
      <c r="Q175" s="6">
        <v>16066006</v>
      </c>
      <c r="R175" s="6">
        <v>0.21</v>
      </c>
      <c r="S175" s="6">
        <v>0.02</v>
      </c>
      <c r="T175" s="6">
        <v>12945987.630000001</v>
      </c>
      <c r="U175" s="6"/>
      <c r="V175" s="6">
        <v>0.16</v>
      </c>
      <c r="W175" s="6">
        <v>0.15</v>
      </c>
      <c r="X175" s="6" t="s">
        <v>865</v>
      </c>
      <c r="Y175" s="6">
        <v>7730264.3399999999</v>
      </c>
      <c r="Z175" s="6">
        <v>7613401.71</v>
      </c>
      <c r="AA175" s="6">
        <v>30</v>
      </c>
      <c r="AB175" s="6">
        <v>119</v>
      </c>
      <c r="AC175" s="6" t="s">
        <v>347</v>
      </c>
      <c r="AD175" s="6" t="s">
        <v>336</v>
      </c>
      <c r="AE175" s="6">
        <v>0.32</v>
      </c>
      <c r="AF175" s="6" t="s">
        <v>4303</v>
      </c>
      <c r="AG175" s="6">
        <v>0.1</v>
      </c>
      <c r="AH175" s="6">
        <v>0.01</v>
      </c>
      <c r="AI175" s="6">
        <v>1</v>
      </c>
      <c r="AJ175" s="6">
        <v>50</v>
      </c>
      <c r="AK175" s="6">
        <v>2843501.01</v>
      </c>
      <c r="AL175" s="6">
        <v>5359349.07</v>
      </c>
      <c r="AM175" s="6"/>
      <c r="AN175" s="6" t="s">
        <v>330</v>
      </c>
      <c r="AO175" s="6">
        <v>54.4</v>
      </c>
      <c r="AP175" s="6">
        <v>36</v>
      </c>
      <c r="AQ175" s="6" t="s">
        <v>387</v>
      </c>
      <c r="AR175" s="6" t="s">
        <v>206</v>
      </c>
      <c r="AS175" s="6" t="s">
        <v>361</v>
      </c>
    </row>
    <row r="176" spans="1:45" x14ac:dyDescent="0.3">
      <c r="A176" s="7" t="s">
        <v>866</v>
      </c>
      <c r="B176" s="7" t="s">
        <v>1063</v>
      </c>
      <c r="C176" s="7" t="s">
        <v>280</v>
      </c>
      <c r="D176" s="7" t="s">
        <v>232</v>
      </c>
      <c r="E176" s="7" t="s">
        <v>4270</v>
      </c>
      <c r="F176" s="7" t="s">
        <v>181</v>
      </c>
      <c r="G176" s="7" t="s">
        <v>54</v>
      </c>
      <c r="H176" s="7" t="s">
        <v>212</v>
      </c>
      <c r="I176" s="7" t="s">
        <v>213</v>
      </c>
      <c r="J176" s="7" t="s">
        <v>111</v>
      </c>
      <c r="K176" s="7" t="s">
        <v>221</v>
      </c>
      <c r="L176" s="7" t="s">
        <v>867</v>
      </c>
      <c r="M176" s="7" t="s">
        <v>3603</v>
      </c>
      <c r="N176" s="7" t="s">
        <v>4594</v>
      </c>
      <c r="O176" s="7" t="s">
        <v>4274</v>
      </c>
      <c r="P176" s="7">
        <v>55</v>
      </c>
      <c r="Q176" s="7">
        <v>8246448</v>
      </c>
      <c r="R176" s="7">
        <v>0.05</v>
      </c>
      <c r="S176" s="7">
        <v>0.17</v>
      </c>
      <c r="T176" s="7">
        <v>9165926.9499999993</v>
      </c>
      <c r="U176" s="7">
        <v>6840473.2800000003</v>
      </c>
      <c r="V176" s="7">
        <v>0.33</v>
      </c>
      <c r="W176" s="7">
        <v>0.16</v>
      </c>
      <c r="X176" s="7" t="s">
        <v>868</v>
      </c>
      <c r="Y176" s="7">
        <v>6325219.2300000004</v>
      </c>
      <c r="Z176" s="7">
        <v>6389981.4400000004</v>
      </c>
      <c r="AA176" s="7">
        <v>90</v>
      </c>
      <c r="AB176" s="7">
        <v>164</v>
      </c>
      <c r="AC176" s="7" t="s">
        <v>376</v>
      </c>
      <c r="AD176" s="7" t="s">
        <v>354</v>
      </c>
      <c r="AE176" s="7">
        <v>0.47</v>
      </c>
      <c r="AF176" s="7"/>
      <c r="AG176" s="7">
        <v>0.05</v>
      </c>
      <c r="AH176" s="7">
        <v>0.06</v>
      </c>
      <c r="AI176" s="7">
        <v>7</v>
      </c>
      <c r="AJ176" s="7">
        <v>4142</v>
      </c>
      <c r="AK176" s="7">
        <v>457507.32</v>
      </c>
      <c r="AL176" s="7">
        <v>2330256.35</v>
      </c>
      <c r="AM176" s="7" t="s">
        <v>385</v>
      </c>
      <c r="AN176" s="7" t="s">
        <v>348</v>
      </c>
      <c r="AO176" s="7">
        <v>88</v>
      </c>
      <c r="AP176" s="7">
        <v>60</v>
      </c>
      <c r="AQ176" s="7" t="s">
        <v>392</v>
      </c>
      <c r="AR176" s="7" t="s">
        <v>224</v>
      </c>
      <c r="AS176" s="7"/>
    </row>
    <row r="177" spans="1:45" x14ac:dyDescent="0.3">
      <c r="A177" s="6" t="s">
        <v>869</v>
      </c>
      <c r="B177" s="6" t="s">
        <v>3604</v>
      </c>
      <c r="C177" s="6" t="s">
        <v>266</v>
      </c>
      <c r="D177" s="6" t="s">
        <v>245</v>
      </c>
      <c r="E177" s="6" t="s">
        <v>20</v>
      </c>
      <c r="F177" s="6" t="s">
        <v>31</v>
      </c>
      <c r="G177" s="6" t="s">
        <v>54</v>
      </c>
      <c r="H177" s="6" t="s">
        <v>197</v>
      </c>
      <c r="I177" s="6" t="s">
        <v>240</v>
      </c>
      <c r="J177" s="6" t="s">
        <v>136</v>
      </c>
      <c r="K177" s="6" t="s">
        <v>326</v>
      </c>
      <c r="L177" s="6" t="s">
        <v>870</v>
      </c>
      <c r="M177" s="6" t="s">
        <v>4595</v>
      </c>
      <c r="N177" s="6"/>
      <c r="O177" s="6" t="s">
        <v>4596</v>
      </c>
      <c r="P177" s="6">
        <v>34</v>
      </c>
      <c r="Q177" s="6">
        <v>20812271</v>
      </c>
      <c r="R177" s="6">
        <v>0.33</v>
      </c>
      <c r="S177" s="6">
        <v>0.09</v>
      </c>
      <c r="T177" s="6">
        <v>15199201.51</v>
      </c>
      <c r="U177" s="6">
        <v>9617376.3499999996</v>
      </c>
      <c r="V177" s="6" t="s">
        <v>4374</v>
      </c>
      <c r="W177" s="6">
        <v>0.09</v>
      </c>
      <c r="X177" s="6" t="s">
        <v>871</v>
      </c>
      <c r="Y177" s="6">
        <v>2078562.2</v>
      </c>
      <c r="Z177" s="6">
        <v>1390066.11</v>
      </c>
      <c r="AA177" s="6">
        <v>30</v>
      </c>
      <c r="AB177" s="6">
        <v>29</v>
      </c>
      <c r="AC177" s="6" t="s">
        <v>329</v>
      </c>
      <c r="AD177" s="6" t="s">
        <v>226</v>
      </c>
      <c r="AE177" s="6">
        <v>0.28000000000000003</v>
      </c>
      <c r="AF177" s="6" t="s">
        <v>152</v>
      </c>
      <c r="AG177" s="6">
        <v>0.1</v>
      </c>
      <c r="AH177" s="6">
        <v>0.03</v>
      </c>
      <c r="AI177" s="6">
        <v>0</v>
      </c>
      <c r="AJ177" s="6">
        <v>4369</v>
      </c>
      <c r="AK177" s="6">
        <v>1095664.1299999999</v>
      </c>
      <c r="AL177" s="6">
        <v>5871897.29</v>
      </c>
      <c r="AM177" s="6" t="s">
        <v>355</v>
      </c>
      <c r="AN177" s="6" t="s">
        <v>321</v>
      </c>
      <c r="AO177" s="6">
        <v>52.7</v>
      </c>
      <c r="AP177" s="6">
        <v>12</v>
      </c>
      <c r="AQ177" s="6" t="s">
        <v>387</v>
      </c>
      <c r="AR177" s="6" t="s">
        <v>224</v>
      </c>
      <c r="AS177" s="6" t="s">
        <v>357</v>
      </c>
    </row>
    <row r="178" spans="1:45" x14ac:dyDescent="0.3">
      <c r="A178" s="7" t="s">
        <v>872</v>
      </c>
      <c r="B178" s="7" t="s">
        <v>4597</v>
      </c>
      <c r="C178" s="7" t="s">
        <v>261</v>
      </c>
      <c r="D178" s="7"/>
      <c r="E178" s="7" t="s">
        <v>4376</v>
      </c>
      <c r="F178" s="7" t="s">
        <v>35</v>
      </c>
      <c r="G178" s="7" t="s">
        <v>23</v>
      </c>
      <c r="H178" s="7" t="s">
        <v>236</v>
      </c>
      <c r="I178" s="7" t="s">
        <v>191</v>
      </c>
      <c r="J178" s="7" t="s">
        <v>136</v>
      </c>
      <c r="K178" s="7" t="s">
        <v>184</v>
      </c>
      <c r="L178" s="7" t="s">
        <v>873</v>
      </c>
      <c r="M178" s="7" t="s">
        <v>4598</v>
      </c>
      <c r="N178" s="7" t="s">
        <v>4599</v>
      </c>
      <c r="O178" s="7" t="s">
        <v>4600</v>
      </c>
      <c r="P178" s="7">
        <v>55</v>
      </c>
      <c r="Q178" s="7">
        <v>42941582</v>
      </c>
      <c r="R178" s="7">
        <v>0.11</v>
      </c>
      <c r="S178" s="7">
        <v>0.1</v>
      </c>
      <c r="T178" s="7">
        <v>42039808.780000001</v>
      </c>
      <c r="U178" s="7"/>
      <c r="V178" s="7">
        <v>0.15</v>
      </c>
      <c r="W178" s="7">
        <v>0.08</v>
      </c>
      <c r="X178" s="7"/>
      <c r="Y178" s="7">
        <v>28326420.219999999</v>
      </c>
      <c r="Z178" s="7">
        <v>10633569.699999999</v>
      </c>
      <c r="AA178" s="7">
        <v>120</v>
      </c>
      <c r="AB178" s="7">
        <v>180</v>
      </c>
      <c r="AC178" s="7" t="s">
        <v>342</v>
      </c>
      <c r="AD178" s="7" t="s">
        <v>320</v>
      </c>
      <c r="AE178" s="7">
        <v>0.63</v>
      </c>
      <c r="AF178" s="7" t="s">
        <v>4276</v>
      </c>
      <c r="AG178" s="7">
        <v>0.15</v>
      </c>
      <c r="AH178" s="7">
        <v>0.04</v>
      </c>
      <c r="AI178" s="7">
        <v>7</v>
      </c>
      <c r="AJ178" s="7">
        <v>2759</v>
      </c>
      <c r="AK178" s="7">
        <v>7945837.0999999996</v>
      </c>
      <c r="AL178" s="7">
        <v>8531382.4299999997</v>
      </c>
      <c r="AM178" s="7" t="s">
        <v>355</v>
      </c>
      <c r="AN178" s="7" t="s">
        <v>348</v>
      </c>
      <c r="AO178" s="7">
        <v>57.3</v>
      </c>
      <c r="AP178" s="7">
        <v>36</v>
      </c>
      <c r="AQ178" s="7" t="s">
        <v>337</v>
      </c>
      <c r="AR178" s="7" t="s">
        <v>206</v>
      </c>
      <c r="AS178" s="7" t="s">
        <v>361</v>
      </c>
    </row>
    <row r="179" spans="1:45" x14ac:dyDescent="0.3">
      <c r="A179" s="6" t="s">
        <v>874</v>
      </c>
      <c r="B179" s="6" t="s">
        <v>3549</v>
      </c>
      <c r="C179" s="6" t="s">
        <v>239</v>
      </c>
      <c r="D179" s="6" t="s">
        <v>255</v>
      </c>
      <c r="E179" s="6" t="s">
        <v>20</v>
      </c>
      <c r="F179" s="6" t="s">
        <v>31</v>
      </c>
      <c r="G179" s="6" t="s">
        <v>70</v>
      </c>
      <c r="H179" s="6" t="s">
        <v>4280</v>
      </c>
      <c r="I179" s="6" t="s">
        <v>213</v>
      </c>
      <c r="J179" s="6" t="s">
        <v>136</v>
      </c>
      <c r="K179" s="6" t="s">
        <v>204</v>
      </c>
      <c r="L179" s="6" t="s">
        <v>875</v>
      </c>
      <c r="M179" s="6" t="s">
        <v>4530</v>
      </c>
      <c r="N179" s="6" t="s">
        <v>3605</v>
      </c>
      <c r="O179" s="6" t="s">
        <v>4601</v>
      </c>
      <c r="P179" s="6">
        <v>40</v>
      </c>
      <c r="Q179" s="6">
        <v>7767267</v>
      </c>
      <c r="R179" s="6">
        <v>0.1</v>
      </c>
      <c r="S179" s="6">
        <v>0.08</v>
      </c>
      <c r="T179" s="6">
        <v>7549783.5199999996</v>
      </c>
      <c r="U179" s="6">
        <v>5307364.43</v>
      </c>
      <c r="V179" s="6">
        <v>0.2</v>
      </c>
      <c r="W179" s="6">
        <v>0.12</v>
      </c>
      <c r="X179" s="6"/>
      <c r="Y179" s="6">
        <v>4483289.9400000004</v>
      </c>
      <c r="Z179" s="6">
        <v>1875451.24</v>
      </c>
      <c r="AA179" s="6">
        <v>90</v>
      </c>
      <c r="AB179" s="6">
        <v>57</v>
      </c>
      <c r="AC179" s="6" t="s">
        <v>353</v>
      </c>
      <c r="AD179" s="6" t="s">
        <v>226</v>
      </c>
      <c r="AE179" s="6">
        <v>0.67</v>
      </c>
      <c r="AF179" s="6" t="s">
        <v>162</v>
      </c>
      <c r="AG179" s="6">
        <v>0.05</v>
      </c>
      <c r="AH179" s="6">
        <v>0.04</v>
      </c>
      <c r="AI179" s="6">
        <v>0</v>
      </c>
      <c r="AJ179" s="6">
        <v>1240</v>
      </c>
      <c r="AK179" s="6">
        <v>654187.30000000005</v>
      </c>
      <c r="AL179" s="6">
        <v>1246036.8799999999</v>
      </c>
      <c r="AM179" s="6" t="s">
        <v>385</v>
      </c>
      <c r="AN179" s="6"/>
      <c r="AO179" s="6">
        <v>64.400000000000006</v>
      </c>
      <c r="AP179" s="6">
        <v>12</v>
      </c>
      <c r="AQ179" s="6" t="s">
        <v>323</v>
      </c>
      <c r="AR179" s="6" t="s">
        <v>206</v>
      </c>
      <c r="AS179" s="6" t="s">
        <v>357</v>
      </c>
    </row>
    <row r="180" spans="1:45" x14ac:dyDescent="0.3">
      <c r="A180" s="7" t="s">
        <v>876</v>
      </c>
      <c r="B180" s="7" t="s">
        <v>3606</v>
      </c>
      <c r="C180" s="7" t="s">
        <v>249</v>
      </c>
      <c r="D180" s="7"/>
      <c r="E180" s="7" t="s">
        <v>52</v>
      </c>
      <c r="F180" s="7" t="s">
        <v>75</v>
      </c>
      <c r="G180" s="7" t="s">
        <v>28</v>
      </c>
      <c r="H180" s="7"/>
      <c r="I180" s="7" t="s">
        <v>183</v>
      </c>
      <c r="J180" s="7" t="s">
        <v>133</v>
      </c>
      <c r="K180" s="7" t="s">
        <v>199</v>
      </c>
      <c r="L180" s="7" t="s">
        <v>877</v>
      </c>
      <c r="M180" s="7" t="s">
        <v>4602</v>
      </c>
      <c r="N180" s="7"/>
      <c r="O180" s="7" t="s">
        <v>3607</v>
      </c>
      <c r="P180" s="7">
        <v>15</v>
      </c>
      <c r="Q180" s="7">
        <v>3769740</v>
      </c>
      <c r="R180" s="7">
        <v>0.18</v>
      </c>
      <c r="S180" s="7">
        <v>-0.05</v>
      </c>
      <c r="T180" s="7">
        <v>2936627.46</v>
      </c>
      <c r="U180" s="7">
        <v>2128742.7200000002</v>
      </c>
      <c r="V180" s="7">
        <v>0.16</v>
      </c>
      <c r="W180" s="7">
        <v>0.09</v>
      </c>
      <c r="X180" s="7"/>
      <c r="Y180" s="7">
        <v>1026108.12</v>
      </c>
      <c r="Z180" s="7">
        <v>992542.11</v>
      </c>
      <c r="AA180" s="7">
        <v>30</v>
      </c>
      <c r="AB180" s="7">
        <v>65</v>
      </c>
      <c r="AC180" s="7" t="s">
        <v>342</v>
      </c>
      <c r="AD180" s="7" t="s">
        <v>455</v>
      </c>
      <c r="AE180" s="7">
        <v>0.18</v>
      </c>
      <c r="AF180" s="7" t="s">
        <v>4303</v>
      </c>
      <c r="AG180" s="7">
        <v>0.1</v>
      </c>
      <c r="AH180" s="7">
        <v>0.08</v>
      </c>
      <c r="AI180" s="7">
        <v>4</v>
      </c>
      <c r="AJ180" s="7">
        <v>2576</v>
      </c>
      <c r="AK180" s="7">
        <v>521508.49</v>
      </c>
      <c r="AL180" s="7">
        <v>709716.9</v>
      </c>
      <c r="AM180" s="7" t="s">
        <v>343</v>
      </c>
      <c r="AN180" s="7" t="s">
        <v>356</v>
      </c>
      <c r="AO180" s="7">
        <v>59.2</v>
      </c>
      <c r="AP180" s="7">
        <v>48</v>
      </c>
      <c r="AQ180" s="7" t="s">
        <v>4275</v>
      </c>
      <c r="AR180" s="7" t="s">
        <v>224</v>
      </c>
      <c r="AS180" s="7"/>
    </row>
    <row r="181" spans="1:45" x14ac:dyDescent="0.3">
      <c r="A181" s="6" t="s">
        <v>878</v>
      </c>
      <c r="B181" s="6" t="s">
        <v>3502</v>
      </c>
      <c r="C181" s="6" t="s">
        <v>247</v>
      </c>
      <c r="D181" s="6" t="s">
        <v>255</v>
      </c>
      <c r="E181" s="6" t="s">
        <v>4376</v>
      </c>
      <c r="F181" s="6" t="s">
        <v>35</v>
      </c>
      <c r="G181" s="6" t="s">
        <v>78</v>
      </c>
      <c r="H181" s="6" t="s">
        <v>4266</v>
      </c>
      <c r="I181" s="6" t="s">
        <v>246</v>
      </c>
      <c r="J181" s="6" t="s">
        <v>136</v>
      </c>
      <c r="K181" s="6" t="s">
        <v>210</v>
      </c>
      <c r="L181" s="6" t="s">
        <v>879</v>
      </c>
      <c r="M181" s="6" t="s">
        <v>4500</v>
      </c>
      <c r="N181" s="6" t="s">
        <v>3608</v>
      </c>
      <c r="O181" s="6" t="s">
        <v>3564</v>
      </c>
      <c r="P181" s="6">
        <v>46</v>
      </c>
      <c r="Q181" s="6">
        <v>20493048</v>
      </c>
      <c r="R181" s="6">
        <v>0.28000000000000003</v>
      </c>
      <c r="S181" s="6">
        <v>0.1</v>
      </c>
      <c r="T181" s="6">
        <v>16230494.02</v>
      </c>
      <c r="U181" s="6">
        <v>10491921.24</v>
      </c>
      <c r="V181" s="6">
        <v>0.3</v>
      </c>
      <c r="W181" s="6">
        <v>0.19</v>
      </c>
      <c r="X181" s="6" t="s">
        <v>880</v>
      </c>
      <c r="Y181" s="6">
        <v>5958936.2800000003</v>
      </c>
      <c r="Z181" s="6">
        <v>4747554.8099999996</v>
      </c>
      <c r="AA181" s="6">
        <v>120</v>
      </c>
      <c r="AB181" s="6">
        <v>76</v>
      </c>
      <c r="AC181" s="6" t="s">
        <v>347</v>
      </c>
      <c r="AD181" s="6" t="s">
        <v>226</v>
      </c>
      <c r="AE181" s="6">
        <v>0.1</v>
      </c>
      <c r="AF181" s="6" t="s">
        <v>153</v>
      </c>
      <c r="AG181" s="6">
        <v>0.1</v>
      </c>
      <c r="AH181" s="6">
        <v>0.02</v>
      </c>
      <c r="AI181" s="6">
        <v>0</v>
      </c>
      <c r="AJ181" s="6">
        <v>1001</v>
      </c>
      <c r="AK181" s="6">
        <v>1247433.57</v>
      </c>
      <c r="AL181" s="6">
        <v>1783123.52</v>
      </c>
      <c r="AM181" s="6" t="s">
        <v>321</v>
      </c>
      <c r="AN181" s="6"/>
      <c r="AO181" s="6">
        <v>84.4</v>
      </c>
      <c r="AP181" s="6">
        <v>48</v>
      </c>
      <c r="AQ181" s="6" t="s">
        <v>387</v>
      </c>
      <c r="AR181" s="6" t="s">
        <v>224</v>
      </c>
      <c r="AS181" s="6" t="s">
        <v>377</v>
      </c>
    </row>
    <row r="182" spans="1:45" x14ac:dyDescent="0.3">
      <c r="A182" s="7" t="s">
        <v>881</v>
      </c>
      <c r="B182" s="7" t="s">
        <v>4603</v>
      </c>
      <c r="C182" s="7" t="s">
        <v>264</v>
      </c>
      <c r="D182" s="7" t="s">
        <v>394</v>
      </c>
      <c r="E182" s="7" t="s">
        <v>113</v>
      </c>
      <c r="F182" s="7"/>
      <c r="G182" s="7" t="s">
        <v>70</v>
      </c>
      <c r="H182" s="7" t="s">
        <v>4266</v>
      </c>
      <c r="I182" s="7" t="s">
        <v>183</v>
      </c>
      <c r="J182" s="7" t="s">
        <v>127</v>
      </c>
      <c r="K182" s="7" t="s">
        <v>326</v>
      </c>
      <c r="L182" s="7" t="s">
        <v>882</v>
      </c>
      <c r="M182" s="7" t="s">
        <v>4604</v>
      </c>
      <c r="N182" s="7"/>
      <c r="O182" s="7" t="s">
        <v>4274</v>
      </c>
      <c r="P182" s="7">
        <v>40</v>
      </c>
      <c r="Q182" s="7">
        <v>17666526</v>
      </c>
      <c r="R182" s="7">
        <v>0.28999999999999998</v>
      </c>
      <c r="S182" s="7">
        <v>0.12</v>
      </c>
      <c r="T182" s="7">
        <v>14048421.48</v>
      </c>
      <c r="U182" s="7">
        <v>11147881.779999999</v>
      </c>
      <c r="V182" s="7">
        <v>0.27</v>
      </c>
      <c r="W182" s="7">
        <v>0.06</v>
      </c>
      <c r="X182" s="7" t="s">
        <v>402</v>
      </c>
      <c r="Y182" s="7">
        <v>10963624.199999999</v>
      </c>
      <c r="Z182" s="7">
        <v>8702122.5099999998</v>
      </c>
      <c r="AA182" s="7">
        <v>90</v>
      </c>
      <c r="AB182" s="7">
        <v>38</v>
      </c>
      <c r="AC182" s="7" t="s">
        <v>342</v>
      </c>
      <c r="AD182" s="7" t="s">
        <v>381</v>
      </c>
      <c r="AE182" s="7">
        <v>0.65</v>
      </c>
      <c r="AF182" s="7" t="s">
        <v>4294</v>
      </c>
      <c r="AG182" s="7">
        <v>0.05</v>
      </c>
      <c r="AH182" s="7">
        <v>0.02</v>
      </c>
      <c r="AI182" s="7">
        <v>7</v>
      </c>
      <c r="AJ182" s="7"/>
      <c r="AK182" s="7">
        <v>1898599.59</v>
      </c>
      <c r="AL182" s="7">
        <v>2589293.44</v>
      </c>
      <c r="AM182" s="7" t="s">
        <v>355</v>
      </c>
      <c r="AN182" s="7" t="s">
        <v>386</v>
      </c>
      <c r="AO182" s="7">
        <v>73.400000000000006</v>
      </c>
      <c r="AP182" s="7">
        <v>60</v>
      </c>
      <c r="AQ182" s="7"/>
      <c r="AR182" s="7" t="s">
        <v>206</v>
      </c>
      <c r="AS182" s="7" t="s">
        <v>357</v>
      </c>
    </row>
    <row r="183" spans="1:45" x14ac:dyDescent="0.3">
      <c r="A183" s="6" t="s">
        <v>883</v>
      </c>
      <c r="B183" s="6" t="s">
        <v>4605</v>
      </c>
      <c r="C183" s="6" t="s">
        <v>249</v>
      </c>
      <c r="D183" s="6" t="s">
        <v>394</v>
      </c>
      <c r="E183" s="6" t="s">
        <v>4376</v>
      </c>
      <c r="F183" s="6"/>
      <c r="G183" s="6" t="s">
        <v>62</v>
      </c>
      <c r="H183" s="6"/>
      <c r="I183" s="6" t="s">
        <v>4291</v>
      </c>
      <c r="J183" s="6" t="s">
        <v>136</v>
      </c>
      <c r="K183" s="6" t="s">
        <v>221</v>
      </c>
      <c r="L183" s="6" t="s">
        <v>884</v>
      </c>
      <c r="M183" s="6" t="s">
        <v>3282</v>
      </c>
      <c r="N183" s="6" t="s">
        <v>3611</v>
      </c>
      <c r="O183" s="6" t="s">
        <v>4606</v>
      </c>
      <c r="P183" s="6">
        <v>59</v>
      </c>
      <c r="Q183" s="6">
        <v>31035297</v>
      </c>
      <c r="R183" s="6">
        <v>0.25</v>
      </c>
      <c r="S183" s="6">
        <v>0.15</v>
      </c>
      <c r="T183" s="6">
        <v>26767943.66</v>
      </c>
      <c r="U183" s="6">
        <v>23227665.100000001</v>
      </c>
      <c r="V183" s="6">
        <v>0.2</v>
      </c>
      <c r="W183" s="6">
        <v>0.06</v>
      </c>
      <c r="X183" s="6" t="s">
        <v>885</v>
      </c>
      <c r="Y183" s="6">
        <v>7671401.4900000002</v>
      </c>
      <c r="Z183" s="6">
        <v>6981635.6299999999</v>
      </c>
      <c r="AA183" s="6">
        <v>60</v>
      </c>
      <c r="AB183" s="6">
        <v>101</v>
      </c>
      <c r="AC183" s="6"/>
      <c r="AD183" s="6" t="s">
        <v>354</v>
      </c>
      <c r="AE183" s="6">
        <v>0.11</v>
      </c>
      <c r="AF183" s="6" t="s">
        <v>4361</v>
      </c>
      <c r="AG183" s="6">
        <v>0.15</v>
      </c>
      <c r="AH183" s="6">
        <v>0.05</v>
      </c>
      <c r="AI183" s="6">
        <v>15</v>
      </c>
      <c r="AJ183" s="6">
        <v>4978</v>
      </c>
      <c r="AK183" s="6">
        <v>716729.74</v>
      </c>
      <c r="AL183" s="6">
        <v>3829539.87</v>
      </c>
      <c r="AM183" s="6" t="s">
        <v>391</v>
      </c>
      <c r="AN183" s="6" t="s">
        <v>348</v>
      </c>
      <c r="AO183" s="6">
        <v>51.9</v>
      </c>
      <c r="AP183" s="6">
        <v>24</v>
      </c>
      <c r="AQ183" s="6" t="s">
        <v>392</v>
      </c>
      <c r="AR183" s="6" t="s">
        <v>186</v>
      </c>
      <c r="AS183" s="6" t="s">
        <v>361</v>
      </c>
    </row>
    <row r="184" spans="1:45" x14ac:dyDescent="0.3">
      <c r="A184" s="7" t="s">
        <v>886</v>
      </c>
      <c r="B184" s="7" t="s">
        <v>3434</v>
      </c>
      <c r="C184" s="7" t="s">
        <v>264</v>
      </c>
      <c r="D184" s="7" t="s">
        <v>253</v>
      </c>
      <c r="E184" s="7"/>
      <c r="F184" s="7" t="s">
        <v>35</v>
      </c>
      <c r="G184" s="7" t="s">
        <v>16</v>
      </c>
      <c r="H184" s="7" t="s">
        <v>197</v>
      </c>
      <c r="I184" s="7" t="s">
        <v>4289</v>
      </c>
      <c r="J184" s="7" t="s">
        <v>130</v>
      </c>
      <c r="K184" s="7" t="s">
        <v>204</v>
      </c>
      <c r="L184" s="7" t="s">
        <v>887</v>
      </c>
      <c r="M184" s="7" t="s">
        <v>4607</v>
      </c>
      <c r="N184" s="7" t="s">
        <v>3519</v>
      </c>
      <c r="O184" s="7" t="s">
        <v>4608</v>
      </c>
      <c r="P184" s="7">
        <v>34</v>
      </c>
      <c r="Q184" s="7">
        <v>13701816</v>
      </c>
      <c r="R184" s="7">
        <v>0.26</v>
      </c>
      <c r="S184" s="7">
        <v>0.06</v>
      </c>
      <c r="T184" s="7">
        <v>10747704.470000001</v>
      </c>
      <c r="U184" s="7">
        <v>8388012.3700000001</v>
      </c>
      <c r="V184" s="7">
        <v>0.13</v>
      </c>
      <c r="W184" s="7">
        <v>0.19</v>
      </c>
      <c r="X184" s="7" t="s">
        <v>888</v>
      </c>
      <c r="Y184" s="7">
        <v>5365791.8</v>
      </c>
      <c r="Z184" s="7">
        <v>5000936.0599999996</v>
      </c>
      <c r="AA184" s="7">
        <v>30</v>
      </c>
      <c r="AB184" s="7">
        <v>150</v>
      </c>
      <c r="AC184" s="7"/>
      <c r="AD184" s="7" t="s">
        <v>455</v>
      </c>
      <c r="AE184" s="7">
        <v>7.0000000000000007E-2</v>
      </c>
      <c r="AF184" s="7" t="s">
        <v>4303</v>
      </c>
      <c r="AG184" s="7">
        <v>0.15</v>
      </c>
      <c r="AH184" s="7">
        <v>0.02</v>
      </c>
      <c r="AI184" s="7">
        <v>1</v>
      </c>
      <c r="AJ184" s="7">
        <v>4723</v>
      </c>
      <c r="AK184" s="7">
        <v>1494841.72</v>
      </c>
      <c r="AL184" s="7">
        <v>2417112.83</v>
      </c>
      <c r="AM184" s="7" t="s">
        <v>355</v>
      </c>
      <c r="AN184" s="7"/>
      <c r="AO184" s="7">
        <v>85.2</v>
      </c>
      <c r="AP184" s="7">
        <v>60</v>
      </c>
      <c r="AQ184" s="7" t="s">
        <v>387</v>
      </c>
      <c r="AR184" s="7" t="s">
        <v>186</v>
      </c>
      <c r="AS184" s="7" t="s">
        <v>361</v>
      </c>
    </row>
    <row r="185" spans="1:45" x14ac:dyDescent="0.3">
      <c r="A185" s="6" t="s">
        <v>889</v>
      </c>
      <c r="B185" s="6" t="s">
        <v>4609</v>
      </c>
      <c r="C185" s="6" t="s">
        <v>283</v>
      </c>
      <c r="D185" s="6" t="s">
        <v>250</v>
      </c>
      <c r="E185" s="6"/>
      <c r="F185" s="6" t="s">
        <v>339</v>
      </c>
      <c r="G185" s="6" t="s">
        <v>80</v>
      </c>
      <c r="H185" s="6" t="s">
        <v>4271</v>
      </c>
      <c r="I185" s="6" t="s">
        <v>4272</v>
      </c>
      <c r="J185" s="6" t="s">
        <v>130</v>
      </c>
      <c r="K185" s="6" t="s">
        <v>184</v>
      </c>
      <c r="L185" s="6" t="s">
        <v>890</v>
      </c>
      <c r="M185" s="6" t="s">
        <v>4610</v>
      </c>
      <c r="N185" s="6" t="s">
        <v>4611</v>
      </c>
      <c r="O185" s="6" t="s">
        <v>4612</v>
      </c>
      <c r="P185" s="6" t="s">
        <v>4275</v>
      </c>
      <c r="Q185" s="6">
        <v>17707434</v>
      </c>
      <c r="R185" s="6">
        <v>0.08</v>
      </c>
      <c r="S185" s="6">
        <v>0.17</v>
      </c>
      <c r="T185" s="6">
        <v>19060281.960000001</v>
      </c>
      <c r="U185" s="6">
        <v>15859755.140000001</v>
      </c>
      <c r="V185" s="6">
        <v>0.24</v>
      </c>
      <c r="W185" s="6">
        <v>0.18</v>
      </c>
      <c r="X185" s="6" t="s">
        <v>891</v>
      </c>
      <c r="Y185" s="6">
        <v>1915237.62</v>
      </c>
      <c r="Z185" s="6">
        <v>887495.54</v>
      </c>
      <c r="AA185" s="6">
        <v>60</v>
      </c>
      <c r="AB185" s="6">
        <v>170</v>
      </c>
      <c r="AC185" s="6" t="s">
        <v>353</v>
      </c>
      <c r="AD185" s="6" t="s">
        <v>455</v>
      </c>
      <c r="AE185" s="6">
        <v>0.91</v>
      </c>
      <c r="AF185" s="6" t="s">
        <v>153</v>
      </c>
      <c r="AG185" s="6">
        <v>0.05</v>
      </c>
      <c r="AH185" s="6">
        <v>0.03</v>
      </c>
      <c r="AI185" s="6">
        <v>2</v>
      </c>
      <c r="AJ185" s="6">
        <v>1035</v>
      </c>
      <c r="AK185" s="6">
        <v>2252386.37</v>
      </c>
      <c r="AL185" s="6">
        <v>5245030.1500000004</v>
      </c>
      <c r="AM185" s="6" t="s">
        <v>391</v>
      </c>
      <c r="AN185" s="6" t="s">
        <v>356</v>
      </c>
      <c r="AO185" s="6">
        <v>50.9</v>
      </c>
      <c r="AP185" s="6">
        <v>36</v>
      </c>
      <c r="AQ185" s="6" t="s">
        <v>323</v>
      </c>
      <c r="AR185" s="6" t="s">
        <v>206</v>
      </c>
      <c r="AS185" s="6" t="s">
        <v>357</v>
      </c>
    </row>
    <row r="186" spans="1:45" x14ac:dyDescent="0.3">
      <c r="A186" s="7" t="s">
        <v>892</v>
      </c>
      <c r="B186" s="7" t="s">
        <v>4613</v>
      </c>
      <c r="C186" s="7" t="s">
        <v>219</v>
      </c>
      <c r="D186" s="7" t="s">
        <v>232</v>
      </c>
      <c r="E186" s="7" t="s">
        <v>4306</v>
      </c>
      <c r="F186" s="7" t="s">
        <v>75</v>
      </c>
      <c r="G186" s="7" t="s">
        <v>28</v>
      </c>
      <c r="H186" s="7" t="s">
        <v>212</v>
      </c>
      <c r="I186" s="7" t="s">
        <v>198</v>
      </c>
      <c r="J186" s="7" t="s">
        <v>133</v>
      </c>
      <c r="K186" s="7" t="s">
        <v>221</v>
      </c>
      <c r="L186" s="7" t="s">
        <v>893</v>
      </c>
      <c r="M186" s="7" t="s">
        <v>4614</v>
      </c>
      <c r="N186" s="7" t="s">
        <v>4615</v>
      </c>
      <c r="O186" s="7" t="s">
        <v>4616</v>
      </c>
      <c r="P186" s="7">
        <v>21</v>
      </c>
      <c r="Q186" s="7">
        <v>15442160</v>
      </c>
      <c r="R186" s="7">
        <v>0.15</v>
      </c>
      <c r="S186" s="7">
        <v>0.14000000000000001</v>
      </c>
      <c r="T186" s="7">
        <v>14963453.039999999</v>
      </c>
      <c r="U186" s="7">
        <v>10074320.390000001</v>
      </c>
      <c r="V186" s="7">
        <v>0.16</v>
      </c>
      <c r="W186" s="7">
        <v>0.13</v>
      </c>
      <c r="X186" s="7" t="s">
        <v>894</v>
      </c>
      <c r="Y186" s="7">
        <v>11021702.09</v>
      </c>
      <c r="Z186" s="7">
        <v>8034534.9199999999</v>
      </c>
      <c r="AA186" s="7">
        <v>30</v>
      </c>
      <c r="AB186" s="7">
        <v>4</v>
      </c>
      <c r="AC186" s="7" t="s">
        <v>353</v>
      </c>
      <c r="AD186" s="7" t="s">
        <v>381</v>
      </c>
      <c r="AE186" s="7">
        <v>0.87</v>
      </c>
      <c r="AF186" s="7" t="s">
        <v>4276</v>
      </c>
      <c r="AG186" s="7">
        <v>0.05</v>
      </c>
      <c r="AH186" s="7">
        <v>0.08</v>
      </c>
      <c r="AI186" s="7">
        <v>2</v>
      </c>
      <c r="AJ186" s="7">
        <v>1677</v>
      </c>
      <c r="AK186" s="7">
        <v>3195113.67</v>
      </c>
      <c r="AL186" s="7">
        <v>3321522.67</v>
      </c>
      <c r="AM186" s="7" t="s">
        <v>391</v>
      </c>
      <c r="AN186" s="7" t="s">
        <v>321</v>
      </c>
      <c r="AO186" s="7"/>
      <c r="AP186" s="7">
        <v>12</v>
      </c>
      <c r="AQ186" s="7" t="s">
        <v>323</v>
      </c>
      <c r="AR186" s="7" t="s">
        <v>229</v>
      </c>
      <c r="AS186" s="7" t="s">
        <v>357</v>
      </c>
    </row>
    <row r="187" spans="1:45" x14ac:dyDescent="0.3">
      <c r="A187" s="6" t="s">
        <v>895</v>
      </c>
      <c r="B187" s="6" t="s">
        <v>3613</v>
      </c>
      <c r="C187" s="6" t="s">
        <v>277</v>
      </c>
      <c r="D187" s="6" t="s">
        <v>562</v>
      </c>
      <c r="E187" s="6"/>
      <c r="F187" s="6" t="s">
        <v>196</v>
      </c>
      <c r="G187" s="6" t="s">
        <v>54</v>
      </c>
      <c r="H187" s="6" t="s">
        <v>182</v>
      </c>
      <c r="I187" s="6" t="s">
        <v>183</v>
      </c>
      <c r="J187" s="6" t="s">
        <v>130</v>
      </c>
      <c r="K187" s="6" t="s">
        <v>223</v>
      </c>
      <c r="L187" s="6" t="s">
        <v>896</v>
      </c>
      <c r="M187" s="6" t="s">
        <v>4617</v>
      </c>
      <c r="N187" s="6" t="s">
        <v>3614</v>
      </c>
      <c r="O187" s="6" t="s">
        <v>3480</v>
      </c>
      <c r="P187" s="6">
        <v>49</v>
      </c>
      <c r="Q187" s="6">
        <v>1628724</v>
      </c>
      <c r="R187" s="6">
        <v>0.18</v>
      </c>
      <c r="S187" s="6">
        <v>-0.04</v>
      </c>
      <c r="T187" s="6">
        <v>1282131.53</v>
      </c>
      <c r="U187" s="6">
        <v>879831.41</v>
      </c>
      <c r="V187" s="6">
        <v>0.24</v>
      </c>
      <c r="W187" s="6">
        <v>0.11</v>
      </c>
      <c r="X187" s="6" t="s">
        <v>897</v>
      </c>
      <c r="Y187" s="6">
        <v>367038.65</v>
      </c>
      <c r="Z187" s="6">
        <v>222917.74</v>
      </c>
      <c r="AA187" s="6">
        <v>30</v>
      </c>
      <c r="AB187" s="6">
        <v>16</v>
      </c>
      <c r="AC187" s="6" t="s">
        <v>329</v>
      </c>
      <c r="AD187" s="6" t="s">
        <v>455</v>
      </c>
      <c r="AE187" s="6">
        <v>0.31</v>
      </c>
      <c r="AF187" s="6" t="s">
        <v>162</v>
      </c>
      <c r="AG187" s="6">
        <v>0.15</v>
      </c>
      <c r="AH187" s="6">
        <v>0.04</v>
      </c>
      <c r="AI187" s="6">
        <v>0</v>
      </c>
      <c r="AJ187" s="6">
        <v>1961</v>
      </c>
      <c r="AK187" s="6">
        <v>30120.07</v>
      </c>
      <c r="AL187" s="6">
        <v>615919.18000000005</v>
      </c>
      <c r="AM187" s="6" t="s">
        <v>391</v>
      </c>
      <c r="AN187" s="6" t="s">
        <v>356</v>
      </c>
      <c r="AO187" s="6">
        <v>75.900000000000006</v>
      </c>
      <c r="AP187" s="6" t="s">
        <v>4275</v>
      </c>
      <c r="AQ187" s="6" t="s">
        <v>337</v>
      </c>
      <c r="AR187" s="6" t="s">
        <v>206</v>
      </c>
      <c r="AS187" s="6" t="s">
        <v>324</v>
      </c>
    </row>
    <row r="188" spans="1:45" x14ac:dyDescent="0.3">
      <c r="A188" s="7" t="s">
        <v>898</v>
      </c>
      <c r="B188" s="7" t="s">
        <v>4618</v>
      </c>
      <c r="C188" s="7" t="s">
        <v>231</v>
      </c>
      <c r="D188" s="7" t="s">
        <v>262</v>
      </c>
      <c r="E188" s="7"/>
      <c r="F188" s="7" t="s">
        <v>367</v>
      </c>
      <c r="G188" s="7" t="s">
        <v>54</v>
      </c>
      <c r="H188" s="7" t="s">
        <v>182</v>
      </c>
      <c r="I188" s="7" t="s">
        <v>246</v>
      </c>
      <c r="J188" s="7" t="s">
        <v>130</v>
      </c>
      <c r="K188" s="7" t="s">
        <v>210</v>
      </c>
      <c r="L188" s="7" t="s">
        <v>899</v>
      </c>
      <c r="M188" s="7" t="s">
        <v>3616</v>
      </c>
      <c r="N188" s="7"/>
      <c r="O188" s="7" t="s">
        <v>4619</v>
      </c>
      <c r="P188" s="7">
        <v>43</v>
      </c>
      <c r="Q188" s="7">
        <v>24472931</v>
      </c>
      <c r="R188" s="7">
        <v>0.1</v>
      </c>
      <c r="S188" s="7">
        <v>0.01</v>
      </c>
      <c r="T188" s="7">
        <v>22245894.280000001</v>
      </c>
      <c r="U188" s="7">
        <v>19161984.989999998</v>
      </c>
      <c r="V188" s="7">
        <v>0.13</v>
      </c>
      <c r="W188" s="7">
        <v>0.15</v>
      </c>
      <c r="X188" s="7" t="s">
        <v>900</v>
      </c>
      <c r="Y188" s="7">
        <v>13460466.58</v>
      </c>
      <c r="Z188" s="7">
        <v>12346628.359999999</v>
      </c>
      <c r="AA188" s="7">
        <v>30</v>
      </c>
      <c r="AB188" s="7">
        <v>32</v>
      </c>
      <c r="AC188" s="7" t="s">
        <v>376</v>
      </c>
      <c r="AD188" s="7" t="s">
        <v>455</v>
      </c>
      <c r="AE188" s="7">
        <v>0.34</v>
      </c>
      <c r="AF188" s="7" t="s">
        <v>153</v>
      </c>
      <c r="AG188" s="7">
        <v>0.15</v>
      </c>
      <c r="AH188" s="7">
        <v>0.04</v>
      </c>
      <c r="AI188" s="7">
        <v>8</v>
      </c>
      <c r="AJ188" s="7">
        <v>1877</v>
      </c>
      <c r="AK188" s="7"/>
      <c r="AL188" s="7">
        <v>4529751.26</v>
      </c>
      <c r="AM188" s="7" t="s">
        <v>321</v>
      </c>
      <c r="AN188" s="7" t="s">
        <v>322</v>
      </c>
      <c r="AO188" s="7">
        <v>93</v>
      </c>
      <c r="AP188" s="7">
        <v>36</v>
      </c>
      <c r="AQ188" s="7" t="s">
        <v>392</v>
      </c>
      <c r="AR188" s="7" t="s">
        <v>206</v>
      </c>
      <c r="AS188" s="7" t="s">
        <v>361</v>
      </c>
    </row>
    <row r="189" spans="1:45" x14ac:dyDescent="0.3">
      <c r="A189" s="6" t="s">
        <v>901</v>
      </c>
      <c r="B189" s="6" t="s">
        <v>4620</v>
      </c>
      <c r="C189" s="6" t="s">
        <v>225</v>
      </c>
      <c r="D189" s="6" t="s">
        <v>265</v>
      </c>
      <c r="E189" s="6" t="s">
        <v>4265</v>
      </c>
      <c r="F189" s="6" t="s">
        <v>363</v>
      </c>
      <c r="G189" s="6" t="s">
        <v>46</v>
      </c>
      <c r="H189" s="6" t="s">
        <v>4280</v>
      </c>
      <c r="I189" s="6" t="s">
        <v>4372</v>
      </c>
      <c r="J189" s="6" t="s">
        <v>130</v>
      </c>
      <c r="K189" s="6" t="s">
        <v>221</v>
      </c>
      <c r="L189" s="6" t="s">
        <v>902</v>
      </c>
      <c r="M189" s="6" t="s">
        <v>4621</v>
      </c>
      <c r="N189" s="6" t="s">
        <v>4604</v>
      </c>
      <c r="O189" s="6" t="s">
        <v>3618</v>
      </c>
      <c r="P189" s="6">
        <v>44</v>
      </c>
      <c r="Q189" s="6">
        <v>7795553</v>
      </c>
      <c r="R189" s="6">
        <v>0.18</v>
      </c>
      <c r="S189" s="6">
        <v>0.01</v>
      </c>
      <c r="T189" s="6">
        <v>6456276.9900000002</v>
      </c>
      <c r="U189" s="6">
        <v>4023509.42</v>
      </c>
      <c r="V189" s="6">
        <v>0.13</v>
      </c>
      <c r="W189" s="6">
        <v>0.13</v>
      </c>
      <c r="X189" s="6" t="s">
        <v>903</v>
      </c>
      <c r="Y189" s="6">
        <v>2110690.52</v>
      </c>
      <c r="Z189" s="6">
        <v>1260266.8999999999</v>
      </c>
      <c r="AA189" s="6">
        <v>90</v>
      </c>
      <c r="AB189" s="6">
        <v>19</v>
      </c>
      <c r="AC189" s="6" t="s">
        <v>353</v>
      </c>
      <c r="AD189" s="6" t="s">
        <v>336</v>
      </c>
      <c r="AE189" s="6">
        <v>0.65</v>
      </c>
      <c r="AF189" s="6" t="s">
        <v>4276</v>
      </c>
      <c r="AG189" s="6">
        <v>0.1</v>
      </c>
      <c r="AH189" s="6">
        <v>0.02</v>
      </c>
      <c r="AI189" s="6">
        <v>10</v>
      </c>
      <c r="AJ189" s="6">
        <v>431</v>
      </c>
      <c r="AK189" s="6">
        <v>1107997.1000000001</v>
      </c>
      <c r="AL189" s="6">
        <v>1464127.01</v>
      </c>
      <c r="AM189" s="6"/>
      <c r="AN189" s="6" t="s">
        <v>348</v>
      </c>
      <c r="AO189" s="6">
        <v>86.7</v>
      </c>
      <c r="AP189" s="6">
        <v>60</v>
      </c>
      <c r="AQ189" s="6" t="s">
        <v>392</v>
      </c>
      <c r="AR189" s="6" t="s">
        <v>229</v>
      </c>
      <c r="AS189" s="6"/>
    </row>
    <row r="190" spans="1:45" x14ac:dyDescent="0.3">
      <c r="A190" s="7" t="s">
        <v>904</v>
      </c>
      <c r="B190" s="7" t="s">
        <v>3619</v>
      </c>
      <c r="C190" s="7" t="s">
        <v>278</v>
      </c>
      <c r="D190" s="7" t="s">
        <v>248</v>
      </c>
      <c r="E190" s="7" t="s">
        <v>52</v>
      </c>
      <c r="F190" s="7" t="s">
        <v>75</v>
      </c>
      <c r="G190" s="7" t="s">
        <v>73</v>
      </c>
      <c r="H190" s="7" t="s">
        <v>4280</v>
      </c>
      <c r="I190" s="7" t="s">
        <v>183</v>
      </c>
      <c r="J190" s="7" t="s">
        <v>119</v>
      </c>
      <c r="K190" s="7" t="s">
        <v>210</v>
      </c>
      <c r="L190" s="7" t="s">
        <v>905</v>
      </c>
      <c r="M190" s="7" t="s">
        <v>3620</v>
      </c>
      <c r="N190" s="7" t="s">
        <v>906</v>
      </c>
      <c r="O190" s="7" t="s">
        <v>3492</v>
      </c>
      <c r="P190" s="7">
        <v>3</v>
      </c>
      <c r="Q190" s="7">
        <v>7945498</v>
      </c>
      <c r="R190" s="7">
        <v>0.25</v>
      </c>
      <c r="S190" s="7">
        <v>0.06</v>
      </c>
      <c r="T190" s="7">
        <v>6316670.9100000001</v>
      </c>
      <c r="U190" s="7">
        <v>4583298.5999999996</v>
      </c>
      <c r="V190" s="7">
        <v>0.3</v>
      </c>
      <c r="W190" s="7">
        <v>0.12</v>
      </c>
      <c r="X190" s="7" t="s">
        <v>907</v>
      </c>
      <c r="Y190" s="7">
        <v>5457396.8700000001</v>
      </c>
      <c r="Z190" s="7">
        <v>3426921.34</v>
      </c>
      <c r="AA190" s="7">
        <v>30</v>
      </c>
      <c r="AB190" s="7">
        <v>91</v>
      </c>
      <c r="AC190" s="7"/>
      <c r="AD190" s="7" t="s">
        <v>320</v>
      </c>
      <c r="AE190" s="7">
        <v>0.57999999999999996</v>
      </c>
      <c r="AF190" s="7" t="s">
        <v>4312</v>
      </c>
      <c r="AG190" s="7">
        <v>0.05</v>
      </c>
      <c r="AH190" s="7">
        <v>0.09</v>
      </c>
      <c r="AI190" s="7">
        <v>15</v>
      </c>
      <c r="AJ190" s="7">
        <v>608</v>
      </c>
      <c r="AK190" s="7">
        <v>1385766.41</v>
      </c>
      <c r="AL190" s="7">
        <v>2916433.22</v>
      </c>
      <c r="AM190" s="7" t="s">
        <v>385</v>
      </c>
      <c r="AN190" s="7" t="s">
        <v>321</v>
      </c>
      <c r="AO190" s="7">
        <v>51.7</v>
      </c>
      <c r="AP190" s="7">
        <v>48</v>
      </c>
      <c r="AQ190" s="7" t="s">
        <v>323</v>
      </c>
      <c r="AR190" s="7" t="s">
        <v>206</v>
      </c>
      <c r="AS190" s="7" t="s">
        <v>361</v>
      </c>
    </row>
    <row r="191" spans="1:45" x14ac:dyDescent="0.3">
      <c r="A191" s="6" t="s">
        <v>908</v>
      </c>
      <c r="B191" s="6" t="s">
        <v>3465</v>
      </c>
      <c r="C191" s="6" t="s">
        <v>271</v>
      </c>
      <c r="D191" s="6"/>
      <c r="E191" s="6"/>
      <c r="F191" s="6" t="s">
        <v>367</v>
      </c>
      <c r="G191" s="6" t="s">
        <v>28</v>
      </c>
      <c r="H191" s="6"/>
      <c r="I191" s="6" t="s">
        <v>191</v>
      </c>
      <c r="J191" s="6" t="s">
        <v>130</v>
      </c>
      <c r="K191" s="6" t="s">
        <v>199</v>
      </c>
      <c r="L191" s="6" t="s">
        <v>909</v>
      </c>
      <c r="M191" s="6" t="s">
        <v>4622</v>
      </c>
      <c r="N191" s="6"/>
      <c r="O191" s="6" t="s">
        <v>3621</v>
      </c>
      <c r="P191" s="6">
        <v>27</v>
      </c>
      <c r="Q191" s="6">
        <v>7432442</v>
      </c>
      <c r="R191" s="6">
        <v>0.35</v>
      </c>
      <c r="S191" s="6">
        <v>-0.04</v>
      </c>
      <c r="T191" s="6">
        <v>4637843.8099999996</v>
      </c>
      <c r="U191" s="6">
        <v>3030945.69</v>
      </c>
      <c r="V191" s="6">
        <v>0.33</v>
      </c>
      <c r="W191" s="6">
        <v>0.16</v>
      </c>
      <c r="X191" s="6" t="s">
        <v>910</v>
      </c>
      <c r="Y191" s="6">
        <v>3144162.02</v>
      </c>
      <c r="Z191" s="6">
        <v>1836084.05</v>
      </c>
      <c r="AA191" s="6">
        <v>90</v>
      </c>
      <c r="AB191" s="6">
        <v>105</v>
      </c>
      <c r="AC191" s="6" t="s">
        <v>376</v>
      </c>
      <c r="AD191" s="6" t="s">
        <v>455</v>
      </c>
      <c r="AE191" s="6">
        <v>0.64</v>
      </c>
      <c r="AF191" s="6"/>
      <c r="AG191" s="6">
        <v>0.15</v>
      </c>
      <c r="AH191" s="6">
        <v>0.09</v>
      </c>
      <c r="AI191" s="6">
        <v>9</v>
      </c>
      <c r="AJ191" s="6">
        <v>2343</v>
      </c>
      <c r="AK191" s="6">
        <v>399800.35</v>
      </c>
      <c r="AL191" s="6">
        <v>878655.02</v>
      </c>
      <c r="AM191" s="6" t="s">
        <v>355</v>
      </c>
      <c r="AN191" s="6" t="s">
        <v>356</v>
      </c>
      <c r="AO191" s="6">
        <v>76</v>
      </c>
      <c r="AP191" s="6">
        <v>36</v>
      </c>
      <c r="AQ191" s="6"/>
      <c r="AR191" s="6" t="s">
        <v>224</v>
      </c>
      <c r="AS191" s="6" t="s">
        <v>361</v>
      </c>
    </row>
    <row r="192" spans="1:45" x14ac:dyDescent="0.3">
      <c r="A192" s="7" t="s">
        <v>911</v>
      </c>
      <c r="B192" s="7" t="s">
        <v>3622</v>
      </c>
      <c r="C192" s="7" t="s">
        <v>280</v>
      </c>
      <c r="D192" s="7" t="s">
        <v>255</v>
      </c>
      <c r="E192" s="7" t="s">
        <v>52</v>
      </c>
      <c r="F192" s="7" t="s">
        <v>75</v>
      </c>
      <c r="G192" s="7" t="s">
        <v>62</v>
      </c>
      <c r="H192" s="7" t="s">
        <v>4280</v>
      </c>
      <c r="I192" s="7" t="s">
        <v>4272</v>
      </c>
      <c r="J192" s="7" t="s">
        <v>133</v>
      </c>
      <c r="K192" s="7" t="s">
        <v>204</v>
      </c>
      <c r="L192" s="7" t="s">
        <v>912</v>
      </c>
      <c r="M192" s="7" t="s">
        <v>3623</v>
      </c>
      <c r="N192" s="7" t="s">
        <v>3624</v>
      </c>
      <c r="O192" s="7" t="s">
        <v>3625</v>
      </c>
      <c r="P192" s="7">
        <v>35</v>
      </c>
      <c r="Q192" s="7">
        <v>34338156</v>
      </c>
      <c r="R192" s="7">
        <v>0.27</v>
      </c>
      <c r="S192" s="7">
        <v>-0.04</v>
      </c>
      <c r="T192" s="7">
        <v>24064179.719999999</v>
      </c>
      <c r="U192" s="7">
        <v>17712180.010000002</v>
      </c>
      <c r="V192" s="7">
        <v>0.28999999999999998</v>
      </c>
      <c r="W192" s="7">
        <v>0.06</v>
      </c>
      <c r="X192" s="7" t="s">
        <v>913</v>
      </c>
      <c r="Y192" s="7">
        <v>19664287.68</v>
      </c>
      <c r="Z192" s="7">
        <v>20999204.98</v>
      </c>
      <c r="AA192" s="7">
        <v>120</v>
      </c>
      <c r="AB192" s="7">
        <v>138</v>
      </c>
      <c r="AC192" s="7" t="s">
        <v>329</v>
      </c>
      <c r="AD192" s="7" t="s">
        <v>406</v>
      </c>
      <c r="AE192" s="7">
        <v>0.8</v>
      </c>
      <c r="AF192" s="7" t="s">
        <v>4294</v>
      </c>
      <c r="AG192" s="7">
        <v>0.05</v>
      </c>
      <c r="AH192" s="7">
        <v>0.05</v>
      </c>
      <c r="AI192" s="7">
        <v>0</v>
      </c>
      <c r="AJ192" s="7">
        <v>2611</v>
      </c>
      <c r="AK192" s="7">
        <v>3570622.91</v>
      </c>
      <c r="AL192" s="7">
        <v>8432866.2899999991</v>
      </c>
      <c r="AM192" s="7" t="s">
        <v>385</v>
      </c>
      <c r="AN192" s="7" t="s">
        <v>356</v>
      </c>
      <c r="AO192" s="7">
        <v>96.2</v>
      </c>
      <c r="AP192" s="7">
        <v>12</v>
      </c>
      <c r="AQ192" s="7" t="s">
        <v>392</v>
      </c>
      <c r="AR192" s="7" t="s">
        <v>229</v>
      </c>
      <c r="AS192" s="7" t="s">
        <v>188</v>
      </c>
    </row>
    <row r="193" spans="1:45" x14ac:dyDescent="0.3">
      <c r="A193" s="6" t="s">
        <v>914</v>
      </c>
      <c r="B193" s="6" t="s">
        <v>4575</v>
      </c>
      <c r="C193" s="6" t="s">
        <v>275</v>
      </c>
      <c r="D193" s="6" t="s">
        <v>245</v>
      </c>
      <c r="E193" s="6" t="s">
        <v>4376</v>
      </c>
      <c r="F193" s="6" t="s">
        <v>196</v>
      </c>
      <c r="G193" s="6" t="s">
        <v>62</v>
      </c>
      <c r="H193" s="6" t="s">
        <v>216</v>
      </c>
      <c r="I193" s="6" t="s">
        <v>4272</v>
      </c>
      <c r="J193" s="6" t="s">
        <v>136</v>
      </c>
      <c r="K193" s="6" t="s">
        <v>199</v>
      </c>
      <c r="L193" s="6" t="s">
        <v>915</v>
      </c>
      <c r="M193" s="6" t="s">
        <v>4465</v>
      </c>
      <c r="N193" s="6" t="s">
        <v>3626</v>
      </c>
      <c r="O193" s="6" t="s">
        <v>4623</v>
      </c>
      <c r="P193" s="6">
        <v>17</v>
      </c>
      <c r="Q193" s="6">
        <v>32714725</v>
      </c>
      <c r="R193" s="6">
        <v>0.28999999999999998</v>
      </c>
      <c r="S193" s="6">
        <v>0.13</v>
      </c>
      <c r="T193" s="6">
        <v>26247023.870000001</v>
      </c>
      <c r="U193" s="6">
        <v>22684477.440000001</v>
      </c>
      <c r="V193" s="6">
        <v>0.15</v>
      </c>
      <c r="W193" s="6">
        <v>0.2</v>
      </c>
      <c r="X193" s="6" t="s">
        <v>916</v>
      </c>
      <c r="Y193" s="6">
        <v>7617141.5199999996</v>
      </c>
      <c r="Z193" s="6">
        <v>3495189.18</v>
      </c>
      <c r="AA193" s="6">
        <v>30</v>
      </c>
      <c r="AB193" s="6">
        <v>133</v>
      </c>
      <c r="AC193" s="6" t="s">
        <v>376</v>
      </c>
      <c r="AD193" s="6" t="s">
        <v>320</v>
      </c>
      <c r="AE193" s="6">
        <v>0.86</v>
      </c>
      <c r="AF193" s="6" t="s">
        <v>159</v>
      </c>
      <c r="AG193" s="6">
        <v>0.15</v>
      </c>
      <c r="AH193" s="6">
        <v>0.03</v>
      </c>
      <c r="AI193" s="6">
        <v>13</v>
      </c>
      <c r="AJ193" s="6">
        <v>2857</v>
      </c>
      <c r="AK193" s="6">
        <v>4779801.53</v>
      </c>
      <c r="AL193" s="6">
        <v>7703383.2300000004</v>
      </c>
      <c r="AM193" s="6" t="s">
        <v>355</v>
      </c>
      <c r="AN193" s="6" t="s">
        <v>386</v>
      </c>
      <c r="AO193" s="6">
        <v>71.2</v>
      </c>
      <c r="AP193" s="6">
        <v>48</v>
      </c>
      <c r="AQ193" s="6" t="s">
        <v>323</v>
      </c>
      <c r="AR193" s="6" t="s">
        <v>224</v>
      </c>
      <c r="AS193" s="6" t="s">
        <v>361</v>
      </c>
    </row>
    <row r="194" spans="1:45" x14ac:dyDescent="0.3">
      <c r="A194" s="7" t="s">
        <v>917</v>
      </c>
      <c r="B194" s="7" t="s">
        <v>4624</v>
      </c>
      <c r="C194" s="7" t="s">
        <v>268</v>
      </c>
      <c r="D194" s="7" t="s">
        <v>209</v>
      </c>
      <c r="E194" s="7" t="s">
        <v>4325</v>
      </c>
      <c r="F194" s="7" t="s">
        <v>19</v>
      </c>
      <c r="G194" s="7" t="s">
        <v>46</v>
      </c>
      <c r="H194" s="7" t="s">
        <v>4326</v>
      </c>
      <c r="I194" s="7"/>
      <c r="J194" s="7" t="s">
        <v>115</v>
      </c>
      <c r="K194" s="7" t="s">
        <v>184</v>
      </c>
      <c r="L194" s="7" t="s">
        <v>918</v>
      </c>
      <c r="M194" s="7" t="s">
        <v>3581</v>
      </c>
      <c r="N194" s="7"/>
      <c r="O194" s="7" t="s">
        <v>3628</v>
      </c>
      <c r="P194" s="7">
        <v>36</v>
      </c>
      <c r="Q194" s="7">
        <v>27647916</v>
      </c>
      <c r="R194" s="7">
        <v>0.03</v>
      </c>
      <c r="S194" s="7">
        <v>0.14000000000000001</v>
      </c>
      <c r="T194" s="7">
        <v>30573065.510000002</v>
      </c>
      <c r="U194" s="7">
        <v>23255151.539999999</v>
      </c>
      <c r="V194" s="7">
        <v>0.34</v>
      </c>
      <c r="W194" s="7">
        <v>0.11</v>
      </c>
      <c r="X194" s="7" t="s">
        <v>919</v>
      </c>
      <c r="Y194" s="7">
        <v>8327016.6299999999</v>
      </c>
      <c r="Z194" s="7">
        <v>4613955.67</v>
      </c>
      <c r="AA194" s="7">
        <v>90</v>
      </c>
      <c r="AB194" s="7">
        <v>114</v>
      </c>
      <c r="AC194" s="7" t="s">
        <v>376</v>
      </c>
      <c r="AD194" s="7" t="s">
        <v>406</v>
      </c>
      <c r="AE194" s="7">
        <v>0.45</v>
      </c>
      <c r="AF194" s="7" t="s">
        <v>153</v>
      </c>
      <c r="AG194" s="7">
        <v>0.1</v>
      </c>
      <c r="AH194" s="7">
        <v>0.09</v>
      </c>
      <c r="AI194" s="7">
        <v>8</v>
      </c>
      <c r="AJ194" s="7">
        <v>2047</v>
      </c>
      <c r="AK194" s="7">
        <v>865133.48</v>
      </c>
      <c r="AL194" s="7"/>
      <c r="AM194" s="7" t="s">
        <v>391</v>
      </c>
      <c r="AN194" s="7" t="s">
        <v>356</v>
      </c>
      <c r="AO194" s="7">
        <v>90.1</v>
      </c>
      <c r="AP194" s="7">
        <v>12</v>
      </c>
      <c r="AQ194" s="7" t="s">
        <v>323</v>
      </c>
      <c r="AR194" s="7" t="s">
        <v>192</v>
      </c>
      <c r="AS194" s="7" t="s">
        <v>357</v>
      </c>
    </row>
    <row r="195" spans="1:45" x14ac:dyDescent="0.3">
      <c r="A195" s="6" t="s">
        <v>914</v>
      </c>
      <c r="B195" s="6" t="s">
        <v>3629</v>
      </c>
      <c r="C195" s="6" t="s">
        <v>222</v>
      </c>
      <c r="D195" s="6" t="s">
        <v>250</v>
      </c>
      <c r="E195" s="6" t="s">
        <v>41</v>
      </c>
      <c r="F195" s="6" t="s">
        <v>363</v>
      </c>
      <c r="G195" s="6" t="s">
        <v>70</v>
      </c>
      <c r="H195" s="6"/>
      <c r="I195" s="6" t="s">
        <v>4289</v>
      </c>
      <c r="J195" s="6" t="s">
        <v>105</v>
      </c>
      <c r="K195" s="6" t="s">
        <v>223</v>
      </c>
      <c r="L195" s="6" t="s">
        <v>3630</v>
      </c>
      <c r="M195" s="6" t="s">
        <v>4625</v>
      </c>
      <c r="N195" s="6" t="s">
        <v>4626</v>
      </c>
      <c r="O195" s="6" t="s">
        <v>4274</v>
      </c>
      <c r="P195" s="6">
        <v>39</v>
      </c>
      <c r="Q195" s="6">
        <v>42582972</v>
      </c>
      <c r="R195" s="6">
        <v>0.27</v>
      </c>
      <c r="S195" s="6">
        <v>0.01</v>
      </c>
      <c r="T195" s="6">
        <v>31396425.260000002</v>
      </c>
      <c r="U195" s="6">
        <v>21581010.940000001</v>
      </c>
      <c r="V195" s="6">
        <v>0.39</v>
      </c>
      <c r="W195" s="6">
        <v>0.13</v>
      </c>
      <c r="X195" s="6" t="s">
        <v>3632</v>
      </c>
      <c r="Y195" s="6">
        <v>8840903.9800000004</v>
      </c>
      <c r="Z195" s="6">
        <v>3526762.71</v>
      </c>
      <c r="AA195" s="6">
        <v>90</v>
      </c>
      <c r="AB195" s="6">
        <v>168</v>
      </c>
      <c r="AC195" s="6" t="s">
        <v>376</v>
      </c>
      <c r="AD195" s="6" t="s">
        <v>354</v>
      </c>
      <c r="AE195" s="6">
        <v>0.43</v>
      </c>
      <c r="AF195" s="6"/>
      <c r="AG195" s="6">
        <v>0.15</v>
      </c>
      <c r="AH195" s="6">
        <v>0.09</v>
      </c>
      <c r="AI195" s="6">
        <v>2</v>
      </c>
      <c r="AJ195" s="6"/>
      <c r="AK195" s="6">
        <v>3470510.36</v>
      </c>
      <c r="AL195" s="6">
        <v>10003923.550000001</v>
      </c>
      <c r="AM195" s="6" t="s">
        <v>391</v>
      </c>
      <c r="AN195" s="6" t="s">
        <v>330</v>
      </c>
      <c r="AO195" s="6">
        <v>85.1</v>
      </c>
      <c r="AP195" s="6">
        <v>24</v>
      </c>
      <c r="AQ195" s="6" t="s">
        <v>392</v>
      </c>
      <c r="AR195" s="6" t="s">
        <v>206</v>
      </c>
      <c r="AS195" s="6" t="s">
        <v>377</v>
      </c>
    </row>
    <row r="196" spans="1:45" x14ac:dyDescent="0.3">
      <c r="A196" s="7" t="s">
        <v>920</v>
      </c>
      <c r="B196" s="7" t="s">
        <v>4627</v>
      </c>
      <c r="C196" s="7" t="s">
        <v>243</v>
      </c>
      <c r="D196" s="7" t="s">
        <v>248</v>
      </c>
      <c r="E196" s="7" t="s">
        <v>20</v>
      </c>
      <c r="F196" s="7" t="s">
        <v>31</v>
      </c>
      <c r="G196" s="7" t="s">
        <v>78</v>
      </c>
      <c r="H196" s="7" t="s">
        <v>4340</v>
      </c>
      <c r="I196" s="7" t="s">
        <v>4291</v>
      </c>
      <c r="J196" s="7" t="s">
        <v>136</v>
      </c>
      <c r="K196" s="7" t="s">
        <v>184</v>
      </c>
      <c r="L196" s="7" t="s">
        <v>921</v>
      </c>
      <c r="M196" s="7" t="s">
        <v>4628</v>
      </c>
      <c r="N196" s="7" t="s">
        <v>438</v>
      </c>
      <c r="O196" s="7" t="s">
        <v>4629</v>
      </c>
      <c r="P196" s="7">
        <v>48</v>
      </c>
      <c r="Q196" s="7">
        <v>43338823</v>
      </c>
      <c r="R196" s="7">
        <v>0.12</v>
      </c>
      <c r="S196" s="7">
        <v>-0.01</v>
      </c>
      <c r="T196" s="7">
        <v>37756782.600000001</v>
      </c>
      <c r="U196" s="7">
        <v>28938390.52</v>
      </c>
      <c r="V196" s="7">
        <v>0.31</v>
      </c>
      <c r="W196" s="7">
        <v>0.19</v>
      </c>
      <c r="X196" s="7" t="s">
        <v>922</v>
      </c>
      <c r="Y196" s="7">
        <v>22103830.710000001</v>
      </c>
      <c r="Z196" s="7">
        <v>8110064.2000000002</v>
      </c>
      <c r="AA196" s="7">
        <v>120</v>
      </c>
      <c r="AB196" s="7">
        <v>44</v>
      </c>
      <c r="AC196" s="7" t="s">
        <v>342</v>
      </c>
      <c r="AD196" s="7" t="s">
        <v>406</v>
      </c>
      <c r="AE196" s="7">
        <v>0.25</v>
      </c>
      <c r="AF196" s="7"/>
      <c r="AG196" s="7">
        <v>0.1</v>
      </c>
      <c r="AH196" s="7">
        <v>0.06</v>
      </c>
      <c r="AI196" s="7">
        <v>2</v>
      </c>
      <c r="AJ196" s="7">
        <v>1371</v>
      </c>
      <c r="AK196" s="7">
        <v>8308089.6600000001</v>
      </c>
      <c r="AL196" s="7">
        <v>17149173.449999999</v>
      </c>
      <c r="AM196" s="7" t="s">
        <v>73</v>
      </c>
      <c r="AN196" s="7" t="s">
        <v>330</v>
      </c>
      <c r="AO196" s="7">
        <v>68.8</v>
      </c>
      <c r="AP196" s="7">
        <v>60</v>
      </c>
      <c r="AQ196" s="7" t="s">
        <v>387</v>
      </c>
      <c r="AR196" s="7" t="s">
        <v>192</v>
      </c>
      <c r="AS196" s="7" t="s">
        <v>377</v>
      </c>
    </row>
    <row r="197" spans="1:45" x14ac:dyDescent="0.3">
      <c r="A197" s="6" t="s">
        <v>923</v>
      </c>
      <c r="B197" s="6" t="s">
        <v>4528</v>
      </c>
      <c r="C197" s="6" t="s">
        <v>283</v>
      </c>
      <c r="D197" s="6" t="s">
        <v>215</v>
      </c>
      <c r="E197" s="6"/>
      <c r="F197" s="6" t="s">
        <v>350</v>
      </c>
      <c r="G197" s="6" t="s">
        <v>70</v>
      </c>
      <c r="H197" s="6" t="s">
        <v>197</v>
      </c>
      <c r="I197" s="6" t="s">
        <v>4291</v>
      </c>
      <c r="J197" s="6" t="s">
        <v>130</v>
      </c>
      <c r="K197" s="6" t="s">
        <v>184</v>
      </c>
      <c r="L197" s="6" t="s">
        <v>924</v>
      </c>
      <c r="M197" s="6" t="s">
        <v>3572</v>
      </c>
      <c r="N197" s="6"/>
      <c r="O197" s="6" t="s">
        <v>4630</v>
      </c>
      <c r="P197" s="6">
        <v>15</v>
      </c>
      <c r="Q197" s="6">
        <v>19945015</v>
      </c>
      <c r="R197" s="6">
        <v>0.25</v>
      </c>
      <c r="S197" s="6">
        <v>0.17</v>
      </c>
      <c r="T197" s="6">
        <v>17501750.66</v>
      </c>
      <c r="U197" s="6">
        <v>13324423.16</v>
      </c>
      <c r="V197" s="6">
        <v>7.0000000000000007E-2</v>
      </c>
      <c r="W197" s="6">
        <v>0.12</v>
      </c>
      <c r="X197" s="6" t="s">
        <v>925</v>
      </c>
      <c r="Y197" s="6">
        <v>4908217</v>
      </c>
      <c r="Z197" s="6">
        <v>2738338.02</v>
      </c>
      <c r="AA197" s="6">
        <v>60</v>
      </c>
      <c r="AB197" s="6">
        <v>145</v>
      </c>
      <c r="AC197" s="6" t="s">
        <v>353</v>
      </c>
      <c r="AD197" s="6" t="s">
        <v>381</v>
      </c>
      <c r="AE197" s="6">
        <v>0.66</v>
      </c>
      <c r="AF197" s="6" t="s">
        <v>4312</v>
      </c>
      <c r="AG197" s="6">
        <v>0.05</v>
      </c>
      <c r="AH197" s="6">
        <v>0.04</v>
      </c>
      <c r="AI197" s="6">
        <v>6</v>
      </c>
      <c r="AJ197" s="6">
        <v>125</v>
      </c>
      <c r="AK197" s="6">
        <v>1455332.55</v>
      </c>
      <c r="AL197" s="6">
        <v>7827435.0700000003</v>
      </c>
      <c r="AM197" s="6" t="s">
        <v>343</v>
      </c>
      <c r="AN197" s="6" t="s">
        <v>322</v>
      </c>
      <c r="AO197" s="6"/>
      <c r="AP197" s="6">
        <v>36</v>
      </c>
      <c r="AQ197" s="6" t="s">
        <v>337</v>
      </c>
      <c r="AR197" s="6" t="s">
        <v>224</v>
      </c>
      <c r="AS197" s="6" t="s">
        <v>324</v>
      </c>
    </row>
    <row r="198" spans="1:45" x14ac:dyDescent="0.3">
      <c r="A198" s="7" t="s">
        <v>926</v>
      </c>
      <c r="B198" s="7" t="s">
        <v>4631</v>
      </c>
      <c r="C198" s="7" t="s">
        <v>234</v>
      </c>
      <c r="D198" s="7"/>
      <c r="E198" s="7" t="s">
        <v>4265</v>
      </c>
      <c r="F198" s="7" t="s">
        <v>363</v>
      </c>
      <c r="G198" s="7" t="s">
        <v>78</v>
      </c>
      <c r="H198" s="7" t="s">
        <v>4271</v>
      </c>
      <c r="I198" s="7" t="s">
        <v>4307</v>
      </c>
      <c r="J198" s="6" t="s">
        <v>105</v>
      </c>
      <c r="K198" s="7" t="s">
        <v>184</v>
      </c>
      <c r="L198" s="7" t="s">
        <v>927</v>
      </c>
      <c r="M198" s="7" t="s">
        <v>3634</v>
      </c>
      <c r="N198" s="7" t="s">
        <v>3635</v>
      </c>
      <c r="O198" s="7" t="s">
        <v>3636</v>
      </c>
      <c r="P198" s="7">
        <v>23</v>
      </c>
      <c r="Q198" s="7">
        <v>39971338</v>
      </c>
      <c r="R198" s="7">
        <v>0.06</v>
      </c>
      <c r="S198" s="7">
        <v>0.13</v>
      </c>
      <c r="T198" s="7">
        <v>42457555.219999999</v>
      </c>
      <c r="U198" s="7">
        <v>35154950.32</v>
      </c>
      <c r="V198" s="7">
        <v>0.19</v>
      </c>
      <c r="W198" s="7">
        <v>0.17</v>
      </c>
      <c r="X198" s="7" t="s">
        <v>928</v>
      </c>
      <c r="Y198" s="7">
        <v>12227253.82</v>
      </c>
      <c r="Z198" s="7">
        <v>6240180.1299999999</v>
      </c>
      <c r="AA198" s="7">
        <v>30</v>
      </c>
      <c r="AB198" s="7">
        <v>33</v>
      </c>
      <c r="AC198" s="7" t="s">
        <v>376</v>
      </c>
      <c r="AD198" s="7" t="s">
        <v>354</v>
      </c>
      <c r="AE198" s="7">
        <v>0.8</v>
      </c>
      <c r="AF198" s="7" t="s">
        <v>155</v>
      </c>
      <c r="AG198" s="7">
        <v>0.15</v>
      </c>
      <c r="AH198" s="7">
        <v>7.0000000000000007E-2</v>
      </c>
      <c r="AI198" s="7">
        <v>12</v>
      </c>
      <c r="AJ198" s="7">
        <v>4969</v>
      </c>
      <c r="AK198" s="7">
        <v>10178469.800000001</v>
      </c>
      <c r="AL198" s="7">
        <v>18402886.530000001</v>
      </c>
      <c r="AM198" s="7" t="s">
        <v>73</v>
      </c>
      <c r="AN198" s="7" t="s">
        <v>356</v>
      </c>
      <c r="AO198" s="7">
        <v>65.599999999999994</v>
      </c>
      <c r="AP198" s="7">
        <v>48</v>
      </c>
      <c r="AQ198" s="7"/>
      <c r="AR198" s="7" t="s">
        <v>186</v>
      </c>
      <c r="AS198" s="7"/>
    </row>
    <row r="199" spans="1:45" x14ac:dyDescent="0.3">
      <c r="A199" s="6" t="s">
        <v>586</v>
      </c>
      <c r="B199" s="6" t="s">
        <v>4632</v>
      </c>
      <c r="C199" s="6" t="s">
        <v>237</v>
      </c>
      <c r="D199" s="6" t="s">
        <v>190</v>
      </c>
      <c r="E199" s="6" t="s">
        <v>4265</v>
      </c>
      <c r="F199" s="6" t="s">
        <v>363</v>
      </c>
      <c r="G199" s="6" t="s">
        <v>33</v>
      </c>
      <c r="H199" s="6" t="s">
        <v>4340</v>
      </c>
      <c r="I199" s="6" t="s">
        <v>213</v>
      </c>
      <c r="J199" s="6" t="s">
        <v>105</v>
      </c>
      <c r="K199" s="6" t="s">
        <v>326</v>
      </c>
      <c r="L199" s="6" t="s">
        <v>3637</v>
      </c>
      <c r="M199" s="6" t="s">
        <v>4633</v>
      </c>
      <c r="N199" s="6"/>
      <c r="O199" s="6" t="s">
        <v>4274</v>
      </c>
      <c r="P199" s="6">
        <v>4</v>
      </c>
      <c r="Q199" s="6">
        <v>1897555</v>
      </c>
      <c r="R199" s="6">
        <v>0.3</v>
      </c>
      <c r="S199" s="6">
        <v>0.16</v>
      </c>
      <c r="T199" s="6">
        <v>1540814.66</v>
      </c>
      <c r="U199" s="6">
        <v>1353255.07</v>
      </c>
      <c r="V199" s="6">
        <v>0.27</v>
      </c>
      <c r="W199" s="6">
        <v>0.12</v>
      </c>
      <c r="X199" s="6" t="s">
        <v>3639</v>
      </c>
      <c r="Y199" s="6" t="s">
        <v>158</v>
      </c>
      <c r="Z199" s="6">
        <v>626673.96</v>
      </c>
      <c r="AA199" s="6">
        <v>90</v>
      </c>
      <c r="AB199" s="6">
        <v>55</v>
      </c>
      <c r="AC199" s="6" t="s">
        <v>347</v>
      </c>
      <c r="AD199" s="6" t="s">
        <v>406</v>
      </c>
      <c r="AE199" s="6">
        <v>0.63</v>
      </c>
      <c r="AF199" s="6" t="s">
        <v>4319</v>
      </c>
      <c r="AG199" s="6">
        <v>0.05</v>
      </c>
      <c r="AH199" s="6">
        <v>0.04</v>
      </c>
      <c r="AI199" s="6">
        <v>5</v>
      </c>
      <c r="AJ199" s="6">
        <v>1264</v>
      </c>
      <c r="AK199" s="6">
        <v>93510.14</v>
      </c>
      <c r="AL199" s="6">
        <v>205128.42</v>
      </c>
      <c r="AM199" s="6" t="s">
        <v>321</v>
      </c>
      <c r="AN199" s="6" t="s">
        <v>330</v>
      </c>
      <c r="AO199" s="6">
        <v>82.4</v>
      </c>
      <c r="AP199" s="6">
        <v>12</v>
      </c>
      <c r="AQ199" s="6" t="s">
        <v>337</v>
      </c>
      <c r="AR199" s="6" t="s">
        <v>224</v>
      </c>
      <c r="AS199" s="6"/>
    </row>
    <row r="200" spans="1:45" x14ac:dyDescent="0.3">
      <c r="A200" s="7" t="s">
        <v>929</v>
      </c>
      <c r="B200" s="7" t="s">
        <v>3640</v>
      </c>
      <c r="C200" s="7" t="s">
        <v>195</v>
      </c>
      <c r="D200" s="7" t="s">
        <v>242</v>
      </c>
      <c r="E200" s="7" t="s">
        <v>20</v>
      </c>
      <c r="F200" s="7" t="s">
        <v>31</v>
      </c>
      <c r="G200" s="7" t="s">
        <v>66</v>
      </c>
      <c r="H200" s="7" t="s">
        <v>182</v>
      </c>
      <c r="I200" s="7" t="s">
        <v>203</v>
      </c>
      <c r="J200" s="7" t="s">
        <v>136</v>
      </c>
      <c r="K200" s="7" t="s">
        <v>184</v>
      </c>
      <c r="L200" s="7" t="s">
        <v>930</v>
      </c>
      <c r="M200" s="7" t="s">
        <v>4634</v>
      </c>
      <c r="N200" s="7" t="s">
        <v>4591</v>
      </c>
      <c r="O200" s="7" t="s">
        <v>3641</v>
      </c>
      <c r="P200" s="7">
        <v>32</v>
      </c>
      <c r="Q200" s="7">
        <v>41405096</v>
      </c>
      <c r="R200" s="7">
        <v>0.26</v>
      </c>
      <c r="S200" s="7">
        <v>0.03</v>
      </c>
      <c r="T200" s="7">
        <v>31558964.170000002</v>
      </c>
      <c r="U200" s="7">
        <v>27626822.25</v>
      </c>
      <c r="V200" s="7">
        <v>0.08</v>
      </c>
      <c r="W200" s="7">
        <v>0.1</v>
      </c>
      <c r="X200" s="7" t="s">
        <v>931</v>
      </c>
      <c r="Y200" s="7">
        <v>19604185.039999999</v>
      </c>
      <c r="Z200" s="7">
        <v>19991038.079999998</v>
      </c>
      <c r="AA200" s="7">
        <v>45</v>
      </c>
      <c r="AB200" s="7">
        <v>151</v>
      </c>
      <c r="AC200" s="7"/>
      <c r="AD200" s="7" t="s">
        <v>381</v>
      </c>
      <c r="AE200" s="7">
        <v>0.73</v>
      </c>
      <c r="AF200" s="7" t="s">
        <v>162</v>
      </c>
      <c r="AG200" s="7">
        <v>0.1</v>
      </c>
      <c r="AH200" s="7">
        <v>0.06</v>
      </c>
      <c r="AI200" s="7">
        <v>12</v>
      </c>
      <c r="AJ200" s="7">
        <v>675</v>
      </c>
      <c r="AK200" s="7">
        <v>7477725.6900000004</v>
      </c>
      <c r="AL200" s="7">
        <v>11751177.17</v>
      </c>
      <c r="AM200" s="7" t="s">
        <v>385</v>
      </c>
      <c r="AN200" s="7" t="s">
        <v>356</v>
      </c>
      <c r="AO200" s="7">
        <v>88.3</v>
      </c>
      <c r="AP200" s="7">
        <v>24</v>
      </c>
      <c r="AQ200" s="7" t="s">
        <v>337</v>
      </c>
      <c r="AR200" s="7" t="s">
        <v>186</v>
      </c>
      <c r="AS200" s="7"/>
    </row>
    <row r="201" spans="1:45" x14ac:dyDescent="0.3">
      <c r="A201" s="6" t="s">
        <v>932</v>
      </c>
      <c r="B201" s="6" t="s">
        <v>3278</v>
      </c>
      <c r="C201" s="6" t="s">
        <v>195</v>
      </c>
      <c r="D201" s="6" t="s">
        <v>209</v>
      </c>
      <c r="E201" s="6" t="s">
        <v>4325</v>
      </c>
      <c r="F201" s="6" t="s">
        <v>339</v>
      </c>
      <c r="G201" s="6" t="s">
        <v>62</v>
      </c>
      <c r="H201" s="6" t="s">
        <v>197</v>
      </c>
      <c r="I201" s="6" t="s">
        <v>213</v>
      </c>
      <c r="J201" s="6" t="s">
        <v>115</v>
      </c>
      <c r="K201" s="6" t="s">
        <v>326</v>
      </c>
      <c r="L201" s="6" t="s">
        <v>933</v>
      </c>
      <c r="M201" s="6" t="s">
        <v>4635</v>
      </c>
      <c r="N201" s="6"/>
      <c r="O201" s="6" t="s">
        <v>4438</v>
      </c>
      <c r="P201" s="6" t="s">
        <v>4275</v>
      </c>
      <c r="Q201" s="6">
        <v>18920916</v>
      </c>
      <c r="R201" s="6">
        <v>0.06</v>
      </c>
      <c r="S201" s="6">
        <v>0.03</v>
      </c>
      <c r="T201" s="6">
        <v>18319230.870000001</v>
      </c>
      <c r="U201" s="6">
        <v>12410622.26</v>
      </c>
      <c r="V201" s="6">
        <v>0.06</v>
      </c>
      <c r="W201" s="6">
        <v>7.0000000000000007E-2</v>
      </c>
      <c r="X201" s="6" t="s">
        <v>934</v>
      </c>
      <c r="Y201" s="6">
        <v>4434468.8600000003</v>
      </c>
      <c r="Z201" s="6">
        <v>1998154.96</v>
      </c>
      <c r="AA201" s="6">
        <v>45</v>
      </c>
      <c r="AB201" s="6">
        <v>46</v>
      </c>
      <c r="AC201" s="6" t="s">
        <v>329</v>
      </c>
      <c r="AD201" s="6" t="s">
        <v>336</v>
      </c>
      <c r="AE201" s="6">
        <v>0.97</v>
      </c>
      <c r="AF201" s="6" t="s">
        <v>4361</v>
      </c>
      <c r="AG201" s="6">
        <v>0.1</v>
      </c>
      <c r="AH201" s="6">
        <v>7.0000000000000007E-2</v>
      </c>
      <c r="AI201" s="6">
        <v>8</v>
      </c>
      <c r="AJ201" s="6">
        <v>3105</v>
      </c>
      <c r="AK201" s="6">
        <v>4163837.09</v>
      </c>
      <c r="AL201" s="6">
        <v>2598494.7200000002</v>
      </c>
      <c r="AM201" s="6" t="s">
        <v>355</v>
      </c>
      <c r="AN201" s="6" t="s">
        <v>356</v>
      </c>
      <c r="AO201" s="6">
        <v>73.8</v>
      </c>
      <c r="AP201" s="6">
        <v>12</v>
      </c>
      <c r="AQ201" s="6" t="s">
        <v>337</v>
      </c>
      <c r="AR201" s="6" t="s">
        <v>186</v>
      </c>
      <c r="AS201" s="6" t="s">
        <v>188</v>
      </c>
    </row>
    <row r="202" spans="1:45" x14ac:dyDescent="0.3">
      <c r="A202" s="7" t="s">
        <v>935</v>
      </c>
      <c r="B202" s="7" t="s">
        <v>4580</v>
      </c>
      <c r="C202" s="7" t="s">
        <v>284</v>
      </c>
      <c r="D202" s="7" t="s">
        <v>274</v>
      </c>
      <c r="E202" s="7"/>
      <c r="F202" s="7" t="s">
        <v>31</v>
      </c>
      <c r="G202" s="7" t="s">
        <v>70</v>
      </c>
      <c r="H202" s="7" t="s">
        <v>197</v>
      </c>
      <c r="I202" s="7" t="s">
        <v>4307</v>
      </c>
      <c r="J202" s="7" t="s">
        <v>130</v>
      </c>
      <c r="K202" s="7" t="s">
        <v>326</v>
      </c>
      <c r="L202" s="7" t="s">
        <v>936</v>
      </c>
      <c r="M202" s="7" t="s">
        <v>4636</v>
      </c>
      <c r="N202" s="7"/>
      <c r="O202" s="7" t="s">
        <v>4274</v>
      </c>
      <c r="P202" s="7">
        <v>41</v>
      </c>
      <c r="Q202" s="7">
        <v>11121675</v>
      </c>
      <c r="R202" s="7">
        <v>0.17</v>
      </c>
      <c r="S202" s="7">
        <v>0</v>
      </c>
      <c r="T202" s="7">
        <v>9230990.25</v>
      </c>
      <c r="U202" s="7">
        <v>8149615.7400000002</v>
      </c>
      <c r="V202" s="7">
        <v>0.39</v>
      </c>
      <c r="W202" s="7">
        <v>0.16</v>
      </c>
      <c r="X202" s="7" t="s">
        <v>937</v>
      </c>
      <c r="Y202" s="7">
        <v>632207.19999999995</v>
      </c>
      <c r="Z202" s="7">
        <v>598938.6</v>
      </c>
      <c r="AA202" s="7">
        <v>90</v>
      </c>
      <c r="AB202" s="7">
        <v>152</v>
      </c>
      <c r="AC202" s="7" t="s">
        <v>353</v>
      </c>
      <c r="AD202" s="7" t="s">
        <v>354</v>
      </c>
      <c r="AE202" s="7">
        <v>0.59</v>
      </c>
      <c r="AF202" s="7" t="s">
        <v>4276</v>
      </c>
      <c r="AG202" s="7">
        <v>0.1</v>
      </c>
      <c r="AH202" s="7">
        <v>0.08</v>
      </c>
      <c r="AI202" s="7">
        <v>15</v>
      </c>
      <c r="AJ202" s="7">
        <v>1168</v>
      </c>
      <c r="AK202" s="7">
        <v>1158527.21</v>
      </c>
      <c r="AL202" s="7">
        <v>926212.49</v>
      </c>
      <c r="AM202" s="7" t="s">
        <v>355</v>
      </c>
      <c r="AN202" s="7" t="s">
        <v>322</v>
      </c>
      <c r="AO202" s="7">
        <v>89.4</v>
      </c>
      <c r="AP202" s="7">
        <v>24</v>
      </c>
      <c r="AQ202" s="7" t="s">
        <v>392</v>
      </c>
      <c r="AR202" s="7" t="s">
        <v>192</v>
      </c>
      <c r="AS202" s="7"/>
    </row>
    <row r="203" spans="1:45" x14ac:dyDescent="0.3">
      <c r="A203" s="6" t="s">
        <v>938</v>
      </c>
      <c r="B203" s="6" t="s">
        <v>3643</v>
      </c>
      <c r="C203" s="6" t="s">
        <v>254</v>
      </c>
      <c r="D203" s="6" t="s">
        <v>281</v>
      </c>
      <c r="E203" s="6" t="s">
        <v>20</v>
      </c>
      <c r="F203" s="6" t="s">
        <v>196</v>
      </c>
      <c r="G203" s="6" t="s">
        <v>78</v>
      </c>
      <c r="H203" s="6" t="s">
        <v>4340</v>
      </c>
      <c r="I203" s="6" t="s">
        <v>4272</v>
      </c>
      <c r="J203" s="6" t="s">
        <v>136</v>
      </c>
      <c r="K203" s="6" t="s">
        <v>326</v>
      </c>
      <c r="L203" s="6" t="s">
        <v>939</v>
      </c>
      <c r="M203" s="6" t="s">
        <v>3304</v>
      </c>
      <c r="N203" s="6" t="s">
        <v>4637</v>
      </c>
      <c r="O203" s="6" t="s">
        <v>3645</v>
      </c>
      <c r="P203" s="6">
        <v>26</v>
      </c>
      <c r="Q203" s="6">
        <v>16623721</v>
      </c>
      <c r="R203" s="6">
        <v>0.06</v>
      </c>
      <c r="S203" s="6">
        <v>0.09</v>
      </c>
      <c r="T203" s="6">
        <v>17032664.539999999</v>
      </c>
      <c r="U203" s="6">
        <v>12781937.92</v>
      </c>
      <c r="V203" s="6" t="s">
        <v>4374</v>
      </c>
      <c r="W203" s="6">
        <v>0.14000000000000001</v>
      </c>
      <c r="X203" s="6" t="s">
        <v>940</v>
      </c>
      <c r="Y203" s="6">
        <v>12080711</v>
      </c>
      <c r="Z203" s="6">
        <v>3672002.49</v>
      </c>
      <c r="AA203" s="6">
        <v>45</v>
      </c>
      <c r="AB203" s="6">
        <v>89</v>
      </c>
      <c r="AC203" s="6" t="s">
        <v>342</v>
      </c>
      <c r="AD203" s="6" t="s">
        <v>336</v>
      </c>
      <c r="AE203" s="6">
        <v>0.14000000000000001</v>
      </c>
      <c r="AF203" s="6" t="s">
        <v>162</v>
      </c>
      <c r="AG203" s="6">
        <v>0.15</v>
      </c>
      <c r="AH203" s="6">
        <v>7.0000000000000007E-2</v>
      </c>
      <c r="AI203" s="6">
        <v>6</v>
      </c>
      <c r="AJ203" s="6"/>
      <c r="AK203" s="6">
        <v>704395.74</v>
      </c>
      <c r="AL203" s="6">
        <v>2928771.06</v>
      </c>
      <c r="AM203" s="6" t="s">
        <v>343</v>
      </c>
      <c r="AN203" s="6" t="s">
        <v>330</v>
      </c>
      <c r="AO203" s="6">
        <v>82.3</v>
      </c>
      <c r="AP203" s="6">
        <v>36</v>
      </c>
      <c r="AQ203" s="6" t="s">
        <v>323</v>
      </c>
      <c r="AR203" s="6" t="s">
        <v>224</v>
      </c>
      <c r="AS203" s="6" t="s">
        <v>361</v>
      </c>
    </row>
    <row r="204" spans="1:45" x14ac:dyDescent="0.3">
      <c r="A204" s="7" t="s">
        <v>941</v>
      </c>
      <c r="B204" s="7" t="s">
        <v>3646</v>
      </c>
      <c r="C204" s="7" t="s">
        <v>237</v>
      </c>
      <c r="D204" s="7" t="s">
        <v>248</v>
      </c>
      <c r="E204" s="7" t="s">
        <v>4270</v>
      </c>
      <c r="F204" s="7" t="s">
        <v>367</v>
      </c>
      <c r="G204" s="7" t="s">
        <v>66</v>
      </c>
      <c r="H204" s="7" t="s">
        <v>4340</v>
      </c>
      <c r="I204" s="7" t="s">
        <v>198</v>
      </c>
      <c r="J204" s="7" t="s">
        <v>111</v>
      </c>
      <c r="K204" s="7" t="s">
        <v>333</v>
      </c>
      <c r="L204" s="7" t="s">
        <v>942</v>
      </c>
      <c r="M204" s="7" t="s">
        <v>4638</v>
      </c>
      <c r="N204" s="7"/>
      <c r="O204" s="7" t="s">
        <v>4274</v>
      </c>
      <c r="P204" s="7">
        <v>51</v>
      </c>
      <c r="Q204" s="7">
        <v>45991047</v>
      </c>
      <c r="R204" s="7">
        <v>0.19</v>
      </c>
      <c r="S204" s="7">
        <v>-0.02</v>
      </c>
      <c r="T204" s="7">
        <v>36507693.109999999</v>
      </c>
      <c r="U204" s="7">
        <v>29294345.129999999</v>
      </c>
      <c r="V204" s="7">
        <v>0.17</v>
      </c>
      <c r="W204" s="7">
        <v>0.19</v>
      </c>
      <c r="X204" s="7" t="s">
        <v>943</v>
      </c>
      <c r="Y204" s="7">
        <v>26843909.449999999</v>
      </c>
      <c r="Z204" s="7">
        <v>15489727.5</v>
      </c>
      <c r="AA204" s="7">
        <v>30</v>
      </c>
      <c r="AB204" s="7">
        <v>168</v>
      </c>
      <c r="AC204" s="7" t="s">
        <v>353</v>
      </c>
      <c r="AD204" s="7" t="s">
        <v>320</v>
      </c>
      <c r="AE204" s="7">
        <v>0.86</v>
      </c>
      <c r="AF204" s="7" t="s">
        <v>4294</v>
      </c>
      <c r="AG204" s="7">
        <v>0.05</v>
      </c>
      <c r="AH204" s="7">
        <v>0.02</v>
      </c>
      <c r="AI204" s="7">
        <v>4</v>
      </c>
      <c r="AJ204" s="7"/>
      <c r="AK204" s="7">
        <v>1750793.32</v>
      </c>
      <c r="AL204" s="7">
        <v>9011619.1500000004</v>
      </c>
      <c r="AM204" s="7" t="s">
        <v>391</v>
      </c>
      <c r="AN204" s="7" t="s">
        <v>348</v>
      </c>
      <c r="AO204" s="7">
        <v>75.7</v>
      </c>
      <c r="AP204" s="7">
        <v>36</v>
      </c>
      <c r="AQ204" s="7" t="s">
        <v>337</v>
      </c>
      <c r="AR204" s="7" t="s">
        <v>186</v>
      </c>
      <c r="AS204" s="7"/>
    </row>
    <row r="205" spans="1:45" x14ac:dyDescent="0.3">
      <c r="A205" s="6" t="s">
        <v>944</v>
      </c>
      <c r="B205" s="6" t="s">
        <v>3647</v>
      </c>
      <c r="C205" s="6" t="s">
        <v>249</v>
      </c>
      <c r="D205" s="6" t="s">
        <v>180</v>
      </c>
      <c r="E205" s="6" t="s">
        <v>20</v>
      </c>
      <c r="F205" s="6" t="s">
        <v>35</v>
      </c>
      <c r="G205" s="6" t="s">
        <v>57</v>
      </c>
      <c r="H205" s="6" t="s">
        <v>263</v>
      </c>
      <c r="I205" s="6" t="s">
        <v>191</v>
      </c>
      <c r="J205" s="6" t="s">
        <v>136</v>
      </c>
      <c r="K205" s="6" t="s">
        <v>333</v>
      </c>
      <c r="L205" s="6" t="s">
        <v>945</v>
      </c>
      <c r="M205" s="6" t="s">
        <v>3638</v>
      </c>
      <c r="N205" s="6" t="s">
        <v>3648</v>
      </c>
      <c r="O205" s="6" t="s">
        <v>3649</v>
      </c>
      <c r="P205" s="6">
        <v>49</v>
      </c>
      <c r="Q205" s="6">
        <v>19878982</v>
      </c>
      <c r="R205" s="6">
        <v>0.13</v>
      </c>
      <c r="S205" s="6">
        <v>-0.05</v>
      </c>
      <c r="T205" s="6">
        <v>16429978.619999999</v>
      </c>
      <c r="U205" s="6">
        <v>14429335.699999999</v>
      </c>
      <c r="V205" s="6">
        <v>0.2</v>
      </c>
      <c r="W205" s="6">
        <v>0.05</v>
      </c>
      <c r="X205" s="6" t="s">
        <v>946</v>
      </c>
      <c r="Y205" s="6">
        <v>5355148.91</v>
      </c>
      <c r="Z205" s="6">
        <v>4331170.32</v>
      </c>
      <c r="AA205" s="6">
        <v>120</v>
      </c>
      <c r="AB205" s="6">
        <v>29</v>
      </c>
      <c r="AC205" s="6" t="s">
        <v>353</v>
      </c>
      <c r="AD205" s="6" t="s">
        <v>406</v>
      </c>
      <c r="AE205" s="6">
        <v>0.39</v>
      </c>
      <c r="AF205" s="6"/>
      <c r="AG205" s="6">
        <v>0.05</v>
      </c>
      <c r="AH205" s="6">
        <v>0.06</v>
      </c>
      <c r="AI205" s="6">
        <v>12</v>
      </c>
      <c r="AJ205" s="6">
        <v>4686</v>
      </c>
      <c r="AK205" s="6">
        <v>1474365.92</v>
      </c>
      <c r="AL205" s="6">
        <v>7257079.8200000003</v>
      </c>
      <c r="AM205" s="6" t="s">
        <v>321</v>
      </c>
      <c r="AN205" s="6" t="s">
        <v>356</v>
      </c>
      <c r="AO205" s="6">
        <v>82.6</v>
      </c>
      <c r="AP205" s="6">
        <v>12</v>
      </c>
      <c r="AQ205" s="6" t="s">
        <v>387</v>
      </c>
      <c r="AR205" s="6" t="s">
        <v>206</v>
      </c>
      <c r="AS205" s="6" t="s">
        <v>361</v>
      </c>
    </row>
    <row r="206" spans="1:45" x14ac:dyDescent="0.3">
      <c r="A206" s="7" t="s">
        <v>947</v>
      </c>
      <c r="B206" s="7" t="s">
        <v>4639</v>
      </c>
      <c r="C206" s="7" t="s">
        <v>208</v>
      </c>
      <c r="D206" s="7" t="s">
        <v>274</v>
      </c>
      <c r="E206" s="7" t="s">
        <v>4270</v>
      </c>
      <c r="F206" s="7" t="s">
        <v>367</v>
      </c>
      <c r="G206" s="7" t="s">
        <v>73</v>
      </c>
      <c r="H206" s="7" t="s">
        <v>4326</v>
      </c>
      <c r="I206" s="7" t="s">
        <v>213</v>
      </c>
      <c r="J206" s="7" t="s">
        <v>127</v>
      </c>
      <c r="K206" s="7" t="s">
        <v>223</v>
      </c>
      <c r="L206" s="7" t="s">
        <v>948</v>
      </c>
      <c r="M206" s="7" t="s">
        <v>3651</v>
      </c>
      <c r="N206" s="7" t="s">
        <v>4640</v>
      </c>
      <c r="O206" s="7" t="s">
        <v>4641</v>
      </c>
      <c r="P206" s="7">
        <v>12</v>
      </c>
      <c r="Q206" s="7">
        <v>3269705</v>
      </c>
      <c r="R206" s="7">
        <v>0.22</v>
      </c>
      <c r="S206" s="7">
        <v>0.18</v>
      </c>
      <c r="T206" s="7">
        <v>3009436.48</v>
      </c>
      <c r="U206" s="7">
        <v>2476078.11</v>
      </c>
      <c r="V206" s="7">
        <v>0.28999999999999998</v>
      </c>
      <c r="W206" s="7">
        <v>0.15</v>
      </c>
      <c r="X206" s="7" t="s">
        <v>949</v>
      </c>
      <c r="Y206" s="7">
        <v>1885342.77</v>
      </c>
      <c r="Z206" s="7">
        <v>976878.14</v>
      </c>
      <c r="AA206" s="7">
        <v>90</v>
      </c>
      <c r="AB206" s="7">
        <v>54</v>
      </c>
      <c r="AC206" s="7"/>
      <c r="AD206" s="7" t="s">
        <v>320</v>
      </c>
      <c r="AE206" s="7">
        <v>7.0000000000000007E-2</v>
      </c>
      <c r="AF206" s="7" t="s">
        <v>152</v>
      </c>
      <c r="AG206" s="7">
        <v>0.1</v>
      </c>
      <c r="AH206" s="7">
        <v>7.0000000000000007E-2</v>
      </c>
      <c r="AI206" s="7">
        <v>8</v>
      </c>
      <c r="AJ206" s="7">
        <v>2838</v>
      </c>
      <c r="AK206" s="7">
        <v>577939.72</v>
      </c>
      <c r="AL206" s="7">
        <v>666930.52</v>
      </c>
      <c r="AM206" s="7" t="s">
        <v>385</v>
      </c>
      <c r="AN206" s="7" t="s">
        <v>386</v>
      </c>
      <c r="AO206" s="7">
        <v>83</v>
      </c>
      <c r="AP206" s="7">
        <v>48</v>
      </c>
      <c r="AQ206" s="7" t="s">
        <v>4275</v>
      </c>
      <c r="AR206" s="7" t="s">
        <v>186</v>
      </c>
      <c r="AS206" s="7" t="s">
        <v>324</v>
      </c>
    </row>
    <row r="207" spans="1:45" x14ac:dyDescent="0.3">
      <c r="A207" s="6" t="s">
        <v>950</v>
      </c>
      <c r="B207" s="6" t="s">
        <v>3653</v>
      </c>
      <c r="C207" s="6" t="s">
        <v>269</v>
      </c>
      <c r="D207" s="6" t="s">
        <v>245</v>
      </c>
      <c r="E207" s="6" t="s">
        <v>36</v>
      </c>
      <c r="F207" s="6" t="s">
        <v>19</v>
      </c>
      <c r="G207" s="6" t="s">
        <v>33</v>
      </c>
      <c r="H207" s="6" t="s">
        <v>263</v>
      </c>
      <c r="I207" s="6" t="s">
        <v>4307</v>
      </c>
      <c r="J207" s="6" t="s">
        <v>115</v>
      </c>
      <c r="K207" s="6" t="s">
        <v>223</v>
      </c>
      <c r="L207" s="6" t="s">
        <v>951</v>
      </c>
      <c r="M207" s="6" t="s">
        <v>3551</v>
      </c>
      <c r="N207" s="6" t="s">
        <v>4406</v>
      </c>
      <c r="O207" s="6" t="s">
        <v>3654</v>
      </c>
      <c r="P207" s="6">
        <v>28</v>
      </c>
      <c r="Q207" s="6">
        <v>29159541</v>
      </c>
      <c r="R207" s="6">
        <v>0.15</v>
      </c>
      <c r="S207" s="6">
        <v>0.14000000000000001</v>
      </c>
      <c r="T207" s="6">
        <v>28255595.23</v>
      </c>
      <c r="U207" s="6">
        <v>20885806.510000002</v>
      </c>
      <c r="V207" s="6">
        <v>0.21</v>
      </c>
      <c r="W207" s="6">
        <v>0.19</v>
      </c>
      <c r="X207" s="6" t="s">
        <v>952</v>
      </c>
      <c r="Y207" s="6">
        <v>19459067.469999999</v>
      </c>
      <c r="Z207" s="6">
        <v>10257071.869999999</v>
      </c>
      <c r="AA207" s="6">
        <v>90</v>
      </c>
      <c r="AB207" s="6">
        <v>61</v>
      </c>
      <c r="AC207" s="6" t="s">
        <v>329</v>
      </c>
      <c r="AD207" s="6" t="s">
        <v>320</v>
      </c>
      <c r="AE207" s="6">
        <v>0.4</v>
      </c>
      <c r="AF207" s="6" t="s">
        <v>155</v>
      </c>
      <c r="AG207" s="6">
        <v>0.15</v>
      </c>
      <c r="AH207" s="6">
        <v>0.02</v>
      </c>
      <c r="AI207" s="6">
        <v>3</v>
      </c>
      <c r="AJ207" s="6">
        <v>815</v>
      </c>
      <c r="AK207" s="6">
        <v>4809497.1900000004</v>
      </c>
      <c r="AL207" s="6">
        <v>7462797.7800000003</v>
      </c>
      <c r="AM207" s="6" t="s">
        <v>385</v>
      </c>
      <c r="AN207" s="6" t="s">
        <v>322</v>
      </c>
      <c r="AO207" s="6">
        <v>50.2</v>
      </c>
      <c r="AP207" s="6">
        <v>60</v>
      </c>
      <c r="AQ207" s="6" t="s">
        <v>4275</v>
      </c>
      <c r="AR207" s="6" t="s">
        <v>229</v>
      </c>
      <c r="AS207" s="6"/>
    </row>
    <row r="208" spans="1:45" x14ac:dyDescent="0.3">
      <c r="A208" s="7" t="s">
        <v>953</v>
      </c>
      <c r="B208" s="7" t="s">
        <v>3655</v>
      </c>
      <c r="C208" s="7" t="s">
        <v>244</v>
      </c>
      <c r="D208" s="7" t="s">
        <v>220</v>
      </c>
      <c r="E208" s="7"/>
      <c r="F208" s="7" t="s">
        <v>75</v>
      </c>
      <c r="G208" s="7" t="s">
        <v>54</v>
      </c>
      <c r="H208" s="7" t="s">
        <v>197</v>
      </c>
      <c r="I208" s="7" t="s">
        <v>4272</v>
      </c>
      <c r="J208" s="7" t="s">
        <v>130</v>
      </c>
      <c r="K208" s="7" t="s">
        <v>333</v>
      </c>
      <c r="L208" s="7" t="s">
        <v>954</v>
      </c>
      <c r="M208" s="7" t="s">
        <v>3656</v>
      </c>
      <c r="N208" s="7" t="s">
        <v>3657</v>
      </c>
      <c r="O208" s="7" t="s">
        <v>3658</v>
      </c>
      <c r="P208" s="7">
        <v>49</v>
      </c>
      <c r="Q208" s="7">
        <v>22011743</v>
      </c>
      <c r="R208" s="7">
        <v>0.22</v>
      </c>
      <c r="S208" s="7">
        <v>-0.01</v>
      </c>
      <c r="T208" s="7">
        <v>16997467.940000001</v>
      </c>
      <c r="U208" s="7">
        <v>10233580.439999999</v>
      </c>
      <c r="V208" s="7" t="s">
        <v>4374</v>
      </c>
      <c r="W208" s="7">
        <v>0.15</v>
      </c>
      <c r="X208" s="7" t="s">
        <v>955</v>
      </c>
      <c r="Y208" s="7">
        <v>9886931.7200000007</v>
      </c>
      <c r="Z208" s="7">
        <v>8379080.2000000002</v>
      </c>
      <c r="AA208" s="7">
        <v>60</v>
      </c>
      <c r="AB208" s="7">
        <v>6</v>
      </c>
      <c r="AC208" s="7" t="s">
        <v>342</v>
      </c>
      <c r="AD208" s="7" t="s">
        <v>226</v>
      </c>
      <c r="AE208" s="7">
        <v>0.75</v>
      </c>
      <c r="AF208" s="7" t="s">
        <v>162</v>
      </c>
      <c r="AG208" s="7">
        <v>0.15</v>
      </c>
      <c r="AH208" s="7">
        <v>0.05</v>
      </c>
      <c r="AI208" s="7">
        <v>6</v>
      </c>
      <c r="AJ208" s="7">
        <v>2140</v>
      </c>
      <c r="AK208" s="7">
        <v>2440641.48</v>
      </c>
      <c r="AL208" s="7">
        <v>5826575.0599999996</v>
      </c>
      <c r="AM208" s="7"/>
      <c r="AN208" s="7"/>
      <c r="AO208" s="7">
        <v>73.5</v>
      </c>
      <c r="AP208" s="7">
        <v>12</v>
      </c>
      <c r="AQ208" s="7" t="s">
        <v>337</v>
      </c>
      <c r="AR208" s="7" t="s">
        <v>192</v>
      </c>
      <c r="AS208" s="7"/>
    </row>
    <row r="209" spans="1:45" x14ac:dyDescent="0.3">
      <c r="A209" s="6" t="s">
        <v>956</v>
      </c>
      <c r="B209" s="6" t="s">
        <v>4642</v>
      </c>
      <c r="C209" s="6" t="s">
        <v>247</v>
      </c>
      <c r="D209" s="6" t="s">
        <v>255</v>
      </c>
      <c r="E209" s="6" t="s">
        <v>4306</v>
      </c>
      <c r="F209" s="6"/>
      <c r="G209" s="6" t="s">
        <v>50</v>
      </c>
      <c r="H209" s="6" t="s">
        <v>4326</v>
      </c>
      <c r="I209" s="6" t="s">
        <v>213</v>
      </c>
      <c r="J209" s="7" t="s">
        <v>133</v>
      </c>
      <c r="K209" s="6" t="s">
        <v>199</v>
      </c>
      <c r="L209" s="6" t="s">
        <v>957</v>
      </c>
      <c r="M209" s="6" t="s">
        <v>4643</v>
      </c>
      <c r="N209" s="6" t="s">
        <v>259</v>
      </c>
      <c r="O209" s="6" t="s">
        <v>4644</v>
      </c>
      <c r="P209" s="6">
        <v>51</v>
      </c>
      <c r="Q209" s="6">
        <v>27005255</v>
      </c>
      <c r="R209" s="6">
        <v>0.25</v>
      </c>
      <c r="S209" s="6">
        <v>0.08</v>
      </c>
      <c r="T209" s="6">
        <v>21874256.550000001</v>
      </c>
      <c r="U209" s="6">
        <v>16548614.17</v>
      </c>
      <c r="V209" s="6" t="s">
        <v>4374</v>
      </c>
      <c r="W209" s="6">
        <v>0.18</v>
      </c>
      <c r="X209" s="6" t="s">
        <v>958</v>
      </c>
      <c r="Y209" s="6">
        <v>13172356.49</v>
      </c>
      <c r="Z209" s="6">
        <v>8468123.75</v>
      </c>
      <c r="AA209" s="6">
        <v>30</v>
      </c>
      <c r="AB209" s="6">
        <v>27</v>
      </c>
      <c r="AC209" s="6" t="s">
        <v>353</v>
      </c>
      <c r="AD209" s="6" t="s">
        <v>226</v>
      </c>
      <c r="AE209" s="6">
        <v>0.19</v>
      </c>
      <c r="AF209" s="6" t="s">
        <v>159</v>
      </c>
      <c r="AG209" s="6">
        <v>0.1</v>
      </c>
      <c r="AH209" s="6">
        <v>0.08</v>
      </c>
      <c r="AI209" s="6">
        <v>3</v>
      </c>
      <c r="AJ209" s="6">
        <v>3903</v>
      </c>
      <c r="AK209" s="6">
        <v>3824803.53</v>
      </c>
      <c r="AL209" s="6">
        <v>9232674.4100000001</v>
      </c>
      <c r="AM209" s="6" t="s">
        <v>73</v>
      </c>
      <c r="AN209" s="6" t="s">
        <v>348</v>
      </c>
      <c r="AO209" s="6">
        <v>64.599999999999994</v>
      </c>
      <c r="AP209" s="6">
        <v>60</v>
      </c>
      <c r="AQ209" s="6"/>
      <c r="AR209" s="6" t="s">
        <v>224</v>
      </c>
      <c r="AS209" s="6" t="s">
        <v>357</v>
      </c>
    </row>
    <row r="210" spans="1:45" x14ac:dyDescent="0.3">
      <c r="A210" s="7" t="s">
        <v>959</v>
      </c>
      <c r="B210" s="7" t="s">
        <v>4645</v>
      </c>
      <c r="C210" s="7" t="s">
        <v>227</v>
      </c>
      <c r="D210" s="7" t="s">
        <v>202</v>
      </c>
      <c r="E210" s="7" t="s">
        <v>4265</v>
      </c>
      <c r="F210" s="7" t="s">
        <v>228</v>
      </c>
      <c r="G210" s="7" t="s">
        <v>46</v>
      </c>
      <c r="H210" s="7" t="s">
        <v>4266</v>
      </c>
      <c r="I210" s="7" t="s">
        <v>213</v>
      </c>
      <c r="J210" s="6" t="s">
        <v>130</v>
      </c>
      <c r="K210" s="7" t="s">
        <v>221</v>
      </c>
      <c r="L210" s="7" t="s">
        <v>960</v>
      </c>
      <c r="M210" s="7" t="s">
        <v>3390</v>
      </c>
      <c r="N210" s="7"/>
      <c r="O210" s="7" t="s">
        <v>4639</v>
      </c>
      <c r="P210" s="7">
        <v>32</v>
      </c>
      <c r="Q210" s="7">
        <v>20531071</v>
      </c>
      <c r="R210" s="7">
        <v>0.06</v>
      </c>
      <c r="S210" s="7">
        <v>-0.05</v>
      </c>
      <c r="T210" s="7">
        <v>18334246.399999999</v>
      </c>
      <c r="U210" s="7">
        <v>14513223.970000001</v>
      </c>
      <c r="V210" s="7" t="s">
        <v>4374</v>
      </c>
      <c r="W210" s="7">
        <v>0.16</v>
      </c>
      <c r="X210" s="7" t="s">
        <v>961</v>
      </c>
      <c r="Y210" s="7">
        <v>6591849.5800000001</v>
      </c>
      <c r="Z210" s="7">
        <v>4659602.13</v>
      </c>
      <c r="AA210" s="7">
        <v>120</v>
      </c>
      <c r="AB210" s="7">
        <v>104</v>
      </c>
      <c r="AC210" s="7" t="s">
        <v>347</v>
      </c>
      <c r="AD210" s="7" t="s">
        <v>336</v>
      </c>
      <c r="AE210" s="7">
        <v>0.5</v>
      </c>
      <c r="AF210" s="7" t="s">
        <v>4303</v>
      </c>
      <c r="AG210" s="7">
        <v>0.05</v>
      </c>
      <c r="AH210" s="7">
        <v>0.1</v>
      </c>
      <c r="AI210" s="7">
        <v>4</v>
      </c>
      <c r="AJ210" s="7">
        <v>3274</v>
      </c>
      <c r="AK210" s="7">
        <v>4381270.7300000004</v>
      </c>
      <c r="AL210" s="7">
        <v>3824329.9</v>
      </c>
      <c r="AM210" s="7" t="s">
        <v>355</v>
      </c>
      <c r="AN210" s="7"/>
      <c r="AO210" s="7">
        <v>76.2</v>
      </c>
      <c r="AP210" s="7">
        <v>60</v>
      </c>
      <c r="AQ210" s="7" t="s">
        <v>387</v>
      </c>
      <c r="AR210" s="7" t="s">
        <v>224</v>
      </c>
      <c r="AS210" s="7" t="s">
        <v>324</v>
      </c>
    </row>
    <row r="211" spans="1:45" x14ac:dyDescent="0.3">
      <c r="A211" s="6" t="s">
        <v>962</v>
      </c>
      <c r="B211" s="6" t="s">
        <v>4646</v>
      </c>
      <c r="C211" s="6" t="s">
        <v>284</v>
      </c>
      <c r="D211" s="6" t="s">
        <v>394</v>
      </c>
      <c r="E211" s="6" t="s">
        <v>4265</v>
      </c>
      <c r="F211" s="6" t="s">
        <v>350</v>
      </c>
      <c r="G211" s="6" t="s">
        <v>70</v>
      </c>
      <c r="H211" s="6" t="s">
        <v>212</v>
      </c>
      <c r="I211" s="6" t="s">
        <v>203</v>
      </c>
      <c r="J211" s="6" t="s">
        <v>105</v>
      </c>
      <c r="K211" s="6" t="s">
        <v>210</v>
      </c>
      <c r="L211" s="6" t="s">
        <v>963</v>
      </c>
      <c r="M211" s="6" t="s">
        <v>4647</v>
      </c>
      <c r="N211" s="6"/>
      <c r="O211" s="6" t="s">
        <v>4274</v>
      </c>
      <c r="P211" s="6">
        <v>37</v>
      </c>
      <c r="Q211" s="6">
        <v>49822695</v>
      </c>
      <c r="R211" s="6">
        <v>7.0000000000000007E-2</v>
      </c>
      <c r="S211" s="6">
        <v>0.18</v>
      </c>
      <c r="T211" s="6">
        <v>54675425.490000002</v>
      </c>
      <c r="U211" s="6">
        <v>42618845.229999997</v>
      </c>
      <c r="V211" s="6">
        <v>0.05</v>
      </c>
      <c r="W211" s="6">
        <v>0.11</v>
      </c>
      <c r="X211" s="6" t="s">
        <v>964</v>
      </c>
      <c r="Y211" s="6">
        <v>42586372.75</v>
      </c>
      <c r="Z211" s="6">
        <v>20555247.34</v>
      </c>
      <c r="AA211" s="6">
        <v>90</v>
      </c>
      <c r="AB211" s="6">
        <v>46</v>
      </c>
      <c r="AC211" s="6" t="s">
        <v>376</v>
      </c>
      <c r="AD211" s="6" t="s">
        <v>226</v>
      </c>
      <c r="AE211" s="6">
        <v>0.09</v>
      </c>
      <c r="AF211" s="6" t="s">
        <v>159</v>
      </c>
      <c r="AG211" s="6">
        <v>0.15</v>
      </c>
      <c r="AH211" s="6">
        <v>0.03</v>
      </c>
      <c r="AI211" s="6">
        <v>8</v>
      </c>
      <c r="AJ211" s="6">
        <v>3747</v>
      </c>
      <c r="AK211" s="6">
        <v>4259324.3899999997</v>
      </c>
      <c r="AL211" s="6">
        <v>11388742.460000001</v>
      </c>
      <c r="AM211" s="6" t="s">
        <v>73</v>
      </c>
      <c r="AN211" s="6" t="s">
        <v>321</v>
      </c>
      <c r="AO211" s="6">
        <v>72.099999999999994</v>
      </c>
      <c r="AP211" s="6">
        <v>36</v>
      </c>
      <c r="AQ211" s="6"/>
      <c r="AR211" s="6" t="s">
        <v>206</v>
      </c>
      <c r="AS211" s="6" t="s">
        <v>361</v>
      </c>
    </row>
    <row r="212" spans="1:45" x14ac:dyDescent="0.3">
      <c r="A212" s="7" t="s">
        <v>965</v>
      </c>
      <c r="B212" s="7" t="s">
        <v>4648</v>
      </c>
      <c r="C212" s="7" t="s">
        <v>230</v>
      </c>
      <c r="D212" s="7" t="s">
        <v>209</v>
      </c>
      <c r="E212" s="7" t="s">
        <v>4270</v>
      </c>
      <c r="F212" s="7" t="s">
        <v>181</v>
      </c>
      <c r="G212" s="7" t="s">
        <v>50</v>
      </c>
      <c r="H212" s="7" t="s">
        <v>4326</v>
      </c>
      <c r="I212" s="7" t="s">
        <v>240</v>
      </c>
      <c r="J212" s="7" t="s">
        <v>127</v>
      </c>
      <c r="K212" s="7" t="s">
        <v>333</v>
      </c>
      <c r="L212" s="7" t="s">
        <v>966</v>
      </c>
      <c r="M212" s="7" t="s">
        <v>4649</v>
      </c>
      <c r="N212" s="7" t="s">
        <v>3665</v>
      </c>
      <c r="O212" s="7" t="s">
        <v>3406</v>
      </c>
      <c r="P212" s="7">
        <v>57</v>
      </c>
      <c r="Q212" s="7">
        <v>23093671</v>
      </c>
      <c r="R212" s="7">
        <v>0.1</v>
      </c>
      <c r="S212" s="7">
        <v>0.09</v>
      </c>
      <c r="T212" s="7">
        <v>22654891.25</v>
      </c>
      <c r="U212" s="7">
        <v>18096211.120000001</v>
      </c>
      <c r="V212" s="7">
        <v>0.23</v>
      </c>
      <c r="W212" s="7">
        <v>0.12</v>
      </c>
      <c r="X212" s="7" t="s">
        <v>967</v>
      </c>
      <c r="Y212" s="7">
        <v>7079277.7800000003</v>
      </c>
      <c r="Z212" s="7">
        <v>4615937.17</v>
      </c>
      <c r="AA212" s="7">
        <v>45</v>
      </c>
      <c r="AB212" s="7">
        <v>125</v>
      </c>
      <c r="AC212" s="7" t="s">
        <v>342</v>
      </c>
      <c r="AD212" s="7" t="s">
        <v>455</v>
      </c>
      <c r="AE212" s="7">
        <v>0.06</v>
      </c>
      <c r="AF212" s="7" t="s">
        <v>152</v>
      </c>
      <c r="AG212" s="7">
        <v>0.15</v>
      </c>
      <c r="AH212" s="7">
        <v>0.05</v>
      </c>
      <c r="AI212" s="7">
        <v>5</v>
      </c>
      <c r="AJ212" s="7">
        <v>2497</v>
      </c>
      <c r="AK212" s="7">
        <v>2048759.96</v>
      </c>
      <c r="AL212" s="7">
        <v>9779947</v>
      </c>
      <c r="AM212" s="7" t="s">
        <v>355</v>
      </c>
      <c r="AN212" s="7" t="s">
        <v>348</v>
      </c>
      <c r="AO212" s="7">
        <v>89</v>
      </c>
      <c r="AP212" s="7">
        <v>36</v>
      </c>
      <c r="AQ212" s="7" t="s">
        <v>323</v>
      </c>
      <c r="AR212" s="7" t="s">
        <v>229</v>
      </c>
      <c r="AS212" s="7"/>
    </row>
    <row r="213" spans="1:45" x14ac:dyDescent="0.3">
      <c r="A213" s="6" t="s">
        <v>968</v>
      </c>
      <c r="B213" s="6" t="s">
        <v>4650</v>
      </c>
      <c r="C213" s="6" t="s">
        <v>239</v>
      </c>
      <c r="D213" s="6" t="s">
        <v>242</v>
      </c>
      <c r="E213" s="6" t="s">
        <v>36</v>
      </c>
      <c r="F213" s="6" t="s">
        <v>19</v>
      </c>
      <c r="G213" s="6" t="s">
        <v>73</v>
      </c>
      <c r="H213" s="6" t="s">
        <v>4280</v>
      </c>
      <c r="I213" s="6" t="s">
        <v>213</v>
      </c>
      <c r="J213" s="6" t="s">
        <v>115</v>
      </c>
      <c r="K213" s="6" t="s">
        <v>333</v>
      </c>
      <c r="L213" s="6" t="s">
        <v>969</v>
      </c>
      <c r="M213" s="6" t="s">
        <v>3667</v>
      </c>
      <c r="N213" s="6" t="s">
        <v>970</v>
      </c>
      <c r="O213" s="6" t="s">
        <v>3461</v>
      </c>
      <c r="P213" s="6" t="s">
        <v>4275</v>
      </c>
      <c r="Q213" s="6">
        <v>43538415</v>
      </c>
      <c r="R213" s="6">
        <v>0.28000000000000003</v>
      </c>
      <c r="S213" s="6">
        <v>0.19</v>
      </c>
      <c r="T213" s="6">
        <v>37303713.969999999</v>
      </c>
      <c r="U213" s="6">
        <v>26217332.91</v>
      </c>
      <c r="V213" s="6">
        <v>0.2</v>
      </c>
      <c r="W213" s="6">
        <v>0.09</v>
      </c>
      <c r="X213" s="6" t="s">
        <v>971</v>
      </c>
      <c r="Y213" s="6">
        <v>26186883.02</v>
      </c>
      <c r="Z213" s="6">
        <v>8264153.4100000001</v>
      </c>
      <c r="AA213" s="6">
        <v>45</v>
      </c>
      <c r="AB213" s="6">
        <v>54</v>
      </c>
      <c r="AC213" s="6"/>
      <c r="AD213" s="6" t="s">
        <v>336</v>
      </c>
      <c r="AE213" s="6">
        <v>0.67</v>
      </c>
      <c r="AF213" s="6" t="s">
        <v>4319</v>
      </c>
      <c r="AG213" s="6">
        <v>0.1</v>
      </c>
      <c r="AH213" s="6">
        <v>0.04</v>
      </c>
      <c r="AI213" s="6">
        <v>11</v>
      </c>
      <c r="AJ213" s="6">
        <v>1242</v>
      </c>
      <c r="AK213" s="6">
        <v>5671666.6600000001</v>
      </c>
      <c r="AL213" s="6">
        <v>10269879.539999999</v>
      </c>
      <c r="AM213" s="6"/>
      <c r="AN213" s="6" t="s">
        <v>330</v>
      </c>
      <c r="AO213" s="6">
        <v>87.5</v>
      </c>
      <c r="AP213" s="6">
        <v>60</v>
      </c>
      <c r="AQ213" s="6" t="s">
        <v>337</v>
      </c>
      <c r="AR213" s="6" t="s">
        <v>192</v>
      </c>
      <c r="AS213" s="6" t="s">
        <v>188</v>
      </c>
    </row>
    <row r="214" spans="1:45" x14ac:dyDescent="0.3">
      <c r="A214" s="7" t="s">
        <v>972</v>
      </c>
      <c r="B214" s="7" t="s">
        <v>4651</v>
      </c>
      <c r="C214" s="7" t="s">
        <v>254</v>
      </c>
      <c r="D214" s="7" t="s">
        <v>248</v>
      </c>
      <c r="E214" s="7" t="s">
        <v>4376</v>
      </c>
      <c r="F214" s="7" t="s">
        <v>35</v>
      </c>
      <c r="G214" s="7" t="s">
        <v>70</v>
      </c>
      <c r="H214" s="7" t="s">
        <v>212</v>
      </c>
      <c r="I214" s="7" t="s">
        <v>240</v>
      </c>
      <c r="J214" s="7" t="s">
        <v>136</v>
      </c>
      <c r="K214" s="7" t="s">
        <v>223</v>
      </c>
      <c r="L214" s="7" t="s">
        <v>973</v>
      </c>
      <c r="M214" s="7" t="s">
        <v>3306</v>
      </c>
      <c r="N214" s="7" t="s">
        <v>4652</v>
      </c>
      <c r="O214" s="7" t="s">
        <v>4338</v>
      </c>
      <c r="P214" s="7">
        <v>43</v>
      </c>
      <c r="Q214" s="7">
        <v>47125961</v>
      </c>
      <c r="R214" s="7">
        <v>0.25</v>
      </c>
      <c r="S214" s="7">
        <v>0.03</v>
      </c>
      <c r="T214" s="7">
        <v>36404804.869999997</v>
      </c>
      <c r="U214" s="7">
        <v>22668025.91</v>
      </c>
      <c r="V214" s="7">
        <v>0.25</v>
      </c>
      <c r="W214" s="7">
        <v>7.0000000000000007E-2</v>
      </c>
      <c r="X214" s="7" t="s">
        <v>974</v>
      </c>
      <c r="Y214" s="7">
        <v>28228952.969999999</v>
      </c>
      <c r="Z214" s="7">
        <v>28908785.100000001</v>
      </c>
      <c r="AA214" s="7">
        <v>90</v>
      </c>
      <c r="AB214" s="7">
        <v>55</v>
      </c>
      <c r="AC214" s="7"/>
      <c r="AD214" s="7" t="s">
        <v>354</v>
      </c>
      <c r="AE214" s="7">
        <v>0.22</v>
      </c>
      <c r="AF214" s="7" t="s">
        <v>4312</v>
      </c>
      <c r="AG214" s="7">
        <v>0.1</v>
      </c>
      <c r="AH214" s="7">
        <v>0.03</v>
      </c>
      <c r="AI214" s="7">
        <v>11</v>
      </c>
      <c r="AJ214" s="7">
        <v>1573</v>
      </c>
      <c r="AK214" s="7">
        <v>7151233.0199999996</v>
      </c>
      <c r="AL214" s="7">
        <v>7672165.7300000004</v>
      </c>
      <c r="AM214" s="7" t="s">
        <v>391</v>
      </c>
      <c r="AN214" s="7" t="s">
        <v>322</v>
      </c>
      <c r="AO214" s="7">
        <v>92.3</v>
      </c>
      <c r="AP214" s="7">
        <v>24</v>
      </c>
      <c r="AQ214" s="7"/>
      <c r="AR214" s="7" t="s">
        <v>206</v>
      </c>
      <c r="AS214" s="7" t="s">
        <v>324</v>
      </c>
    </row>
    <row r="215" spans="1:45" x14ac:dyDescent="0.3">
      <c r="A215" s="6" t="s">
        <v>975</v>
      </c>
      <c r="B215" s="6" t="s">
        <v>4653</v>
      </c>
      <c r="C215" s="6" t="s">
        <v>285</v>
      </c>
      <c r="D215" s="6" t="s">
        <v>220</v>
      </c>
      <c r="E215" s="6" t="s">
        <v>4265</v>
      </c>
      <c r="F215" s="6" t="s">
        <v>228</v>
      </c>
      <c r="G215" s="6" t="s">
        <v>38</v>
      </c>
      <c r="H215" s="6" t="s">
        <v>212</v>
      </c>
      <c r="I215" s="6" t="s">
        <v>183</v>
      </c>
      <c r="J215" s="6" t="s">
        <v>130</v>
      </c>
      <c r="K215" s="6" t="s">
        <v>221</v>
      </c>
      <c r="L215" s="6" t="s">
        <v>976</v>
      </c>
      <c r="M215" s="6" t="s">
        <v>4514</v>
      </c>
      <c r="N215" s="6" t="s">
        <v>4395</v>
      </c>
      <c r="O215" s="6" t="s">
        <v>3669</v>
      </c>
      <c r="P215" s="6">
        <v>7</v>
      </c>
      <c r="Q215" s="6">
        <v>46678670</v>
      </c>
      <c r="R215" s="6">
        <v>0.26</v>
      </c>
      <c r="S215" s="6">
        <v>0.19</v>
      </c>
      <c r="T215" s="6">
        <v>41105236.799999997</v>
      </c>
      <c r="U215" s="6">
        <v>28551733.440000001</v>
      </c>
      <c r="V215" s="6">
        <v>0.12</v>
      </c>
      <c r="W215" s="6">
        <v>0.1</v>
      </c>
      <c r="X215" s="6"/>
      <c r="Y215" s="6">
        <v>33130304.309999999</v>
      </c>
      <c r="Z215" s="6">
        <v>20579645.710000001</v>
      </c>
      <c r="AA215" s="6">
        <v>60</v>
      </c>
      <c r="AB215" s="6">
        <v>2</v>
      </c>
      <c r="AC215" s="6" t="s">
        <v>342</v>
      </c>
      <c r="AD215" s="6" t="s">
        <v>336</v>
      </c>
      <c r="AE215" s="6">
        <v>0.64</v>
      </c>
      <c r="AF215" s="6" t="s">
        <v>4312</v>
      </c>
      <c r="AG215" s="6">
        <v>0.1</v>
      </c>
      <c r="AH215" s="6">
        <v>0.01</v>
      </c>
      <c r="AI215" s="6">
        <v>7</v>
      </c>
      <c r="AJ215" s="6">
        <v>3611</v>
      </c>
      <c r="AK215" s="6">
        <v>9784820.0500000007</v>
      </c>
      <c r="AL215" s="6"/>
      <c r="AM215" s="6" t="s">
        <v>321</v>
      </c>
      <c r="AN215" s="6" t="s">
        <v>330</v>
      </c>
      <c r="AO215" s="6">
        <v>61.6</v>
      </c>
      <c r="AP215" s="6">
        <v>24</v>
      </c>
      <c r="AQ215" s="6" t="s">
        <v>387</v>
      </c>
      <c r="AR215" s="6" t="s">
        <v>229</v>
      </c>
      <c r="AS215" s="6" t="s">
        <v>377</v>
      </c>
    </row>
    <row r="216" spans="1:45" x14ac:dyDescent="0.3">
      <c r="A216" s="7" t="s">
        <v>977</v>
      </c>
      <c r="B216" s="7" t="s">
        <v>4654</v>
      </c>
      <c r="C216" s="7" t="s">
        <v>189</v>
      </c>
      <c r="D216" s="7" t="s">
        <v>242</v>
      </c>
      <c r="E216" s="7" t="s">
        <v>4265</v>
      </c>
      <c r="F216" s="7" t="s">
        <v>228</v>
      </c>
      <c r="G216" s="7" t="s">
        <v>50</v>
      </c>
      <c r="H216" s="7" t="s">
        <v>216</v>
      </c>
      <c r="I216" s="7" t="s">
        <v>183</v>
      </c>
      <c r="J216" s="7" t="s">
        <v>105</v>
      </c>
      <c r="K216" s="7" t="s">
        <v>199</v>
      </c>
      <c r="L216" s="7" t="s">
        <v>978</v>
      </c>
      <c r="M216" s="7" t="s">
        <v>3670</v>
      </c>
      <c r="N216" s="7" t="s">
        <v>4435</v>
      </c>
      <c r="O216" s="7" t="s">
        <v>3671</v>
      </c>
      <c r="P216" s="7">
        <v>54</v>
      </c>
      <c r="Q216" s="7" t="s">
        <v>4275</v>
      </c>
      <c r="R216" s="7">
        <v>0.04</v>
      </c>
      <c r="S216" s="7">
        <v>-0.01</v>
      </c>
      <c r="T216" s="7">
        <v>8140246.3300000001</v>
      </c>
      <c r="U216" s="7">
        <v>6035247.3099999996</v>
      </c>
      <c r="V216" s="7">
        <v>0.15</v>
      </c>
      <c r="W216" s="7">
        <v>0.15</v>
      </c>
      <c r="X216" s="7" t="s">
        <v>979</v>
      </c>
      <c r="Y216" s="7">
        <v>6726210.0800000001</v>
      </c>
      <c r="Z216" s="7">
        <v>5916473.0700000003</v>
      </c>
      <c r="AA216" s="7">
        <v>30</v>
      </c>
      <c r="AB216" s="7">
        <v>42</v>
      </c>
      <c r="AC216" s="7"/>
      <c r="AD216" s="7" t="s">
        <v>354</v>
      </c>
      <c r="AE216" s="7">
        <v>0.76</v>
      </c>
      <c r="AF216" s="7" t="s">
        <v>152</v>
      </c>
      <c r="AG216" s="7">
        <v>0.05</v>
      </c>
      <c r="AH216" s="7">
        <v>0.09</v>
      </c>
      <c r="AI216" s="7">
        <v>11</v>
      </c>
      <c r="AJ216" s="7"/>
      <c r="AK216" s="7">
        <v>425333.44</v>
      </c>
      <c r="AL216" s="7">
        <v>940982.56</v>
      </c>
      <c r="AM216" s="7" t="s">
        <v>73</v>
      </c>
      <c r="AN216" s="7" t="s">
        <v>386</v>
      </c>
      <c r="AO216" s="7"/>
      <c r="AP216" s="7">
        <v>24</v>
      </c>
      <c r="AQ216" s="7" t="s">
        <v>4275</v>
      </c>
      <c r="AR216" s="7" t="s">
        <v>224</v>
      </c>
      <c r="AS216" s="7" t="s">
        <v>377</v>
      </c>
    </row>
    <row r="217" spans="1:45" x14ac:dyDescent="0.3">
      <c r="A217" s="6" t="s">
        <v>706</v>
      </c>
      <c r="B217" s="6" t="s">
        <v>4655</v>
      </c>
      <c r="C217" s="6" t="s">
        <v>222</v>
      </c>
      <c r="D217" s="6"/>
      <c r="E217" s="6"/>
      <c r="F217" s="6" t="s">
        <v>339</v>
      </c>
      <c r="G217" s="6" t="s">
        <v>46</v>
      </c>
      <c r="H217" s="6" t="s">
        <v>182</v>
      </c>
      <c r="I217" s="6" t="s">
        <v>4289</v>
      </c>
      <c r="J217" s="6" t="s">
        <v>130</v>
      </c>
      <c r="K217" s="6" t="s">
        <v>204</v>
      </c>
      <c r="L217" s="6" t="s">
        <v>3672</v>
      </c>
      <c r="M217" s="6" t="s">
        <v>4656</v>
      </c>
      <c r="N217" s="6" t="s">
        <v>3673</v>
      </c>
      <c r="O217" s="6" t="s">
        <v>3663</v>
      </c>
      <c r="P217" s="6">
        <v>32</v>
      </c>
      <c r="Q217" s="6">
        <v>35002635</v>
      </c>
      <c r="R217" s="6">
        <v>0.34</v>
      </c>
      <c r="S217" s="6">
        <v>0.14000000000000001</v>
      </c>
      <c r="T217" s="6">
        <v>26335982.57</v>
      </c>
      <c r="U217" s="6">
        <v>22565779.350000001</v>
      </c>
      <c r="V217" s="6">
        <v>0.1</v>
      </c>
      <c r="W217" s="6">
        <v>0.14000000000000001</v>
      </c>
      <c r="X217" s="6" t="s">
        <v>3674</v>
      </c>
      <c r="Y217" s="6">
        <v>19456279.23</v>
      </c>
      <c r="Z217" s="6">
        <v>8663720.6999999993</v>
      </c>
      <c r="AA217" s="6">
        <v>30</v>
      </c>
      <c r="AB217" s="6">
        <v>42</v>
      </c>
      <c r="AC217" s="6" t="s">
        <v>329</v>
      </c>
      <c r="AD217" s="6" t="s">
        <v>336</v>
      </c>
      <c r="AE217" s="6">
        <v>0.08</v>
      </c>
      <c r="AF217" s="6" t="s">
        <v>153</v>
      </c>
      <c r="AG217" s="6">
        <v>0.05</v>
      </c>
      <c r="AH217" s="6">
        <v>0.04</v>
      </c>
      <c r="AI217" s="6">
        <v>11</v>
      </c>
      <c r="AJ217" s="6">
        <v>4433</v>
      </c>
      <c r="AK217" s="6">
        <v>4243522.18</v>
      </c>
      <c r="AL217" s="6">
        <v>7666824.2699999996</v>
      </c>
      <c r="AM217" s="6" t="s">
        <v>355</v>
      </c>
      <c r="AN217" s="6" t="s">
        <v>356</v>
      </c>
      <c r="AO217" s="6"/>
      <c r="AP217" s="6">
        <v>60</v>
      </c>
      <c r="AQ217" s="6" t="s">
        <v>392</v>
      </c>
      <c r="AR217" s="6" t="s">
        <v>192</v>
      </c>
      <c r="AS217" s="6"/>
    </row>
    <row r="218" spans="1:45" x14ac:dyDescent="0.3">
      <c r="A218" s="7" t="s">
        <v>980</v>
      </c>
      <c r="B218" s="7" t="s">
        <v>4657</v>
      </c>
      <c r="C218" s="7" t="s">
        <v>283</v>
      </c>
      <c r="D218" s="7" t="s">
        <v>394</v>
      </c>
      <c r="E218" s="7" t="s">
        <v>4325</v>
      </c>
      <c r="F218" s="7" t="s">
        <v>339</v>
      </c>
      <c r="G218" s="7" t="s">
        <v>57</v>
      </c>
      <c r="H218" s="7" t="s">
        <v>4271</v>
      </c>
      <c r="I218" s="7" t="s">
        <v>240</v>
      </c>
      <c r="J218" s="7" t="s">
        <v>115</v>
      </c>
      <c r="K218" s="7" t="s">
        <v>221</v>
      </c>
      <c r="L218" s="7" t="s">
        <v>981</v>
      </c>
      <c r="M218" s="7" t="s">
        <v>4658</v>
      </c>
      <c r="N218" s="7"/>
      <c r="O218" s="7" t="s">
        <v>4274</v>
      </c>
      <c r="P218" s="7">
        <v>13</v>
      </c>
      <c r="Q218" s="7">
        <v>6561194</v>
      </c>
      <c r="R218" s="7">
        <v>0.25</v>
      </c>
      <c r="S218" s="7">
        <v>0.02</v>
      </c>
      <c r="T218" s="7">
        <v>5019313.41</v>
      </c>
      <c r="U218" s="7">
        <v>3029224.67</v>
      </c>
      <c r="V218" s="7">
        <v>0.35</v>
      </c>
      <c r="W218" s="7">
        <v>0.08</v>
      </c>
      <c r="X218" s="7" t="s">
        <v>982</v>
      </c>
      <c r="Y218" s="7">
        <v>2874873.85</v>
      </c>
      <c r="Z218" s="7">
        <v>1436928.17</v>
      </c>
      <c r="AA218" s="7">
        <v>60</v>
      </c>
      <c r="AB218" s="7">
        <v>48</v>
      </c>
      <c r="AC218" s="7" t="s">
        <v>353</v>
      </c>
      <c r="AD218" s="7" t="s">
        <v>381</v>
      </c>
      <c r="AE218" s="7">
        <v>0.74</v>
      </c>
      <c r="AF218" s="7" t="s">
        <v>159</v>
      </c>
      <c r="AG218" s="7">
        <v>0.1</v>
      </c>
      <c r="AH218" s="7">
        <v>0.04</v>
      </c>
      <c r="AI218" s="7">
        <v>14</v>
      </c>
      <c r="AJ218" s="7">
        <v>4481</v>
      </c>
      <c r="AK218" s="7">
        <v>960399.94</v>
      </c>
      <c r="AL218" s="7">
        <v>1534887.79</v>
      </c>
      <c r="AM218" s="7" t="s">
        <v>391</v>
      </c>
      <c r="AN218" s="7"/>
      <c r="AO218" s="7">
        <v>78.900000000000006</v>
      </c>
      <c r="AP218" s="7">
        <v>24</v>
      </c>
      <c r="AQ218" s="7" t="s">
        <v>4275</v>
      </c>
      <c r="AR218" s="7" t="s">
        <v>186</v>
      </c>
      <c r="AS218" s="7" t="s">
        <v>377</v>
      </c>
    </row>
    <row r="219" spans="1:45" x14ac:dyDescent="0.3">
      <c r="A219" s="6" t="s">
        <v>983</v>
      </c>
      <c r="B219" s="6" t="s">
        <v>4659</v>
      </c>
      <c r="C219" s="6" t="s">
        <v>266</v>
      </c>
      <c r="D219" s="6" t="s">
        <v>238</v>
      </c>
      <c r="E219" s="6" t="s">
        <v>113</v>
      </c>
      <c r="F219" s="6" t="s">
        <v>367</v>
      </c>
      <c r="G219" s="6" t="s">
        <v>28</v>
      </c>
      <c r="H219" s="6" t="s">
        <v>212</v>
      </c>
      <c r="I219" s="6" t="s">
        <v>213</v>
      </c>
      <c r="J219" s="6" t="s">
        <v>111</v>
      </c>
      <c r="K219" s="6" t="s">
        <v>221</v>
      </c>
      <c r="L219" s="6" t="s">
        <v>984</v>
      </c>
      <c r="M219" s="6" t="s">
        <v>4660</v>
      </c>
      <c r="N219" s="6" t="s">
        <v>3644</v>
      </c>
      <c r="O219" s="6" t="s">
        <v>4661</v>
      </c>
      <c r="P219" s="6">
        <v>26</v>
      </c>
      <c r="Q219" s="6">
        <v>35034394</v>
      </c>
      <c r="R219" s="6">
        <v>0.1</v>
      </c>
      <c r="S219" s="6">
        <v>0.15</v>
      </c>
      <c r="T219" s="6">
        <v>36260597.789999999</v>
      </c>
      <c r="U219" s="6">
        <v>29302494.539999999</v>
      </c>
      <c r="V219" s="6">
        <v>0.11</v>
      </c>
      <c r="W219" s="6">
        <v>7.0000000000000007E-2</v>
      </c>
      <c r="X219" s="6" t="s">
        <v>985</v>
      </c>
      <c r="Y219" s="6">
        <v>14958850.59</v>
      </c>
      <c r="Z219" s="6">
        <v>4791786.4400000004</v>
      </c>
      <c r="AA219" s="6">
        <v>120</v>
      </c>
      <c r="AB219" s="6">
        <v>33</v>
      </c>
      <c r="AC219" s="6" t="s">
        <v>342</v>
      </c>
      <c r="AD219" s="6" t="s">
        <v>406</v>
      </c>
      <c r="AE219" s="6">
        <v>0.14000000000000001</v>
      </c>
      <c r="AF219" s="6" t="s">
        <v>155</v>
      </c>
      <c r="AG219" s="6">
        <v>0.1</v>
      </c>
      <c r="AH219" s="6">
        <v>0.08</v>
      </c>
      <c r="AI219" s="6">
        <v>3</v>
      </c>
      <c r="AJ219" s="6">
        <v>1255</v>
      </c>
      <c r="AK219" s="6">
        <v>8690940.25</v>
      </c>
      <c r="AL219" s="6">
        <v>6558760.7000000002</v>
      </c>
      <c r="AM219" s="6"/>
      <c r="AN219" s="6" t="s">
        <v>356</v>
      </c>
      <c r="AO219" s="6">
        <v>81.7</v>
      </c>
      <c r="AP219" s="6" t="s">
        <v>4275</v>
      </c>
      <c r="AQ219" s="6" t="s">
        <v>387</v>
      </c>
      <c r="AR219" s="6" t="s">
        <v>224</v>
      </c>
      <c r="AS219" s="6" t="s">
        <v>377</v>
      </c>
    </row>
    <row r="220" spans="1:45" x14ac:dyDescent="0.3">
      <c r="A220" s="7" t="s">
        <v>986</v>
      </c>
      <c r="B220" s="7" t="s">
        <v>3676</v>
      </c>
      <c r="C220" s="7" t="s">
        <v>271</v>
      </c>
      <c r="D220" s="7" t="s">
        <v>245</v>
      </c>
      <c r="E220" s="7" t="s">
        <v>36</v>
      </c>
      <c r="F220" s="7" t="s">
        <v>339</v>
      </c>
      <c r="G220" s="7" t="s">
        <v>28</v>
      </c>
      <c r="H220" s="7" t="s">
        <v>4275</v>
      </c>
      <c r="I220" s="7" t="s">
        <v>4289</v>
      </c>
      <c r="J220" s="7" t="s">
        <v>115</v>
      </c>
      <c r="K220" s="7" t="s">
        <v>326</v>
      </c>
      <c r="L220" s="7" t="s">
        <v>987</v>
      </c>
      <c r="M220" s="7" t="s">
        <v>3494</v>
      </c>
      <c r="N220" s="7"/>
      <c r="O220" s="7" t="s">
        <v>4274</v>
      </c>
      <c r="P220" s="7">
        <v>23</v>
      </c>
      <c r="Q220" s="7">
        <v>20332203</v>
      </c>
      <c r="R220" s="7">
        <v>0.01</v>
      </c>
      <c r="S220" s="7">
        <v>0.01</v>
      </c>
      <c r="T220" s="7">
        <v>20330169.780000001</v>
      </c>
      <c r="U220" s="7"/>
      <c r="V220" s="7">
        <v>0.16</v>
      </c>
      <c r="W220" s="7">
        <v>7.0000000000000007E-2</v>
      </c>
      <c r="X220" s="7" t="s">
        <v>988</v>
      </c>
      <c r="Y220" s="7">
        <v>10620354.07</v>
      </c>
      <c r="Z220" s="7">
        <v>5833593.54</v>
      </c>
      <c r="AA220" s="7">
        <v>120</v>
      </c>
      <c r="AB220" s="7">
        <v>153</v>
      </c>
      <c r="AC220" s="7" t="s">
        <v>342</v>
      </c>
      <c r="AD220" s="7" t="s">
        <v>354</v>
      </c>
      <c r="AE220" s="7">
        <v>0.95</v>
      </c>
      <c r="AF220" s="7" t="s">
        <v>162</v>
      </c>
      <c r="AG220" s="7">
        <v>0.05</v>
      </c>
      <c r="AH220" s="7">
        <v>0.08</v>
      </c>
      <c r="AI220" s="7">
        <v>4</v>
      </c>
      <c r="AJ220" s="7">
        <v>3732</v>
      </c>
      <c r="AK220" s="7">
        <v>4522490.6399999997</v>
      </c>
      <c r="AL220" s="7">
        <v>7888161.3200000003</v>
      </c>
      <c r="AM220" s="7"/>
      <c r="AN220" s="7" t="s">
        <v>356</v>
      </c>
      <c r="AO220" s="7">
        <v>61.6</v>
      </c>
      <c r="AP220" s="7">
        <v>12</v>
      </c>
      <c r="AQ220" s="7" t="s">
        <v>323</v>
      </c>
      <c r="AR220" s="7" t="s">
        <v>206</v>
      </c>
      <c r="AS220" s="7" t="s">
        <v>188</v>
      </c>
    </row>
    <row r="221" spans="1:45" x14ac:dyDescent="0.3">
      <c r="A221" s="6" t="s">
        <v>989</v>
      </c>
      <c r="B221" s="6" t="s">
        <v>3677</v>
      </c>
      <c r="C221" s="6" t="s">
        <v>282</v>
      </c>
      <c r="D221" s="6" t="s">
        <v>180</v>
      </c>
      <c r="E221" s="6" t="s">
        <v>4270</v>
      </c>
      <c r="F221" s="6" t="s">
        <v>367</v>
      </c>
      <c r="G221" s="6" t="s">
        <v>66</v>
      </c>
      <c r="H221" s="6" t="s">
        <v>4340</v>
      </c>
      <c r="I221" s="6"/>
      <c r="J221" s="6" t="s">
        <v>123</v>
      </c>
      <c r="K221" s="6" t="s">
        <v>199</v>
      </c>
      <c r="L221" s="6" t="s">
        <v>990</v>
      </c>
      <c r="M221" s="6" t="s">
        <v>3399</v>
      </c>
      <c r="N221" s="6"/>
      <c r="O221" s="6" t="s">
        <v>4662</v>
      </c>
      <c r="P221" s="6">
        <v>17</v>
      </c>
      <c r="Q221" s="6">
        <v>47831232</v>
      </c>
      <c r="R221" s="6">
        <v>0.25</v>
      </c>
      <c r="S221" s="6">
        <v>0.15</v>
      </c>
      <c r="T221" s="6">
        <v>41254437.600000001</v>
      </c>
      <c r="U221" s="6">
        <v>32990701.23</v>
      </c>
      <c r="V221" s="6">
        <v>0.32</v>
      </c>
      <c r="W221" s="6">
        <v>0.16</v>
      </c>
      <c r="X221" s="6" t="s">
        <v>991</v>
      </c>
      <c r="Y221" s="6">
        <v>28659070.129999999</v>
      </c>
      <c r="Z221" s="6">
        <v>13747948.859999999</v>
      </c>
      <c r="AA221" s="6">
        <v>30</v>
      </c>
      <c r="AB221" s="6">
        <v>23</v>
      </c>
      <c r="AC221" s="6" t="s">
        <v>376</v>
      </c>
      <c r="AD221" s="6" t="s">
        <v>354</v>
      </c>
      <c r="AE221" s="6">
        <v>0.99</v>
      </c>
      <c r="AF221" s="6"/>
      <c r="AG221" s="6">
        <v>0.15</v>
      </c>
      <c r="AH221" s="6">
        <v>0.1</v>
      </c>
      <c r="AI221" s="6">
        <v>11</v>
      </c>
      <c r="AJ221" s="6">
        <v>3144</v>
      </c>
      <c r="AK221" s="6"/>
      <c r="AL221" s="6">
        <v>17957324.82</v>
      </c>
      <c r="AM221" s="6"/>
      <c r="AN221" s="6" t="s">
        <v>348</v>
      </c>
      <c r="AO221" s="6">
        <v>78.3</v>
      </c>
      <c r="AP221" s="6">
        <v>12</v>
      </c>
      <c r="AQ221" s="6" t="s">
        <v>337</v>
      </c>
      <c r="AR221" s="6" t="s">
        <v>229</v>
      </c>
      <c r="AS221" s="6" t="s">
        <v>324</v>
      </c>
    </row>
    <row r="222" spans="1:45" x14ac:dyDescent="0.3">
      <c r="A222" s="7" t="s">
        <v>992</v>
      </c>
      <c r="B222" s="7" t="s">
        <v>4663</v>
      </c>
      <c r="C222" s="7" t="s">
        <v>282</v>
      </c>
      <c r="D222" s="7" t="s">
        <v>265</v>
      </c>
      <c r="E222" s="7" t="s">
        <v>4325</v>
      </c>
      <c r="F222" s="7" t="s">
        <v>339</v>
      </c>
      <c r="G222" s="7" t="s">
        <v>33</v>
      </c>
      <c r="H222" s="7" t="s">
        <v>4271</v>
      </c>
      <c r="I222" s="7" t="s">
        <v>191</v>
      </c>
      <c r="J222" s="7" t="s">
        <v>115</v>
      </c>
      <c r="K222" s="7" t="s">
        <v>221</v>
      </c>
      <c r="L222" s="7" t="s">
        <v>993</v>
      </c>
      <c r="M222" s="7" t="s">
        <v>4664</v>
      </c>
      <c r="N222" s="7" t="s">
        <v>526</v>
      </c>
      <c r="O222" s="7" t="s">
        <v>4665</v>
      </c>
      <c r="P222" s="7">
        <v>13</v>
      </c>
      <c r="Q222" s="7">
        <v>2875289</v>
      </c>
      <c r="R222" s="7">
        <v>0.13</v>
      </c>
      <c r="S222" s="7">
        <v>0.15</v>
      </c>
      <c r="T222" s="7">
        <v>2876726.64</v>
      </c>
      <c r="U222" s="7">
        <v>2391257.94</v>
      </c>
      <c r="V222" s="7">
        <v>0.16</v>
      </c>
      <c r="W222" s="7">
        <v>0.11</v>
      </c>
      <c r="X222" s="7" t="s">
        <v>994</v>
      </c>
      <c r="Y222" s="7">
        <v>2227731.58</v>
      </c>
      <c r="Z222" s="7">
        <v>1690126.35</v>
      </c>
      <c r="AA222" s="7">
        <v>120</v>
      </c>
      <c r="AB222" s="7">
        <v>10</v>
      </c>
      <c r="AC222" s="7"/>
      <c r="AD222" s="7" t="s">
        <v>226</v>
      </c>
      <c r="AE222" s="7">
        <v>0.93</v>
      </c>
      <c r="AF222" s="7" t="s">
        <v>153</v>
      </c>
      <c r="AG222" s="7">
        <v>0.15</v>
      </c>
      <c r="AH222" s="7">
        <v>0.08</v>
      </c>
      <c r="AI222" s="7">
        <v>13</v>
      </c>
      <c r="AJ222" s="7">
        <v>4419</v>
      </c>
      <c r="AK222" s="7">
        <v>610827.44999999995</v>
      </c>
      <c r="AL222" s="7">
        <v>1241230.58</v>
      </c>
      <c r="AM222" s="7" t="s">
        <v>355</v>
      </c>
      <c r="AN222" s="7" t="s">
        <v>386</v>
      </c>
      <c r="AO222" s="7">
        <v>58.6</v>
      </c>
      <c r="AP222" s="7">
        <v>12</v>
      </c>
      <c r="AQ222" s="7" t="s">
        <v>387</v>
      </c>
      <c r="AR222" s="7" t="s">
        <v>229</v>
      </c>
      <c r="AS222" s="7" t="s">
        <v>188</v>
      </c>
    </row>
    <row r="223" spans="1:45" x14ac:dyDescent="0.3">
      <c r="A223" s="6" t="s">
        <v>995</v>
      </c>
      <c r="B223" s="6" t="s">
        <v>4666</v>
      </c>
      <c r="C223" s="6" t="s">
        <v>273</v>
      </c>
      <c r="D223" s="6" t="s">
        <v>245</v>
      </c>
      <c r="E223" s="6" t="s">
        <v>4265</v>
      </c>
      <c r="F223" s="6" t="s">
        <v>363</v>
      </c>
      <c r="G223" s="6" t="s">
        <v>57</v>
      </c>
      <c r="H223" s="6"/>
      <c r="I223" s="6" t="s">
        <v>4372</v>
      </c>
      <c r="J223" s="6" t="s">
        <v>130</v>
      </c>
      <c r="K223" s="6" t="s">
        <v>326</v>
      </c>
      <c r="L223" s="6" t="s">
        <v>996</v>
      </c>
      <c r="M223" s="6" t="s">
        <v>3441</v>
      </c>
      <c r="N223" s="6" t="s">
        <v>4667</v>
      </c>
      <c r="O223" s="6" t="s">
        <v>3679</v>
      </c>
      <c r="P223" s="6">
        <v>50</v>
      </c>
      <c r="Q223" s="6">
        <v>17962400</v>
      </c>
      <c r="R223" s="6">
        <v>0.3</v>
      </c>
      <c r="S223" s="6">
        <v>7.0000000000000007E-2</v>
      </c>
      <c r="T223" s="6">
        <v>13453837.6</v>
      </c>
      <c r="U223" s="6">
        <v>11654189.470000001</v>
      </c>
      <c r="V223" s="6">
        <v>0.25</v>
      </c>
      <c r="W223" s="6">
        <v>0.06</v>
      </c>
      <c r="X223" s="6"/>
      <c r="Y223" s="6">
        <v>4526557.93</v>
      </c>
      <c r="Z223" s="6">
        <v>2943237.13</v>
      </c>
      <c r="AA223" s="6">
        <v>60</v>
      </c>
      <c r="AB223" s="6">
        <v>41</v>
      </c>
      <c r="AC223" s="6" t="s">
        <v>329</v>
      </c>
      <c r="AD223" s="6" t="s">
        <v>354</v>
      </c>
      <c r="AE223" s="6">
        <v>0.95</v>
      </c>
      <c r="AF223" s="6" t="s">
        <v>4319</v>
      </c>
      <c r="AG223" s="6">
        <v>0.1</v>
      </c>
      <c r="AH223" s="6">
        <v>0.01</v>
      </c>
      <c r="AI223" s="6">
        <v>6</v>
      </c>
      <c r="AJ223" s="6">
        <v>225</v>
      </c>
      <c r="AK223" s="6">
        <v>2847464.8</v>
      </c>
      <c r="AL223" s="6">
        <v>2665752.7400000002</v>
      </c>
      <c r="AM223" s="6" t="s">
        <v>385</v>
      </c>
      <c r="AN223" s="6" t="s">
        <v>322</v>
      </c>
      <c r="AO223" s="6">
        <v>52</v>
      </c>
      <c r="AP223" s="6">
        <v>24</v>
      </c>
      <c r="AQ223" s="6" t="s">
        <v>392</v>
      </c>
      <c r="AR223" s="6" t="s">
        <v>229</v>
      </c>
      <c r="AS223" s="6"/>
    </row>
    <row r="224" spans="1:45" x14ac:dyDescent="0.3">
      <c r="A224" s="7" t="s">
        <v>997</v>
      </c>
      <c r="B224" s="7" t="s">
        <v>4668</v>
      </c>
      <c r="C224" s="7" t="s">
        <v>244</v>
      </c>
      <c r="D224" s="7" t="s">
        <v>281</v>
      </c>
      <c r="E224" s="7"/>
      <c r="F224" s="7" t="s">
        <v>75</v>
      </c>
      <c r="G224" s="7" t="s">
        <v>50</v>
      </c>
      <c r="H224" s="7" t="s">
        <v>197</v>
      </c>
      <c r="I224" s="7" t="s">
        <v>213</v>
      </c>
      <c r="J224" s="7" t="s">
        <v>130</v>
      </c>
      <c r="K224" s="7" t="s">
        <v>333</v>
      </c>
      <c r="L224" s="7" t="s">
        <v>998</v>
      </c>
      <c r="M224" s="7" t="s">
        <v>4442</v>
      </c>
      <c r="N224" s="7"/>
      <c r="O224" s="7" t="s">
        <v>4669</v>
      </c>
      <c r="P224" s="7">
        <v>44</v>
      </c>
      <c r="Q224" s="7">
        <v>37534160</v>
      </c>
      <c r="R224" s="7">
        <v>0.2</v>
      </c>
      <c r="S224" s="7">
        <v>0.09</v>
      </c>
      <c r="T224" s="7">
        <v>32729787.52</v>
      </c>
      <c r="U224" s="7">
        <v>27699980.469999999</v>
      </c>
      <c r="V224" s="7">
        <v>0.14000000000000001</v>
      </c>
      <c r="W224" s="7">
        <v>0.18</v>
      </c>
      <c r="X224" s="7" t="s">
        <v>999</v>
      </c>
      <c r="Y224" s="7">
        <v>13107462.67</v>
      </c>
      <c r="Z224" s="7">
        <v>12823342.949999999</v>
      </c>
      <c r="AA224" s="7">
        <v>120</v>
      </c>
      <c r="AB224" s="7">
        <v>103</v>
      </c>
      <c r="AC224" s="7"/>
      <c r="AD224" s="7" t="s">
        <v>381</v>
      </c>
      <c r="AE224" s="7">
        <v>0.64</v>
      </c>
      <c r="AF224" s="7" t="s">
        <v>162</v>
      </c>
      <c r="AG224" s="7">
        <v>0.1</v>
      </c>
      <c r="AH224" s="7">
        <v>0.08</v>
      </c>
      <c r="AI224" s="7">
        <v>11</v>
      </c>
      <c r="AJ224" s="7"/>
      <c r="AK224" s="7">
        <v>5549788.4900000002</v>
      </c>
      <c r="AL224" s="7">
        <v>9512931.6899999995</v>
      </c>
      <c r="AM224" s="7" t="s">
        <v>343</v>
      </c>
      <c r="AN224" s="7" t="s">
        <v>330</v>
      </c>
      <c r="AO224" s="7">
        <v>74.900000000000006</v>
      </c>
      <c r="AP224" s="7">
        <v>12</v>
      </c>
      <c r="AQ224" s="7" t="s">
        <v>4275</v>
      </c>
      <c r="AR224" s="7" t="s">
        <v>206</v>
      </c>
      <c r="AS224" s="7" t="s">
        <v>361</v>
      </c>
    </row>
    <row r="225" spans="1:45" x14ac:dyDescent="0.3">
      <c r="A225" s="6" t="s">
        <v>1000</v>
      </c>
      <c r="B225" s="6" t="s">
        <v>4670</v>
      </c>
      <c r="C225" s="6" t="s">
        <v>280</v>
      </c>
      <c r="D225" s="6" t="s">
        <v>562</v>
      </c>
      <c r="E225" s="6" t="s">
        <v>52</v>
      </c>
      <c r="F225" s="6" t="s">
        <v>75</v>
      </c>
      <c r="G225" s="6" t="s">
        <v>57</v>
      </c>
      <c r="H225" s="6" t="s">
        <v>4280</v>
      </c>
      <c r="I225" s="6" t="s">
        <v>191</v>
      </c>
      <c r="J225" s="7" t="s">
        <v>119</v>
      </c>
      <c r="K225" s="6" t="s">
        <v>326</v>
      </c>
      <c r="L225" s="6" t="s">
        <v>1001</v>
      </c>
      <c r="M225" s="6" t="s">
        <v>4671</v>
      </c>
      <c r="N225" s="6"/>
      <c r="O225" s="6" t="s">
        <v>3345</v>
      </c>
      <c r="P225" s="6" t="s">
        <v>4275</v>
      </c>
      <c r="Q225" s="6">
        <v>29112513</v>
      </c>
      <c r="R225" s="6">
        <v>0.25</v>
      </c>
      <c r="S225" s="6">
        <v>0.19</v>
      </c>
      <c r="T225" s="6">
        <v>25982917.850000001</v>
      </c>
      <c r="U225" s="6">
        <v>21269620.07</v>
      </c>
      <c r="V225" s="6">
        <v>0.08</v>
      </c>
      <c r="W225" s="6">
        <v>0.11</v>
      </c>
      <c r="X225" s="6" t="s">
        <v>1002</v>
      </c>
      <c r="Y225" s="6">
        <v>23079992.07</v>
      </c>
      <c r="Z225" s="6">
        <v>10897525.49</v>
      </c>
      <c r="AA225" s="6">
        <v>90</v>
      </c>
      <c r="AB225" s="6">
        <v>80</v>
      </c>
      <c r="AC225" s="6" t="s">
        <v>329</v>
      </c>
      <c r="AD225" s="6" t="s">
        <v>406</v>
      </c>
      <c r="AE225" s="6">
        <v>0.56000000000000005</v>
      </c>
      <c r="AF225" s="6" t="s">
        <v>4319</v>
      </c>
      <c r="AG225" s="6">
        <v>0.15</v>
      </c>
      <c r="AH225" s="6">
        <v>0.04</v>
      </c>
      <c r="AI225" s="6">
        <v>7</v>
      </c>
      <c r="AJ225" s="6">
        <v>2822</v>
      </c>
      <c r="AK225" s="6">
        <v>2379384.1</v>
      </c>
      <c r="AL225" s="6">
        <v>7071104.4500000002</v>
      </c>
      <c r="AM225" s="6" t="s">
        <v>385</v>
      </c>
      <c r="AN225" s="6" t="s">
        <v>356</v>
      </c>
      <c r="AO225" s="6">
        <v>69.400000000000006</v>
      </c>
      <c r="AP225" s="6">
        <v>12</v>
      </c>
      <c r="AQ225" s="6" t="s">
        <v>392</v>
      </c>
      <c r="AR225" s="6" t="s">
        <v>229</v>
      </c>
      <c r="AS225" s="6" t="s">
        <v>361</v>
      </c>
    </row>
    <row r="226" spans="1:45" x14ac:dyDescent="0.3">
      <c r="A226" s="7" t="s">
        <v>1003</v>
      </c>
      <c r="B226" s="7" t="s">
        <v>4672</v>
      </c>
      <c r="C226" s="7" t="s">
        <v>275</v>
      </c>
      <c r="D226" s="7" t="s">
        <v>220</v>
      </c>
      <c r="E226" s="7" t="s">
        <v>113</v>
      </c>
      <c r="F226" s="7" t="s">
        <v>181</v>
      </c>
      <c r="G226" s="7" t="s">
        <v>38</v>
      </c>
      <c r="H226" s="7" t="s">
        <v>182</v>
      </c>
      <c r="I226" s="7" t="s">
        <v>4289</v>
      </c>
      <c r="J226" s="7" t="s">
        <v>111</v>
      </c>
      <c r="K226" s="7" t="s">
        <v>204</v>
      </c>
      <c r="L226" s="7" t="s">
        <v>1004</v>
      </c>
      <c r="M226" s="7" t="s">
        <v>4673</v>
      </c>
      <c r="N226" s="7" t="s">
        <v>1005</v>
      </c>
      <c r="O226" s="7" t="s">
        <v>3682</v>
      </c>
      <c r="P226" s="7">
        <v>31</v>
      </c>
      <c r="Q226" s="7">
        <v>6510104</v>
      </c>
      <c r="R226" s="7">
        <v>0.19</v>
      </c>
      <c r="S226" s="7">
        <v>-0.04</v>
      </c>
      <c r="T226" s="7">
        <v>5062256.87</v>
      </c>
      <c r="U226" s="7"/>
      <c r="V226" s="7" t="s">
        <v>4374</v>
      </c>
      <c r="W226" s="7">
        <v>0.13</v>
      </c>
      <c r="X226" s="7" t="s">
        <v>1006</v>
      </c>
      <c r="Y226" s="7">
        <v>2861367.36</v>
      </c>
      <c r="Z226" s="7">
        <v>3106323.58</v>
      </c>
      <c r="AA226" s="7">
        <v>30</v>
      </c>
      <c r="AB226" s="7">
        <v>175</v>
      </c>
      <c r="AC226" s="7" t="s">
        <v>353</v>
      </c>
      <c r="AD226" s="7" t="s">
        <v>226</v>
      </c>
      <c r="AE226" s="7">
        <v>0.4</v>
      </c>
      <c r="AF226" s="7" t="s">
        <v>4312</v>
      </c>
      <c r="AG226" s="7">
        <v>0.05</v>
      </c>
      <c r="AH226" s="7">
        <v>0.01</v>
      </c>
      <c r="AI226" s="7">
        <v>0</v>
      </c>
      <c r="AJ226" s="7">
        <v>1487</v>
      </c>
      <c r="AK226" s="7">
        <v>296135.05</v>
      </c>
      <c r="AL226" s="7">
        <v>897355.29</v>
      </c>
      <c r="AM226" s="7" t="s">
        <v>321</v>
      </c>
      <c r="AN226" s="7"/>
      <c r="AO226" s="7">
        <v>90.4</v>
      </c>
      <c r="AP226" s="7">
        <v>60</v>
      </c>
      <c r="AQ226" s="7" t="s">
        <v>4275</v>
      </c>
      <c r="AR226" s="7" t="s">
        <v>229</v>
      </c>
      <c r="AS226" s="7"/>
    </row>
    <row r="227" spans="1:45" x14ac:dyDescent="0.3">
      <c r="A227" s="6" t="s">
        <v>1007</v>
      </c>
      <c r="B227" s="6" t="s">
        <v>3376</v>
      </c>
      <c r="C227" s="6" t="s">
        <v>267</v>
      </c>
      <c r="D227" s="6" t="s">
        <v>215</v>
      </c>
      <c r="E227" s="6"/>
      <c r="F227" s="6" t="s">
        <v>350</v>
      </c>
      <c r="G227" s="6" t="s">
        <v>66</v>
      </c>
      <c r="H227" s="6"/>
      <c r="I227" s="6" t="s">
        <v>4289</v>
      </c>
      <c r="J227" s="6" t="s">
        <v>130</v>
      </c>
      <c r="K227" s="6" t="s">
        <v>199</v>
      </c>
      <c r="L227" s="6" t="s">
        <v>1008</v>
      </c>
      <c r="M227" s="6" t="s">
        <v>3683</v>
      </c>
      <c r="N227" s="6" t="s">
        <v>4674</v>
      </c>
      <c r="O227" s="6" t="s">
        <v>3684</v>
      </c>
      <c r="P227" s="6">
        <v>8</v>
      </c>
      <c r="Q227" s="6">
        <v>45076038</v>
      </c>
      <c r="R227" s="6">
        <v>0.2</v>
      </c>
      <c r="S227" s="6">
        <v>0.03</v>
      </c>
      <c r="T227" s="6">
        <v>37142655.310000002</v>
      </c>
      <c r="U227" s="6">
        <v>27759373.98</v>
      </c>
      <c r="V227" s="6">
        <v>0.22</v>
      </c>
      <c r="W227" s="6">
        <v>0.11</v>
      </c>
      <c r="X227" s="6"/>
      <c r="Y227" s="6">
        <v>13402536.58</v>
      </c>
      <c r="Z227" s="6">
        <v>6588165.4199999999</v>
      </c>
      <c r="AA227" s="6">
        <v>90</v>
      </c>
      <c r="AB227" s="6">
        <v>49</v>
      </c>
      <c r="AC227" s="6"/>
      <c r="AD227" s="6" t="s">
        <v>354</v>
      </c>
      <c r="AE227" s="6">
        <v>0.8</v>
      </c>
      <c r="AF227" s="6" t="s">
        <v>4312</v>
      </c>
      <c r="AG227" s="6">
        <v>0.05</v>
      </c>
      <c r="AH227" s="6">
        <v>0.04</v>
      </c>
      <c r="AI227" s="6">
        <v>15</v>
      </c>
      <c r="AJ227" s="6">
        <v>1550</v>
      </c>
      <c r="AK227" s="6">
        <v>3366519.69</v>
      </c>
      <c r="AL227" s="6">
        <v>17089727.109999999</v>
      </c>
      <c r="AM227" s="6" t="s">
        <v>73</v>
      </c>
      <c r="AN227" s="6" t="s">
        <v>330</v>
      </c>
      <c r="AO227" s="6">
        <v>88.5</v>
      </c>
      <c r="AP227" s="6">
        <v>36</v>
      </c>
      <c r="AQ227" s="6" t="s">
        <v>323</v>
      </c>
      <c r="AR227" s="6" t="s">
        <v>224</v>
      </c>
      <c r="AS227" s="6"/>
    </row>
    <row r="228" spans="1:45" x14ac:dyDescent="0.3">
      <c r="A228" s="7" t="s">
        <v>1009</v>
      </c>
      <c r="B228" s="7" t="s">
        <v>3550</v>
      </c>
      <c r="C228" s="7" t="s">
        <v>275</v>
      </c>
      <c r="D228" s="7" t="s">
        <v>394</v>
      </c>
      <c r="E228" s="7" t="s">
        <v>4265</v>
      </c>
      <c r="F228" s="7" t="s">
        <v>350</v>
      </c>
      <c r="G228" s="7" t="s">
        <v>28</v>
      </c>
      <c r="H228" s="7" t="s">
        <v>216</v>
      </c>
      <c r="I228" s="7" t="s">
        <v>4272</v>
      </c>
      <c r="J228" s="6" t="s">
        <v>130</v>
      </c>
      <c r="K228" s="7" t="s">
        <v>199</v>
      </c>
      <c r="L228" s="7" t="s">
        <v>1010</v>
      </c>
      <c r="M228" s="7" t="s">
        <v>4675</v>
      </c>
      <c r="N228" s="7" t="s">
        <v>4676</v>
      </c>
      <c r="O228" s="7" t="s">
        <v>4677</v>
      </c>
      <c r="P228" s="7">
        <v>56</v>
      </c>
      <c r="Q228" s="7">
        <v>36288709</v>
      </c>
      <c r="R228" s="7">
        <v>0.03</v>
      </c>
      <c r="S228" s="7">
        <v>0.16</v>
      </c>
      <c r="T228" s="7">
        <v>40832055.369999997</v>
      </c>
      <c r="U228" s="7">
        <v>26409303.600000001</v>
      </c>
      <c r="V228" s="7">
        <v>0.27</v>
      </c>
      <c r="W228" s="7">
        <v>0.09</v>
      </c>
      <c r="X228" s="7" t="s">
        <v>1011</v>
      </c>
      <c r="Y228" s="7">
        <v>32365505.149999999</v>
      </c>
      <c r="Z228" s="7">
        <v>28832229.940000001</v>
      </c>
      <c r="AA228" s="7">
        <v>120</v>
      </c>
      <c r="AB228" s="7">
        <v>46</v>
      </c>
      <c r="AC228" s="7" t="s">
        <v>342</v>
      </c>
      <c r="AD228" s="7" t="s">
        <v>455</v>
      </c>
      <c r="AE228" s="7">
        <v>0.53</v>
      </c>
      <c r="AF228" s="7" t="s">
        <v>4276</v>
      </c>
      <c r="AG228" s="7">
        <v>0.15</v>
      </c>
      <c r="AH228" s="7">
        <v>7.0000000000000007E-2</v>
      </c>
      <c r="AI228" s="7">
        <v>6</v>
      </c>
      <c r="AJ228" s="7">
        <v>2243</v>
      </c>
      <c r="AK228" s="7">
        <v>912690.43</v>
      </c>
      <c r="AL228" s="7">
        <v>10242831.539999999</v>
      </c>
      <c r="AM228" s="7" t="s">
        <v>343</v>
      </c>
      <c r="AN228" s="7" t="s">
        <v>330</v>
      </c>
      <c r="AO228" s="7">
        <v>85.5</v>
      </c>
      <c r="AP228" s="7">
        <v>24</v>
      </c>
      <c r="AQ228" s="7"/>
      <c r="AR228" s="7" t="s">
        <v>229</v>
      </c>
      <c r="AS228" s="7" t="s">
        <v>188</v>
      </c>
    </row>
    <row r="229" spans="1:45" x14ac:dyDescent="0.3">
      <c r="A229" s="6" t="s">
        <v>1012</v>
      </c>
      <c r="B229" s="6" t="s">
        <v>4678</v>
      </c>
      <c r="C229" s="6" t="s">
        <v>284</v>
      </c>
      <c r="D229" s="6" t="s">
        <v>255</v>
      </c>
      <c r="E229" s="6" t="s">
        <v>4270</v>
      </c>
      <c r="F229" s="6" t="s">
        <v>367</v>
      </c>
      <c r="G229" s="6" t="s">
        <v>70</v>
      </c>
      <c r="H229" s="6" t="s">
        <v>4280</v>
      </c>
      <c r="I229" s="6" t="s">
        <v>240</v>
      </c>
      <c r="J229" s="6" t="s">
        <v>123</v>
      </c>
      <c r="K229" s="6" t="s">
        <v>333</v>
      </c>
      <c r="L229" s="6" t="s">
        <v>1013</v>
      </c>
      <c r="M229" s="6" t="s">
        <v>3685</v>
      </c>
      <c r="N229" s="6" t="s">
        <v>3686</v>
      </c>
      <c r="O229" s="6" t="s">
        <v>4379</v>
      </c>
      <c r="P229" s="6" t="s">
        <v>4275</v>
      </c>
      <c r="Q229" s="6">
        <v>44690695</v>
      </c>
      <c r="R229" s="6">
        <v>0.24</v>
      </c>
      <c r="S229" s="6">
        <v>-0.03</v>
      </c>
      <c r="T229" s="6">
        <v>32945980.350000001</v>
      </c>
      <c r="U229" s="6">
        <v>20593952.760000002</v>
      </c>
      <c r="V229" s="6">
        <v>7.0000000000000007E-2</v>
      </c>
      <c r="W229" s="6">
        <v>0.12</v>
      </c>
      <c r="X229" s="6" t="s">
        <v>1014</v>
      </c>
      <c r="Y229" s="6">
        <v>4850416.58</v>
      </c>
      <c r="Z229" s="6">
        <v>2071802.41</v>
      </c>
      <c r="AA229" s="6">
        <v>90</v>
      </c>
      <c r="AB229" s="6">
        <v>18</v>
      </c>
      <c r="AC229" s="6" t="s">
        <v>329</v>
      </c>
      <c r="AD229" s="6" t="s">
        <v>336</v>
      </c>
      <c r="AE229" s="6">
        <v>0.22</v>
      </c>
      <c r="AF229" s="6" t="s">
        <v>4319</v>
      </c>
      <c r="AG229" s="6">
        <v>0.1</v>
      </c>
      <c r="AH229" s="6">
        <v>0.03</v>
      </c>
      <c r="AI229" s="6">
        <v>8</v>
      </c>
      <c r="AJ229" s="6">
        <v>1558</v>
      </c>
      <c r="AK229" s="6">
        <v>6151981.04</v>
      </c>
      <c r="AL229" s="6"/>
      <c r="AM229" s="6" t="s">
        <v>385</v>
      </c>
      <c r="AN229" s="6" t="s">
        <v>386</v>
      </c>
      <c r="AO229" s="6">
        <v>57.1</v>
      </c>
      <c r="AP229" s="6" t="s">
        <v>4275</v>
      </c>
      <c r="AQ229" s="6" t="s">
        <v>392</v>
      </c>
      <c r="AR229" s="6" t="s">
        <v>192</v>
      </c>
      <c r="AS229" s="6" t="s">
        <v>361</v>
      </c>
    </row>
    <row r="230" spans="1:45" x14ac:dyDescent="0.3">
      <c r="A230" s="7" t="s">
        <v>1015</v>
      </c>
      <c r="B230" s="7" t="s">
        <v>3687</v>
      </c>
      <c r="C230" s="7" t="s">
        <v>217</v>
      </c>
      <c r="D230" s="7" t="s">
        <v>562</v>
      </c>
      <c r="E230" s="7" t="s">
        <v>4270</v>
      </c>
      <c r="F230" s="7" t="s">
        <v>367</v>
      </c>
      <c r="G230" s="7" t="s">
        <v>62</v>
      </c>
      <c r="H230" s="7" t="s">
        <v>4266</v>
      </c>
      <c r="I230" s="7" t="s">
        <v>240</v>
      </c>
      <c r="J230" s="7" t="s">
        <v>111</v>
      </c>
      <c r="K230" s="7" t="s">
        <v>223</v>
      </c>
      <c r="L230" s="7" t="s">
        <v>1016</v>
      </c>
      <c r="M230" s="7" t="s">
        <v>4679</v>
      </c>
      <c r="N230" s="7"/>
      <c r="O230" s="7" t="s">
        <v>4274</v>
      </c>
      <c r="P230" s="7">
        <v>27</v>
      </c>
      <c r="Q230" s="7">
        <v>25703673</v>
      </c>
      <c r="R230" s="7">
        <v>0.06</v>
      </c>
      <c r="S230" s="7">
        <v>0.02</v>
      </c>
      <c r="T230" s="7">
        <v>24644681.670000002</v>
      </c>
      <c r="U230" s="7"/>
      <c r="V230" s="7">
        <v>0.19</v>
      </c>
      <c r="W230" s="7">
        <v>0.14000000000000001</v>
      </c>
      <c r="X230" s="7" t="s">
        <v>1017</v>
      </c>
      <c r="Y230" s="7">
        <v>2565559.9900000002</v>
      </c>
      <c r="Z230" s="7">
        <v>1147242.82</v>
      </c>
      <c r="AA230" s="7">
        <v>45</v>
      </c>
      <c r="AB230" s="7">
        <v>86</v>
      </c>
      <c r="AC230" s="7" t="s">
        <v>342</v>
      </c>
      <c r="AD230" s="7" t="s">
        <v>406</v>
      </c>
      <c r="AE230" s="7">
        <v>0.67</v>
      </c>
      <c r="AF230" s="7" t="s">
        <v>4319</v>
      </c>
      <c r="AG230" s="7">
        <v>0.1</v>
      </c>
      <c r="AH230" s="7">
        <v>0.01</v>
      </c>
      <c r="AI230" s="7">
        <v>14</v>
      </c>
      <c r="AJ230" s="7"/>
      <c r="AK230" s="7">
        <v>3193420.77</v>
      </c>
      <c r="AL230" s="7">
        <v>6270146.7199999997</v>
      </c>
      <c r="AM230" s="7" t="s">
        <v>321</v>
      </c>
      <c r="AN230" s="7"/>
      <c r="AO230" s="7">
        <v>81.400000000000006</v>
      </c>
      <c r="AP230" s="7">
        <v>48</v>
      </c>
      <c r="AQ230" s="7"/>
      <c r="AR230" s="7" t="s">
        <v>186</v>
      </c>
      <c r="AS230" s="7" t="s">
        <v>377</v>
      </c>
    </row>
    <row r="231" spans="1:45" x14ac:dyDescent="0.3">
      <c r="A231" s="6" t="s">
        <v>1018</v>
      </c>
      <c r="B231" s="6" t="s">
        <v>4680</v>
      </c>
      <c r="C231" s="6" t="s">
        <v>234</v>
      </c>
      <c r="D231" s="6" t="s">
        <v>262</v>
      </c>
      <c r="E231" s="6" t="s">
        <v>4325</v>
      </c>
      <c r="F231" s="6" t="s">
        <v>339</v>
      </c>
      <c r="G231" s="6" t="s">
        <v>46</v>
      </c>
      <c r="H231" s="6"/>
      <c r="I231" s="6" t="s">
        <v>198</v>
      </c>
      <c r="J231" s="6" t="s">
        <v>115</v>
      </c>
      <c r="K231" s="6" t="s">
        <v>326</v>
      </c>
      <c r="L231" s="6" t="s">
        <v>1019</v>
      </c>
      <c r="M231" s="6" t="s">
        <v>4681</v>
      </c>
      <c r="N231" s="6" t="s">
        <v>1020</v>
      </c>
      <c r="O231" s="6" t="s">
        <v>3487</v>
      </c>
      <c r="P231" s="6">
        <v>36</v>
      </c>
      <c r="Q231" s="6">
        <v>30733478</v>
      </c>
      <c r="R231" s="6">
        <v>0.17</v>
      </c>
      <c r="S231" s="6">
        <v>0.17</v>
      </c>
      <c r="T231" s="6">
        <v>29845280.489999998</v>
      </c>
      <c r="U231" s="6">
        <v>19849731.739999998</v>
      </c>
      <c r="V231" s="6">
        <v>0.12</v>
      </c>
      <c r="W231" s="6">
        <v>0.18</v>
      </c>
      <c r="X231" s="6" t="s">
        <v>1021</v>
      </c>
      <c r="Y231" s="6">
        <v>13015219.939999999</v>
      </c>
      <c r="Z231" s="6">
        <v>13061494.890000001</v>
      </c>
      <c r="AA231" s="6">
        <v>45</v>
      </c>
      <c r="AB231" s="6">
        <v>37</v>
      </c>
      <c r="AC231" s="6" t="s">
        <v>353</v>
      </c>
      <c r="AD231" s="6" t="s">
        <v>336</v>
      </c>
      <c r="AE231" s="6">
        <v>0.32</v>
      </c>
      <c r="AF231" s="6" t="s">
        <v>4303</v>
      </c>
      <c r="AG231" s="6">
        <v>0.15</v>
      </c>
      <c r="AH231" s="6">
        <v>0.03</v>
      </c>
      <c r="AI231" s="6">
        <v>12</v>
      </c>
      <c r="AJ231" s="6">
        <v>3354</v>
      </c>
      <c r="AK231" s="6">
        <v>2703587.44</v>
      </c>
      <c r="AL231" s="6">
        <v>8598215.8000000007</v>
      </c>
      <c r="AM231" s="6"/>
      <c r="AN231" s="6" t="s">
        <v>356</v>
      </c>
      <c r="AO231" s="6">
        <v>68.2</v>
      </c>
      <c r="AP231" s="6">
        <v>48</v>
      </c>
      <c r="AQ231" s="6" t="s">
        <v>387</v>
      </c>
      <c r="AR231" s="6" t="s">
        <v>186</v>
      </c>
      <c r="AS231" s="6"/>
    </row>
    <row r="232" spans="1:45" x14ac:dyDescent="0.3">
      <c r="A232" s="7" t="s">
        <v>1022</v>
      </c>
      <c r="B232" s="7" t="s">
        <v>4682</v>
      </c>
      <c r="C232" s="7" t="s">
        <v>283</v>
      </c>
      <c r="D232" s="7" t="s">
        <v>274</v>
      </c>
      <c r="E232" s="7" t="s">
        <v>113</v>
      </c>
      <c r="F232" s="7" t="s">
        <v>367</v>
      </c>
      <c r="G232" s="7" t="s">
        <v>73</v>
      </c>
      <c r="H232" s="7" t="s">
        <v>236</v>
      </c>
      <c r="I232" s="7" t="s">
        <v>4372</v>
      </c>
      <c r="J232" s="7" t="s">
        <v>123</v>
      </c>
      <c r="K232" s="7" t="s">
        <v>184</v>
      </c>
      <c r="L232" s="7" t="s">
        <v>1023</v>
      </c>
      <c r="M232" s="7" t="s">
        <v>3689</v>
      </c>
      <c r="N232" s="7"/>
      <c r="O232" s="7" t="s">
        <v>4274</v>
      </c>
      <c r="P232" s="7">
        <v>6</v>
      </c>
      <c r="Q232" s="7">
        <v>10717257</v>
      </c>
      <c r="R232" s="7">
        <v>0.23</v>
      </c>
      <c r="S232" s="7">
        <v>0.18</v>
      </c>
      <c r="T232" s="7">
        <v>9737699.7100000009</v>
      </c>
      <c r="U232" s="7">
        <v>6105382.8099999996</v>
      </c>
      <c r="V232" s="7">
        <v>0.17</v>
      </c>
      <c r="W232" s="7">
        <v>0.16</v>
      </c>
      <c r="X232" s="7" t="s">
        <v>1024</v>
      </c>
      <c r="Y232" s="7">
        <v>4060778.98</v>
      </c>
      <c r="Z232" s="7">
        <v>4282332.74</v>
      </c>
      <c r="AA232" s="7">
        <v>30</v>
      </c>
      <c r="AB232" s="7">
        <v>178</v>
      </c>
      <c r="AC232" s="7" t="s">
        <v>329</v>
      </c>
      <c r="AD232" s="7" t="s">
        <v>320</v>
      </c>
      <c r="AE232" s="7">
        <v>0.24</v>
      </c>
      <c r="AF232" s="7" t="s">
        <v>4303</v>
      </c>
      <c r="AG232" s="7">
        <v>0.15</v>
      </c>
      <c r="AH232" s="7">
        <v>7.0000000000000007E-2</v>
      </c>
      <c r="AI232" s="7">
        <v>8</v>
      </c>
      <c r="AJ232" s="7">
        <v>3668</v>
      </c>
      <c r="AK232" s="7">
        <v>1770593.67</v>
      </c>
      <c r="AL232" s="7">
        <v>1369118.59</v>
      </c>
      <c r="AM232" s="7" t="s">
        <v>73</v>
      </c>
      <c r="AN232" s="7" t="s">
        <v>322</v>
      </c>
      <c r="AO232" s="7">
        <v>53.3</v>
      </c>
      <c r="AP232" s="7">
        <v>24</v>
      </c>
      <c r="AQ232" s="7" t="s">
        <v>4275</v>
      </c>
      <c r="AR232" s="7" t="s">
        <v>206</v>
      </c>
      <c r="AS232" s="7" t="s">
        <v>377</v>
      </c>
    </row>
    <row r="233" spans="1:45" x14ac:dyDescent="0.3">
      <c r="A233" s="6" t="s">
        <v>1025</v>
      </c>
      <c r="B233" s="6" t="s">
        <v>4683</v>
      </c>
      <c r="C233" s="6" t="s">
        <v>258</v>
      </c>
      <c r="D233" s="6" t="s">
        <v>190</v>
      </c>
      <c r="E233" s="6" t="s">
        <v>4376</v>
      </c>
      <c r="F233" s="6" t="s">
        <v>35</v>
      </c>
      <c r="G233" s="6" t="s">
        <v>54</v>
      </c>
      <c r="H233" s="6" t="s">
        <v>4280</v>
      </c>
      <c r="I233" s="6" t="s">
        <v>246</v>
      </c>
      <c r="J233" s="6" t="s">
        <v>136</v>
      </c>
      <c r="K233" s="6" t="s">
        <v>223</v>
      </c>
      <c r="L233" s="6" t="s">
        <v>1026</v>
      </c>
      <c r="M233" s="6" t="s">
        <v>3691</v>
      </c>
      <c r="N233" s="6" t="s">
        <v>3562</v>
      </c>
      <c r="O233" s="6" t="s">
        <v>4274</v>
      </c>
      <c r="P233" s="6">
        <v>28</v>
      </c>
      <c r="Q233" s="6">
        <v>31712153</v>
      </c>
      <c r="R233" s="6">
        <v>0.25</v>
      </c>
      <c r="S233" s="6">
        <v>0.02</v>
      </c>
      <c r="T233" s="6">
        <v>24259797.050000001</v>
      </c>
      <c r="U233" s="6">
        <v>15363524.35</v>
      </c>
      <c r="V233" s="6">
        <v>0.39</v>
      </c>
      <c r="W233" s="6">
        <v>0.08</v>
      </c>
      <c r="X233" s="6" t="s">
        <v>1027</v>
      </c>
      <c r="Y233" s="6">
        <v>18699342.420000002</v>
      </c>
      <c r="Z233" s="6">
        <v>9340542.9000000004</v>
      </c>
      <c r="AA233" s="6">
        <v>30</v>
      </c>
      <c r="AB233" s="6">
        <v>170</v>
      </c>
      <c r="AC233" s="6" t="s">
        <v>329</v>
      </c>
      <c r="AD233" s="6" t="s">
        <v>336</v>
      </c>
      <c r="AE233" s="6">
        <v>0.94</v>
      </c>
      <c r="AF233" s="6" t="s">
        <v>159</v>
      </c>
      <c r="AG233" s="6">
        <v>0.1</v>
      </c>
      <c r="AH233" s="6">
        <v>0.02</v>
      </c>
      <c r="AI233" s="6">
        <v>1</v>
      </c>
      <c r="AJ233" s="6">
        <v>4062</v>
      </c>
      <c r="AK233" s="6"/>
      <c r="AL233" s="6">
        <v>6479681.7599999998</v>
      </c>
      <c r="AM233" s="6" t="s">
        <v>73</v>
      </c>
      <c r="AN233" s="6" t="s">
        <v>356</v>
      </c>
      <c r="AO233" s="6">
        <v>85.6</v>
      </c>
      <c r="AP233" s="6">
        <v>36</v>
      </c>
      <c r="AQ233" s="6" t="s">
        <v>323</v>
      </c>
      <c r="AR233" s="6" t="s">
        <v>192</v>
      </c>
      <c r="AS233" s="6" t="s">
        <v>377</v>
      </c>
    </row>
    <row r="234" spans="1:45" x14ac:dyDescent="0.3">
      <c r="A234" s="7" t="s">
        <v>1028</v>
      </c>
      <c r="B234" s="7" t="s">
        <v>4684</v>
      </c>
      <c r="C234" s="7" t="s">
        <v>252</v>
      </c>
      <c r="D234" s="7" t="s">
        <v>202</v>
      </c>
      <c r="E234" s="7" t="s">
        <v>4376</v>
      </c>
      <c r="F234" s="7" t="s">
        <v>196</v>
      </c>
      <c r="G234" s="7" t="s">
        <v>80</v>
      </c>
      <c r="H234" s="7" t="s">
        <v>4271</v>
      </c>
      <c r="I234" s="7" t="s">
        <v>198</v>
      </c>
      <c r="J234" s="7" t="s">
        <v>136</v>
      </c>
      <c r="K234" s="7" t="s">
        <v>326</v>
      </c>
      <c r="L234" s="7" t="s">
        <v>1029</v>
      </c>
      <c r="M234" s="7" t="s">
        <v>4567</v>
      </c>
      <c r="N234" s="7"/>
      <c r="O234" s="7" t="s">
        <v>4685</v>
      </c>
      <c r="P234" s="7">
        <v>20</v>
      </c>
      <c r="Q234" s="7">
        <v>16225860</v>
      </c>
      <c r="R234" s="7">
        <v>0.25</v>
      </c>
      <c r="S234" s="7">
        <v>0.02</v>
      </c>
      <c r="T234" s="7">
        <v>12412782.9</v>
      </c>
      <c r="U234" s="7">
        <v>9122927.0500000007</v>
      </c>
      <c r="V234" s="7">
        <v>0.33</v>
      </c>
      <c r="W234" s="7">
        <v>0.19</v>
      </c>
      <c r="X234" s="7"/>
      <c r="Y234" s="7">
        <v>11130925.26</v>
      </c>
      <c r="Z234" s="7">
        <v>6344786.1500000004</v>
      </c>
      <c r="AA234" s="7">
        <v>60</v>
      </c>
      <c r="AB234" s="7">
        <v>169</v>
      </c>
      <c r="AC234" s="7" t="s">
        <v>347</v>
      </c>
      <c r="AD234" s="7" t="s">
        <v>226</v>
      </c>
      <c r="AE234" s="7">
        <v>0.48</v>
      </c>
      <c r="AF234" s="7"/>
      <c r="AG234" s="7">
        <v>0.05</v>
      </c>
      <c r="AH234" s="7">
        <v>0.04</v>
      </c>
      <c r="AI234" s="7">
        <v>1</v>
      </c>
      <c r="AJ234" s="7">
        <v>3068</v>
      </c>
      <c r="AK234" s="7"/>
      <c r="AL234" s="7">
        <v>2417738.66</v>
      </c>
      <c r="AM234" s="7" t="s">
        <v>343</v>
      </c>
      <c r="AN234" s="7"/>
      <c r="AO234" s="7">
        <v>55.7</v>
      </c>
      <c r="AP234" s="7" t="s">
        <v>4275</v>
      </c>
      <c r="AQ234" s="7" t="s">
        <v>323</v>
      </c>
      <c r="AR234" s="7" t="s">
        <v>206</v>
      </c>
      <c r="AS234" s="7" t="s">
        <v>188</v>
      </c>
    </row>
    <row r="235" spans="1:45" x14ac:dyDescent="0.3">
      <c r="A235" s="6" t="s">
        <v>944</v>
      </c>
      <c r="B235" s="6" t="s">
        <v>3598</v>
      </c>
      <c r="C235" s="6" t="s">
        <v>201</v>
      </c>
      <c r="D235" s="6" t="s">
        <v>220</v>
      </c>
      <c r="E235" s="6" t="s">
        <v>4376</v>
      </c>
      <c r="F235" s="6" t="s">
        <v>196</v>
      </c>
      <c r="G235" s="6" t="s">
        <v>80</v>
      </c>
      <c r="H235" s="6" t="s">
        <v>263</v>
      </c>
      <c r="I235" s="6" t="s">
        <v>191</v>
      </c>
      <c r="J235" s="6" t="s">
        <v>136</v>
      </c>
      <c r="K235" s="6" t="s">
        <v>333</v>
      </c>
      <c r="L235" s="6" t="s">
        <v>3692</v>
      </c>
      <c r="M235" s="6" t="s">
        <v>3693</v>
      </c>
      <c r="N235" s="6" t="s">
        <v>4686</v>
      </c>
      <c r="O235" s="6" t="s">
        <v>4687</v>
      </c>
      <c r="P235" s="6" t="s">
        <v>4275</v>
      </c>
      <c r="Q235" s="6">
        <v>10685343</v>
      </c>
      <c r="R235" s="6">
        <v>0.21</v>
      </c>
      <c r="S235" s="6">
        <v>0.19</v>
      </c>
      <c r="T235" s="6">
        <v>10045290.949999999</v>
      </c>
      <c r="U235" s="6">
        <v>6820536.3700000001</v>
      </c>
      <c r="V235" s="6">
        <v>0.25</v>
      </c>
      <c r="W235" s="6">
        <v>0.08</v>
      </c>
      <c r="X235" s="6" t="s">
        <v>3694</v>
      </c>
      <c r="Y235" s="6">
        <v>8777005.5800000001</v>
      </c>
      <c r="Z235" s="6">
        <v>7063754.5700000003</v>
      </c>
      <c r="AA235" s="6">
        <v>60</v>
      </c>
      <c r="AB235" s="6">
        <v>171</v>
      </c>
      <c r="AC235" s="6" t="s">
        <v>342</v>
      </c>
      <c r="AD235" s="6" t="s">
        <v>455</v>
      </c>
      <c r="AE235" s="6">
        <v>0.15</v>
      </c>
      <c r="AF235" s="6" t="s">
        <v>152</v>
      </c>
      <c r="AG235" s="6">
        <v>0.05</v>
      </c>
      <c r="AH235" s="6">
        <v>0.02</v>
      </c>
      <c r="AI235" s="6">
        <v>4</v>
      </c>
      <c r="AJ235" s="6">
        <v>1340</v>
      </c>
      <c r="AK235" s="6">
        <v>2132507.71</v>
      </c>
      <c r="AL235" s="6">
        <v>2661126.1</v>
      </c>
      <c r="AM235" s="6"/>
      <c r="AN235" s="6" t="s">
        <v>321</v>
      </c>
      <c r="AO235" s="6">
        <v>53.8</v>
      </c>
      <c r="AP235" s="6">
        <v>24</v>
      </c>
      <c r="AQ235" s="6"/>
      <c r="AR235" s="6" t="s">
        <v>186</v>
      </c>
      <c r="AS235" s="6" t="s">
        <v>357</v>
      </c>
    </row>
    <row r="236" spans="1:45" x14ac:dyDescent="0.3">
      <c r="A236" s="7" t="s">
        <v>1030</v>
      </c>
      <c r="B236" s="7" t="s">
        <v>3695</v>
      </c>
      <c r="C236" s="7" t="s">
        <v>258</v>
      </c>
      <c r="D236" s="7" t="s">
        <v>215</v>
      </c>
      <c r="E236" s="7" t="s">
        <v>20</v>
      </c>
      <c r="F236" s="7" t="s">
        <v>31</v>
      </c>
      <c r="G236" s="7" t="s">
        <v>80</v>
      </c>
      <c r="H236" s="7" t="s">
        <v>197</v>
      </c>
      <c r="I236" s="7" t="s">
        <v>4272</v>
      </c>
      <c r="J236" s="7" t="s">
        <v>136</v>
      </c>
      <c r="K236" s="7" t="s">
        <v>221</v>
      </c>
      <c r="L236" s="7" t="s">
        <v>1031</v>
      </c>
      <c r="M236" s="7" t="s">
        <v>3459</v>
      </c>
      <c r="N236" s="7"/>
      <c r="O236" s="7" t="s">
        <v>1353</v>
      </c>
      <c r="P236" s="7">
        <v>53</v>
      </c>
      <c r="Q236" s="7">
        <v>11022255</v>
      </c>
      <c r="R236" s="7">
        <v>0.03</v>
      </c>
      <c r="S236" s="7">
        <v>-0.03</v>
      </c>
      <c r="T236" s="7">
        <v>10370839.73</v>
      </c>
      <c r="U236" s="7">
        <v>9247499.6099999994</v>
      </c>
      <c r="V236" s="7">
        <v>0.36</v>
      </c>
      <c r="W236" s="7">
        <v>0.12</v>
      </c>
      <c r="X236" s="7" t="s">
        <v>1032</v>
      </c>
      <c r="Y236" s="7">
        <v>3552943.54</v>
      </c>
      <c r="Z236" s="7">
        <v>3149085.22</v>
      </c>
      <c r="AA236" s="7">
        <v>120</v>
      </c>
      <c r="AB236" s="7">
        <v>111</v>
      </c>
      <c r="AC236" s="7" t="s">
        <v>329</v>
      </c>
      <c r="AD236" s="7" t="s">
        <v>406</v>
      </c>
      <c r="AE236" s="7">
        <v>0.13</v>
      </c>
      <c r="AF236" s="7" t="s">
        <v>4361</v>
      </c>
      <c r="AG236" s="7">
        <v>0.15</v>
      </c>
      <c r="AH236" s="7">
        <v>0.05</v>
      </c>
      <c r="AI236" s="7">
        <v>2</v>
      </c>
      <c r="AJ236" s="7">
        <v>1233</v>
      </c>
      <c r="AK236" s="7">
        <v>240692.03</v>
      </c>
      <c r="AL236" s="7">
        <v>3782336.81</v>
      </c>
      <c r="AM236" s="7"/>
      <c r="AN236" s="7" t="s">
        <v>322</v>
      </c>
      <c r="AO236" s="7">
        <v>69.3</v>
      </c>
      <c r="AP236" s="7">
        <v>60</v>
      </c>
      <c r="AQ236" s="7" t="s">
        <v>387</v>
      </c>
      <c r="AR236" s="7" t="s">
        <v>186</v>
      </c>
      <c r="AS236" s="7" t="s">
        <v>377</v>
      </c>
    </row>
    <row r="237" spans="1:45" x14ac:dyDescent="0.3">
      <c r="A237" s="6" t="s">
        <v>1033</v>
      </c>
      <c r="B237" s="6" t="s">
        <v>4416</v>
      </c>
      <c r="C237" s="6" t="s">
        <v>280</v>
      </c>
      <c r="D237" s="6" t="s">
        <v>215</v>
      </c>
      <c r="E237" s="6" t="s">
        <v>20</v>
      </c>
      <c r="F237" s="6" t="s">
        <v>31</v>
      </c>
      <c r="G237" s="6" t="s">
        <v>28</v>
      </c>
      <c r="H237" s="6" t="s">
        <v>4340</v>
      </c>
      <c r="I237" s="6" t="s">
        <v>4372</v>
      </c>
      <c r="J237" s="6" t="s">
        <v>136</v>
      </c>
      <c r="K237" s="6" t="s">
        <v>326</v>
      </c>
      <c r="L237" s="6" t="s">
        <v>1034</v>
      </c>
      <c r="M237" s="6" t="s">
        <v>4688</v>
      </c>
      <c r="N237" s="6" t="s">
        <v>3698</v>
      </c>
      <c r="O237" s="6" t="s">
        <v>3699</v>
      </c>
      <c r="P237" s="6">
        <v>41</v>
      </c>
      <c r="Q237" s="6">
        <v>1654965</v>
      </c>
      <c r="R237" s="6">
        <v>0.18</v>
      </c>
      <c r="S237" s="6">
        <v>-0.01</v>
      </c>
      <c r="T237" s="6">
        <v>1343500.59</v>
      </c>
      <c r="U237" s="6">
        <v>919719.04</v>
      </c>
      <c r="V237" s="6">
        <v>0.33</v>
      </c>
      <c r="W237" s="6">
        <v>0.18</v>
      </c>
      <c r="X237" s="6" t="s">
        <v>1035</v>
      </c>
      <c r="Y237" s="6">
        <v>1014761.36</v>
      </c>
      <c r="Z237" s="6">
        <v>997562.91</v>
      </c>
      <c r="AA237" s="6">
        <v>60</v>
      </c>
      <c r="AB237" s="6">
        <v>59</v>
      </c>
      <c r="AC237" s="6" t="s">
        <v>353</v>
      </c>
      <c r="AD237" s="6" t="s">
        <v>336</v>
      </c>
      <c r="AE237" s="6">
        <v>0.23</v>
      </c>
      <c r="AF237" s="6" t="s">
        <v>153</v>
      </c>
      <c r="AG237" s="6">
        <v>0.15</v>
      </c>
      <c r="AH237" s="6">
        <v>0.08</v>
      </c>
      <c r="AI237" s="6">
        <v>13</v>
      </c>
      <c r="AJ237" s="6">
        <v>1725</v>
      </c>
      <c r="AK237" s="6">
        <v>239552.62</v>
      </c>
      <c r="AL237" s="6">
        <v>619382.82999999996</v>
      </c>
      <c r="AM237" s="6" t="s">
        <v>355</v>
      </c>
      <c r="AN237" s="6" t="s">
        <v>386</v>
      </c>
      <c r="AO237" s="6">
        <v>73.7</v>
      </c>
      <c r="AP237" s="6">
        <v>48</v>
      </c>
      <c r="AQ237" s="6" t="s">
        <v>337</v>
      </c>
      <c r="AR237" s="6" t="s">
        <v>186</v>
      </c>
      <c r="AS237" s="6" t="s">
        <v>188</v>
      </c>
    </row>
    <row r="238" spans="1:45" x14ac:dyDescent="0.3">
      <c r="A238" s="7" t="s">
        <v>1036</v>
      </c>
      <c r="B238" s="7" t="s">
        <v>4689</v>
      </c>
      <c r="C238" s="7" t="s">
        <v>208</v>
      </c>
      <c r="D238" s="7" t="s">
        <v>180</v>
      </c>
      <c r="E238" s="7" t="s">
        <v>4265</v>
      </c>
      <c r="F238" s="7" t="s">
        <v>350</v>
      </c>
      <c r="G238" s="7" t="s">
        <v>62</v>
      </c>
      <c r="H238" s="7" t="s">
        <v>197</v>
      </c>
      <c r="I238" s="7" t="s">
        <v>203</v>
      </c>
      <c r="J238" s="6" t="s">
        <v>130</v>
      </c>
      <c r="K238" s="7" t="s">
        <v>184</v>
      </c>
      <c r="L238" s="7" t="s">
        <v>1037</v>
      </c>
      <c r="M238" s="7" t="s">
        <v>4690</v>
      </c>
      <c r="N238" s="7"/>
      <c r="O238" s="7" t="s">
        <v>4274</v>
      </c>
      <c r="P238" s="7">
        <v>42</v>
      </c>
      <c r="Q238" s="7">
        <v>42658552</v>
      </c>
      <c r="R238" s="7">
        <v>0.2</v>
      </c>
      <c r="S238" s="7">
        <v>0.18</v>
      </c>
      <c r="T238" s="7">
        <v>40269673.090000004</v>
      </c>
      <c r="U238" s="7">
        <v>25927067.620000001</v>
      </c>
      <c r="V238" s="7">
        <v>0.16</v>
      </c>
      <c r="W238" s="7">
        <v>0.2</v>
      </c>
      <c r="X238" s="7" t="s">
        <v>1038</v>
      </c>
      <c r="Y238" s="7">
        <v>26251362.989999998</v>
      </c>
      <c r="Z238" s="7">
        <v>20673202.809999999</v>
      </c>
      <c r="AA238" s="7">
        <v>45</v>
      </c>
      <c r="AB238" s="7">
        <v>126</v>
      </c>
      <c r="AC238" s="7" t="s">
        <v>342</v>
      </c>
      <c r="AD238" s="7" t="s">
        <v>336</v>
      </c>
      <c r="AE238" s="7">
        <v>0.57999999999999996</v>
      </c>
      <c r="AF238" s="7" t="s">
        <v>4319</v>
      </c>
      <c r="AG238" s="7">
        <v>0.05</v>
      </c>
      <c r="AH238" s="7">
        <v>0.04</v>
      </c>
      <c r="AI238" s="7">
        <v>3</v>
      </c>
      <c r="AJ238" s="7">
        <v>2431</v>
      </c>
      <c r="AK238" s="7">
        <v>7617565.2999999998</v>
      </c>
      <c r="AL238" s="7">
        <v>16894714.460000001</v>
      </c>
      <c r="AM238" s="7" t="s">
        <v>73</v>
      </c>
      <c r="AN238" s="7" t="s">
        <v>348</v>
      </c>
      <c r="AO238" s="7">
        <v>60</v>
      </c>
      <c r="AP238" s="7">
        <v>48</v>
      </c>
      <c r="AQ238" s="7" t="s">
        <v>337</v>
      </c>
      <c r="AR238" s="7" t="s">
        <v>186</v>
      </c>
      <c r="AS238" s="7" t="s">
        <v>361</v>
      </c>
    </row>
    <row r="239" spans="1:45" x14ac:dyDescent="0.3">
      <c r="A239" s="6" t="s">
        <v>1039</v>
      </c>
      <c r="B239" s="6" t="s">
        <v>4691</v>
      </c>
      <c r="C239" s="6" t="s">
        <v>271</v>
      </c>
      <c r="D239" s="6" t="s">
        <v>209</v>
      </c>
      <c r="E239" s="6"/>
      <c r="F239" s="6"/>
      <c r="G239" s="6" t="s">
        <v>80</v>
      </c>
      <c r="H239" s="6" t="s">
        <v>212</v>
      </c>
      <c r="I239" s="6" t="s">
        <v>246</v>
      </c>
      <c r="J239" s="6" t="s">
        <v>130</v>
      </c>
      <c r="K239" s="6" t="s">
        <v>223</v>
      </c>
      <c r="L239" s="6" t="s">
        <v>1040</v>
      </c>
      <c r="M239" s="6" t="s">
        <v>4692</v>
      </c>
      <c r="N239" s="6" t="s">
        <v>4693</v>
      </c>
      <c r="O239" s="6" t="s">
        <v>4392</v>
      </c>
      <c r="P239" s="6">
        <v>23</v>
      </c>
      <c r="Q239" s="6">
        <v>2134160</v>
      </c>
      <c r="R239" s="6">
        <v>0.23</v>
      </c>
      <c r="S239" s="6">
        <v>0.14000000000000001</v>
      </c>
      <c r="T239" s="6">
        <v>1873365.65</v>
      </c>
      <c r="U239" s="6">
        <v>1551445.47</v>
      </c>
      <c r="V239" s="6">
        <v>0.16</v>
      </c>
      <c r="W239" s="6">
        <v>0.16</v>
      </c>
      <c r="X239" s="6" t="s">
        <v>1041</v>
      </c>
      <c r="Y239" s="6">
        <v>219002.48</v>
      </c>
      <c r="Z239" s="6">
        <v>147159.06</v>
      </c>
      <c r="AA239" s="6">
        <v>45</v>
      </c>
      <c r="AB239" s="6">
        <v>115</v>
      </c>
      <c r="AC239" s="6" t="s">
        <v>353</v>
      </c>
      <c r="AD239" s="6" t="s">
        <v>226</v>
      </c>
      <c r="AE239" s="6">
        <v>0.64</v>
      </c>
      <c r="AF239" s="6" t="s">
        <v>155</v>
      </c>
      <c r="AG239" s="6">
        <v>0.15</v>
      </c>
      <c r="AH239" s="6">
        <v>0.02</v>
      </c>
      <c r="AI239" s="6">
        <v>14</v>
      </c>
      <c r="AJ239" s="6">
        <v>566</v>
      </c>
      <c r="AK239" s="6">
        <v>81525.58</v>
      </c>
      <c r="AL239" s="6">
        <v>722260.24</v>
      </c>
      <c r="AM239" s="6" t="s">
        <v>391</v>
      </c>
      <c r="AN239" s="6" t="s">
        <v>321</v>
      </c>
      <c r="AO239" s="6">
        <v>52.8</v>
      </c>
      <c r="AP239" s="6" t="s">
        <v>4275</v>
      </c>
      <c r="AQ239" s="6" t="s">
        <v>323</v>
      </c>
      <c r="AR239" s="6" t="s">
        <v>192</v>
      </c>
      <c r="AS239" s="6" t="s">
        <v>377</v>
      </c>
    </row>
    <row r="240" spans="1:45" x14ac:dyDescent="0.3">
      <c r="A240" s="7" t="s">
        <v>1042</v>
      </c>
      <c r="B240" s="7" t="s">
        <v>4328</v>
      </c>
      <c r="C240" s="7" t="s">
        <v>261</v>
      </c>
      <c r="D240" s="7" t="s">
        <v>274</v>
      </c>
      <c r="E240" s="7"/>
      <c r="F240" s="7" t="s">
        <v>367</v>
      </c>
      <c r="G240" s="7" t="s">
        <v>38</v>
      </c>
      <c r="H240" s="7" t="s">
        <v>216</v>
      </c>
      <c r="I240" s="7" t="s">
        <v>183</v>
      </c>
      <c r="J240" s="7" t="s">
        <v>130</v>
      </c>
      <c r="K240" s="7" t="s">
        <v>223</v>
      </c>
      <c r="L240" s="7" t="s">
        <v>1043</v>
      </c>
      <c r="M240" s="7" t="s">
        <v>3700</v>
      </c>
      <c r="N240" s="7" t="s">
        <v>3701</v>
      </c>
      <c r="O240" s="7" t="s">
        <v>4274</v>
      </c>
      <c r="P240" s="7">
        <v>34</v>
      </c>
      <c r="Q240" s="7">
        <v>27081118</v>
      </c>
      <c r="R240" s="7">
        <v>0.2</v>
      </c>
      <c r="S240" s="7">
        <v>0.08</v>
      </c>
      <c r="T240" s="7">
        <v>23398085.949999999</v>
      </c>
      <c r="U240" s="7"/>
      <c r="V240" s="7">
        <v>0.2</v>
      </c>
      <c r="W240" s="7">
        <v>0.06</v>
      </c>
      <c r="X240" s="7" t="s">
        <v>1044</v>
      </c>
      <c r="Y240" s="7">
        <v>13934634.199999999</v>
      </c>
      <c r="Z240" s="7">
        <v>8594772.7699999996</v>
      </c>
      <c r="AA240" s="7">
        <v>45</v>
      </c>
      <c r="AB240" s="7">
        <v>141</v>
      </c>
      <c r="AC240" s="7" t="s">
        <v>347</v>
      </c>
      <c r="AD240" s="7" t="s">
        <v>406</v>
      </c>
      <c r="AE240" s="7">
        <v>0.82</v>
      </c>
      <c r="AF240" s="7" t="s">
        <v>153</v>
      </c>
      <c r="AG240" s="7">
        <v>0.05</v>
      </c>
      <c r="AH240" s="7">
        <v>0.05</v>
      </c>
      <c r="AI240" s="7">
        <v>3</v>
      </c>
      <c r="AJ240" s="7">
        <v>670</v>
      </c>
      <c r="AK240" s="7">
        <v>2449011.98</v>
      </c>
      <c r="AL240" s="7">
        <v>3876400.01</v>
      </c>
      <c r="AM240" s="7" t="s">
        <v>321</v>
      </c>
      <c r="AN240" s="7" t="s">
        <v>322</v>
      </c>
      <c r="AO240" s="7">
        <v>60.4</v>
      </c>
      <c r="AP240" s="7">
        <v>60</v>
      </c>
      <c r="AQ240" s="7" t="s">
        <v>337</v>
      </c>
      <c r="AR240" s="7" t="s">
        <v>206</v>
      </c>
      <c r="AS240" s="7" t="s">
        <v>361</v>
      </c>
    </row>
    <row r="241" spans="1:45" x14ac:dyDescent="0.3">
      <c r="A241" s="6" t="s">
        <v>1045</v>
      </c>
      <c r="B241" s="6" t="s">
        <v>4320</v>
      </c>
      <c r="C241" s="6" t="s">
        <v>283</v>
      </c>
      <c r="D241" s="6" t="s">
        <v>255</v>
      </c>
      <c r="E241" s="6" t="s">
        <v>52</v>
      </c>
      <c r="F241" s="6" t="s">
        <v>75</v>
      </c>
      <c r="G241" s="6" t="s">
        <v>66</v>
      </c>
      <c r="H241" s="6" t="s">
        <v>4266</v>
      </c>
      <c r="I241" s="6" t="s">
        <v>4289</v>
      </c>
      <c r="J241" s="7" t="s">
        <v>119</v>
      </c>
      <c r="K241" s="6" t="s">
        <v>221</v>
      </c>
      <c r="L241" s="6" t="s">
        <v>1046</v>
      </c>
      <c r="M241" s="6" t="s">
        <v>4694</v>
      </c>
      <c r="N241" s="6" t="s">
        <v>4695</v>
      </c>
      <c r="O241" s="6" t="s">
        <v>4696</v>
      </c>
      <c r="P241" s="6">
        <v>22</v>
      </c>
      <c r="Q241" s="6">
        <v>10928245</v>
      </c>
      <c r="R241" s="6">
        <v>0.28999999999999998</v>
      </c>
      <c r="S241" s="6">
        <v>0.14000000000000001</v>
      </c>
      <c r="T241" s="6">
        <v>8845321.5</v>
      </c>
      <c r="U241" s="6"/>
      <c r="V241" s="6">
        <v>0.35</v>
      </c>
      <c r="W241" s="6">
        <v>0.08</v>
      </c>
      <c r="X241" s="6" t="s">
        <v>1047</v>
      </c>
      <c r="Y241" s="6">
        <v>2369099.89</v>
      </c>
      <c r="Z241" s="6">
        <v>1081773.53</v>
      </c>
      <c r="AA241" s="6">
        <v>60</v>
      </c>
      <c r="AB241" s="6">
        <v>101</v>
      </c>
      <c r="AC241" s="6" t="s">
        <v>376</v>
      </c>
      <c r="AD241" s="6" t="s">
        <v>226</v>
      </c>
      <c r="AE241" s="6">
        <v>0.16</v>
      </c>
      <c r="AF241" s="6" t="s">
        <v>4303</v>
      </c>
      <c r="AG241" s="6">
        <v>0.1</v>
      </c>
      <c r="AH241" s="6">
        <v>0.05</v>
      </c>
      <c r="AI241" s="6">
        <v>14</v>
      </c>
      <c r="AJ241" s="6">
        <v>4037</v>
      </c>
      <c r="AK241" s="6">
        <v>1390929.34</v>
      </c>
      <c r="AL241" s="6">
        <v>3244549.95</v>
      </c>
      <c r="AM241" s="6"/>
      <c r="AN241" s="6" t="s">
        <v>356</v>
      </c>
      <c r="AO241" s="6">
        <v>66.400000000000006</v>
      </c>
      <c r="AP241" s="6">
        <v>12</v>
      </c>
      <c r="AQ241" s="6" t="s">
        <v>323</v>
      </c>
      <c r="AR241" s="6" t="s">
        <v>192</v>
      </c>
      <c r="AS241" s="6" t="s">
        <v>324</v>
      </c>
    </row>
    <row r="242" spans="1:45" x14ac:dyDescent="0.3">
      <c r="A242" s="7" t="s">
        <v>1048</v>
      </c>
      <c r="B242" s="7" t="s">
        <v>3615</v>
      </c>
      <c r="C242" s="7" t="s">
        <v>217</v>
      </c>
      <c r="D242" s="7" t="s">
        <v>220</v>
      </c>
      <c r="E242" s="7" t="s">
        <v>4325</v>
      </c>
      <c r="F242" s="7" t="s">
        <v>339</v>
      </c>
      <c r="G242" s="7" t="s">
        <v>66</v>
      </c>
      <c r="H242" s="7" t="s">
        <v>182</v>
      </c>
      <c r="I242" s="7" t="s">
        <v>240</v>
      </c>
      <c r="J242" s="7" t="s">
        <v>115</v>
      </c>
      <c r="K242" s="7" t="s">
        <v>333</v>
      </c>
      <c r="L242" s="7" t="s">
        <v>1049</v>
      </c>
      <c r="M242" s="7" t="s">
        <v>4697</v>
      </c>
      <c r="N242" s="7"/>
      <c r="O242" s="7" t="s">
        <v>4698</v>
      </c>
      <c r="P242" s="7">
        <v>47</v>
      </c>
      <c r="Q242" s="7">
        <v>200636</v>
      </c>
      <c r="R242" s="7">
        <v>0.11</v>
      </c>
      <c r="S242" s="7">
        <v>0.05</v>
      </c>
      <c r="T242" s="7">
        <v>187494.34</v>
      </c>
      <c r="U242" s="7">
        <v>116056.21</v>
      </c>
      <c r="V242" s="7">
        <v>0.13</v>
      </c>
      <c r="W242" s="7">
        <v>0.11</v>
      </c>
      <c r="X242" s="7" t="s">
        <v>1050</v>
      </c>
      <c r="Y242" s="7">
        <v>99914.66</v>
      </c>
      <c r="Z242" s="7">
        <v>42722.49</v>
      </c>
      <c r="AA242" s="7">
        <v>30</v>
      </c>
      <c r="AB242" s="7">
        <v>95</v>
      </c>
      <c r="AC242" s="7" t="s">
        <v>353</v>
      </c>
      <c r="AD242" s="7" t="s">
        <v>455</v>
      </c>
      <c r="AE242" s="7">
        <v>0.25</v>
      </c>
      <c r="AF242" s="7" t="s">
        <v>153</v>
      </c>
      <c r="AG242" s="7">
        <v>0.05</v>
      </c>
      <c r="AH242" s="7">
        <v>0.1</v>
      </c>
      <c r="AI242" s="7">
        <v>11</v>
      </c>
      <c r="AJ242" s="7">
        <v>1443</v>
      </c>
      <c r="AK242" s="7">
        <v>28621.94</v>
      </c>
      <c r="AL242" s="7"/>
      <c r="AM242" s="7"/>
      <c r="AN242" s="7" t="s">
        <v>330</v>
      </c>
      <c r="AO242" s="7"/>
      <c r="AP242" s="7" t="s">
        <v>4275</v>
      </c>
      <c r="AQ242" s="7" t="s">
        <v>392</v>
      </c>
      <c r="AR242" s="7" t="s">
        <v>186</v>
      </c>
      <c r="AS242" s="7"/>
    </row>
    <row r="243" spans="1:45" x14ac:dyDescent="0.3">
      <c r="A243" s="6" t="s">
        <v>1051</v>
      </c>
      <c r="B243" s="6" t="s">
        <v>4699</v>
      </c>
      <c r="C243" s="6" t="s">
        <v>251</v>
      </c>
      <c r="D243" s="6" t="s">
        <v>209</v>
      </c>
      <c r="E243" s="6" t="s">
        <v>36</v>
      </c>
      <c r="F243" s="6" t="s">
        <v>19</v>
      </c>
      <c r="G243" s="6" t="s">
        <v>16</v>
      </c>
      <c r="H243" s="6" t="s">
        <v>212</v>
      </c>
      <c r="I243" s="6" t="s">
        <v>213</v>
      </c>
      <c r="J243" s="6" t="s">
        <v>115</v>
      </c>
      <c r="K243" s="6" t="s">
        <v>223</v>
      </c>
      <c r="L243" s="6" t="s">
        <v>1052</v>
      </c>
      <c r="M243" s="6" t="s">
        <v>3500</v>
      </c>
      <c r="N243" s="6" t="s">
        <v>1053</v>
      </c>
      <c r="O243" s="6" t="s">
        <v>3704</v>
      </c>
      <c r="P243" s="6">
        <v>51</v>
      </c>
      <c r="Q243" s="6">
        <v>15958402</v>
      </c>
      <c r="R243" s="6">
        <v>0.24</v>
      </c>
      <c r="S243" s="6">
        <v>0.15</v>
      </c>
      <c r="T243" s="6">
        <v>13947643.35</v>
      </c>
      <c r="U243" s="6">
        <v>11195957.550000001</v>
      </c>
      <c r="V243" s="6">
        <v>0.39</v>
      </c>
      <c r="W243" s="6">
        <v>0.06</v>
      </c>
      <c r="X243" s="6" t="s">
        <v>1054</v>
      </c>
      <c r="Y243" s="6">
        <v>12503529.970000001</v>
      </c>
      <c r="Z243" s="6">
        <v>4192414.64</v>
      </c>
      <c r="AA243" s="6">
        <v>120</v>
      </c>
      <c r="AB243" s="6">
        <v>112</v>
      </c>
      <c r="AC243" s="6" t="s">
        <v>376</v>
      </c>
      <c r="AD243" s="6" t="s">
        <v>336</v>
      </c>
      <c r="AE243" s="6">
        <v>0.57999999999999996</v>
      </c>
      <c r="AF243" s="6" t="s">
        <v>152</v>
      </c>
      <c r="AG243" s="6">
        <v>0.15</v>
      </c>
      <c r="AH243" s="6">
        <v>0.05</v>
      </c>
      <c r="AI243" s="6">
        <v>7</v>
      </c>
      <c r="AJ243" s="6">
        <v>4427</v>
      </c>
      <c r="AK243" s="6">
        <v>805943.86</v>
      </c>
      <c r="AL243" s="6"/>
      <c r="AM243" s="6" t="s">
        <v>391</v>
      </c>
      <c r="AN243" s="6" t="s">
        <v>386</v>
      </c>
      <c r="AO243" s="6">
        <v>66.599999999999994</v>
      </c>
      <c r="AP243" s="6">
        <v>24</v>
      </c>
      <c r="AQ243" s="6"/>
      <c r="AR243" s="6" t="s">
        <v>224</v>
      </c>
      <c r="AS243" s="6" t="s">
        <v>357</v>
      </c>
    </row>
    <row r="244" spans="1:45" x14ac:dyDescent="0.3">
      <c r="A244" s="7" t="s">
        <v>1055</v>
      </c>
      <c r="B244" s="7" t="s">
        <v>3705</v>
      </c>
      <c r="C244" s="7" t="s">
        <v>269</v>
      </c>
      <c r="D244" s="7" t="s">
        <v>190</v>
      </c>
      <c r="E244" s="7" t="s">
        <v>4265</v>
      </c>
      <c r="F244" s="7" t="s">
        <v>363</v>
      </c>
      <c r="G244" s="7" t="s">
        <v>70</v>
      </c>
      <c r="H244" s="7" t="s">
        <v>4275</v>
      </c>
      <c r="I244" s="7" t="s">
        <v>213</v>
      </c>
      <c r="J244" s="6" t="s">
        <v>105</v>
      </c>
      <c r="K244" s="7" t="s">
        <v>326</v>
      </c>
      <c r="L244" s="7" t="s">
        <v>1056</v>
      </c>
      <c r="M244" s="7" t="s">
        <v>4700</v>
      </c>
      <c r="N244" s="7" t="s">
        <v>3706</v>
      </c>
      <c r="O244" s="7" t="s">
        <v>4701</v>
      </c>
      <c r="P244" s="7">
        <v>35</v>
      </c>
      <c r="Q244" s="7">
        <v>46720858</v>
      </c>
      <c r="R244" s="7">
        <v>0.14000000000000001</v>
      </c>
      <c r="S244" s="7">
        <v>0.16</v>
      </c>
      <c r="T244" s="7">
        <v>46608727.939999998</v>
      </c>
      <c r="U244" s="7">
        <v>34889470.149999999</v>
      </c>
      <c r="V244" s="7">
        <v>0.28999999999999998</v>
      </c>
      <c r="W244" s="7">
        <v>0.1</v>
      </c>
      <c r="X244" s="7" t="s">
        <v>1057</v>
      </c>
      <c r="Y244" s="7">
        <v>37222408.899999999</v>
      </c>
      <c r="Z244" s="7">
        <v>40661876.609999999</v>
      </c>
      <c r="AA244" s="7">
        <v>120</v>
      </c>
      <c r="AB244" s="7">
        <v>11</v>
      </c>
      <c r="AC244" s="7"/>
      <c r="AD244" s="7" t="s">
        <v>406</v>
      </c>
      <c r="AE244" s="7">
        <v>0.54</v>
      </c>
      <c r="AF244" s="7" t="s">
        <v>4294</v>
      </c>
      <c r="AG244" s="7">
        <v>0.15</v>
      </c>
      <c r="AH244" s="7">
        <v>0.01</v>
      </c>
      <c r="AI244" s="7">
        <v>5</v>
      </c>
      <c r="AJ244" s="7">
        <v>1574</v>
      </c>
      <c r="AK244" s="7"/>
      <c r="AL244" s="7"/>
      <c r="AM244" s="7" t="s">
        <v>321</v>
      </c>
      <c r="AN244" s="7"/>
      <c r="AO244" s="7">
        <v>91.3</v>
      </c>
      <c r="AP244" s="7">
        <v>24</v>
      </c>
      <c r="AQ244" s="7" t="s">
        <v>387</v>
      </c>
      <c r="AR244" s="7" t="s">
        <v>229</v>
      </c>
      <c r="AS244" s="7"/>
    </row>
    <row r="245" spans="1:45" x14ac:dyDescent="0.3">
      <c r="A245" s="6" t="s">
        <v>1058</v>
      </c>
      <c r="B245" s="6" t="s">
        <v>4702</v>
      </c>
      <c r="C245" s="6" t="s">
        <v>284</v>
      </c>
      <c r="D245" s="6" t="s">
        <v>245</v>
      </c>
      <c r="E245" s="6" t="s">
        <v>36</v>
      </c>
      <c r="F245" s="6" t="s">
        <v>339</v>
      </c>
      <c r="G245" s="6" t="s">
        <v>16</v>
      </c>
      <c r="H245" s="6" t="s">
        <v>4340</v>
      </c>
      <c r="I245" s="6" t="s">
        <v>213</v>
      </c>
      <c r="J245" s="6" t="s">
        <v>115</v>
      </c>
      <c r="K245" s="6" t="s">
        <v>333</v>
      </c>
      <c r="L245" s="6" t="s">
        <v>1059</v>
      </c>
      <c r="M245" s="6" t="s">
        <v>3707</v>
      </c>
      <c r="N245" s="6"/>
      <c r="O245" s="6" t="s">
        <v>4703</v>
      </c>
      <c r="P245" s="6">
        <v>8</v>
      </c>
      <c r="Q245" s="6">
        <v>47029807</v>
      </c>
      <c r="R245" s="6">
        <v>0.21</v>
      </c>
      <c r="S245" s="6">
        <v>0.04</v>
      </c>
      <c r="T245" s="6">
        <v>38639689.43</v>
      </c>
      <c r="U245" s="6">
        <v>31579584.109999999</v>
      </c>
      <c r="V245" s="6">
        <v>0.37</v>
      </c>
      <c r="W245" s="6">
        <v>0.12</v>
      </c>
      <c r="X245" s="6" t="s">
        <v>1060</v>
      </c>
      <c r="Y245" s="6">
        <v>14245624.52</v>
      </c>
      <c r="Z245" s="6">
        <v>7735791.3300000001</v>
      </c>
      <c r="AA245" s="6">
        <v>120</v>
      </c>
      <c r="AB245" s="6">
        <v>151</v>
      </c>
      <c r="AC245" s="6" t="s">
        <v>376</v>
      </c>
      <c r="AD245" s="6" t="s">
        <v>381</v>
      </c>
      <c r="AE245" s="6">
        <v>0.91</v>
      </c>
      <c r="AF245" s="6" t="s">
        <v>4276</v>
      </c>
      <c r="AG245" s="6">
        <v>0.15</v>
      </c>
      <c r="AH245" s="6">
        <v>7.0000000000000007E-2</v>
      </c>
      <c r="AI245" s="6">
        <v>1</v>
      </c>
      <c r="AJ245" s="6">
        <v>3706</v>
      </c>
      <c r="AK245" s="6">
        <v>4421911.8099999996</v>
      </c>
      <c r="AL245" s="6"/>
      <c r="AM245" s="6" t="s">
        <v>355</v>
      </c>
      <c r="AN245" s="6" t="s">
        <v>356</v>
      </c>
      <c r="AO245" s="6">
        <v>80.2</v>
      </c>
      <c r="AP245" s="6">
        <v>12</v>
      </c>
      <c r="AQ245" s="6" t="s">
        <v>392</v>
      </c>
      <c r="AR245" s="6" t="s">
        <v>206</v>
      </c>
      <c r="AS245" s="6" t="s">
        <v>377</v>
      </c>
    </row>
    <row r="246" spans="1:45" x14ac:dyDescent="0.3">
      <c r="A246" s="7" t="s">
        <v>1061</v>
      </c>
      <c r="B246" s="7" t="s">
        <v>3708</v>
      </c>
      <c r="C246" s="7" t="s">
        <v>252</v>
      </c>
      <c r="D246" s="7" t="s">
        <v>265</v>
      </c>
      <c r="E246" s="7" t="s">
        <v>4265</v>
      </c>
      <c r="F246" s="7" t="s">
        <v>363</v>
      </c>
      <c r="G246" s="7" t="s">
        <v>50</v>
      </c>
      <c r="H246" s="7" t="s">
        <v>263</v>
      </c>
      <c r="I246" s="7" t="s">
        <v>4372</v>
      </c>
      <c r="J246" s="6" t="s">
        <v>130</v>
      </c>
      <c r="K246" s="7" t="s">
        <v>204</v>
      </c>
      <c r="L246" s="7" t="s">
        <v>1062</v>
      </c>
      <c r="M246" s="7" t="s">
        <v>4322</v>
      </c>
      <c r="N246" s="7" t="s">
        <v>1063</v>
      </c>
      <c r="O246" s="7" t="s">
        <v>3650</v>
      </c>
      <c r="P246" s="7">
        <v>11</v>
      </c>
      <c r="Q246" s="7">
        <v>36147730</v>
      </c>
      <c r="R246" s="7">
        <v>0.23</v>
      </c>
      <c r="S246" s="7">
        <v>-0.04</v>
      </c>
      <c r="T246" s="7">
        <v>26720402.02</v>
      </c>
      <c r="U246" s="7">
        <v>23878395.5</v>
      </c>
      <c r="V246" s="7">
        <v>0.06</v>
      </c>
      <c r="W246" s="7">
        <v>0.12</v>
      </c>
      <c r="X246" s="7" t="s">
        <v>1064</v>
      </c>
      <c r="Y246" s="7">
        <v>14637754.27</v>
      </c>
      <c r="Z246" s="7">
        <v>12567584.24</v>
      </c>
      <c r="AA246" s="7">
        <v>90</v>
      </c>
      <c r="AB246" s="7">
        <v>45</v>
      </c>
      <c r="AC246" s="7" t="s">
        <v>353</v>
      </c>
      <c r="AD246" s="7" t="s">
        <v>320</v>
      </c>
      <c r="AE246" s="7">
        <v>0.9</v>
      </c>
      <c r="AF246" s="7" t="s">
        <v>159</v>
      </c>
      <c r="AG246" s="7">
        <v>0.1</v>
      </c>
      <c r="AH246" s="7">
        <v>0.09</v>
      </c>
      <c r="AI246" s="7">
        <v>1</v>
      </c>
      <c r="AJ246" s="7">
        <v>3439</v>
      </c>
      <c r="AK246" s="7">
        <v>2248455.23</v>
      </c>
      <c r="AL246" s="7">
        <v>7185172.04</v>
      </c>
      <c r="AM246" s="7" t="s">
        <v>385</v>
      </c>
      <c r="AN246" s="7"/>
      <c r="AO246" s="7">
        <v>51</v>
      </c>
      <c r="AP246" s="7" t="s">
        <v>4275</v>
      </c>
      <c r="AQ246" s="7" t="s">
        <v>337</v>
      </c>
      <c r="AR246" s="7" t="s">
        <v>224</v>
      </c>
      <c r="AS246" s="7" t="s">
        <v>377</v>
      </c>
    </row>
    <row r="247" spans="1:45" x14ac:dyDescent="0.3">
      <c r="A247" s="6" t="s">
        <v>1065</v>
      </c>
      <c r="B247" s="6" t="s">
        <v>3709</v>
      </c>
      <c r="C247" s="6" t="s">
        <v>179</v>
      </c>
      <c r="D247" s="6" t="s">
        <v>245</v>
      </c>
      <c r="E247" s="6" t="s">
        <v>4376</v>
      </c>
      <c r="F247" s="6" t="s">
        <v>196</v>
      </c>
      <c r="G247" s="6" t="s">
        <v>57</v>
      </c>
      <c r="H247" s="6" t="s">
        <v>182</v>
      </c>
      <c r="I247" s="6" t="s">
        <v>183</v>
      </c>
      <c r="J247" s="6" t="s">
        <v>136</v>
      </c>
      <c r="K247" s="6" t="s">
        <v>184</v>
      </c>
      <c r="L247" s="6" t="s">
        <v>1066</v>
      </c>
      <c r="M247" s="6" t="s">
        <v>3710</v>
      </c>
      <c r="N247" s="6" t="s">
        <v>1067</v>
      </c>
      <c r="O247" s="6" t="s">
        <v>3929</v>
      </c>
      <c r="P247" s="6">
        <v>16</v>
      </c>
      <c r="Q247" s="6">
        <v>8320902</v>
      </c>
      <c r="R247" s="6">
        <v>0.02</v>
      </c>
      <c r="S247" s="6">
        <v>-0.03</v>
      </c>
      <c r="T247" s="6">
        <v>7909849.4400000004</v>
      </c>
      <c r="U247" s="6">
        <v>5666278.0800000001</v>
      </c>
      <c r="V247" s="6">
        <v>0.24</v>
      </c>
      <c r="W247" s="6">
        <v>0.17</v>
      </c>
      <c r="X247" s="6" t="s">
        <v>1068</v>
      </c>
      <c r="Y247" s="6">
        <v>1651355.95</v>
      </c>
      <c r="Z247" s="6" t="s">
        <v>4357</v>
      </c>
      <c r="AA247" s="6">
        <v>120</v>
      </c>
      <c r="AB247" s="6">
        <v>96</v>
      </c>
      <c r="AC247" s="6" t="s">
        <v>353</v>
      </c>
      <c r="AD247" s="6" t="s">
        <v>226</v>
      </c>
      <c r="AE247" s="6">
        <v>0.56999999999999995</v>
      </c>
      <c r="AF247" s="6" t="s">
        <v>162</v>
      </c>
      <c r="AG247" s="6">
        <v>0.1</v>
      </c>
      <c r="AH247" s="6">
        <v>0.02</v>
      </c>
      <c r="AI247" s="6">
        <v>5</v>
      </c>
      <c r="AJ247" s="6">
        <v>604</v>
      </c>
      <c r="AK247" s="6">
        <v>607678.92000000004</v>
      </c>
      <c r="AL247" s="6">
        <v>3447969.65</v>
      </c>
      <c r="AM247" s="6" t="s">
        <v>391</v>
      </c>
      <c r="AN247" s="6" t="s">
        <v>322</v>
      </c>
      <c r="AO247" s="6">
        <v>92.9</v>
      </c>
      <c r="AP247" s="6">
        <v>24</v>
      </c>
      <c r="AQ247" s="6" t="s">
        <v>323</v>
      </c>
      <c r="AR247" s="6" t="s">
        <v>229</v>
      </c>
      <c r="AS247" s="6"/>
    </row>
    <row r="248" spans="1:45" x14ac:dyDescent="0.3">
      <c r="A248" s="7" t="s">
        <v>1069</v>
      </c>
      <c r="B248" s="7" t="s">
        <v>3711</v>
      </c>
      <c r="C248" s="7" t="s">
        <v>211</v>
      </c>
      <c r="D248" s="7" t="s">
        <v>262</v>
      </c>
      <c r="E248" s="7" t="s">
        <v>20</v>
      </c>
      <c r="F248" s="7" t="s">
        <v>35</v>
      </c>
      <c r="G248" s="7" t="s">
        <v>38</v>
      </c>
      <c r="H248" s="7" t="s">
        <v>4340</v>
      </c>
      <c r="I248" s="7" t="s">
        <v>4289</v>
      </c>
      <c r="J248" s="7" t="s">
        <v>136</v>
      </c>
      <c r="K248" s="7" t="s">
        <v>199</v>
      </c>
      <c r="L248" s="7" t="s">
        <v>1070</v>
      </c>
      <c r="M248" s="7" t="s">
        <v>4704</v>
      </c>
      <c r="N248" s="7" t="s">
        <v>4705</v>
      </c>
      <c r="O248" s="7" t="s">
        <v>4706</v>
      </c>
      <c r="P248" s="7">
        <v>58</v>
      </c>
      <c r="Q248" s="7">
        <v>13125549</v>
      </c>
      <c r="R248" s="7">
        <v>0.24</v>
      </c>
      <c r="S248" s="7">
        <v>0.18</v>
      </c>
      <c r="T248" s="7">
        <v>11770992.34</v>
      </c>
      <c r="U248" s="7">
        <v>9144511.1699999999</v>
      </c>
      <c r="V248" s="7">
        <v>0.28999999999999998</v>
      </c>
      <c r="W248" s="7">
        <v>0.14000000000000001</v>
      </c>
      <c r="X248" s="7" t="s">
        <v>1071</v>
      </c>
      <c r="Y248" s="7">
        <v>4498400</v>
      </c>
      <c r="Z248" s="7">
        <v>3531915.2</v>
      </c>
      <c r="AA248" s="7">
        <v>45</v>
      </c>
      <c r="AB248" s="7">
        <v>33</v>
      </c>
      <c r="AC248" s="7" t="s">
        <v>353</v>
      </c>
      <c r="AD248" s="7" t="s">
        <v>336</v>
      </c>
      <c r="AE248" s="7">
        <v>0.5</v>
      </c>
      <c r="AF248" s="7" t="s">
        <v>152</v>
      </c>
      <c r="AG248" s="7">
        <v>0.15</v>
      </c>
      <c r="AH248" s="7">
        <v>0.09</v>
      </c>
      <c r="AI248" s="7">
        <v>5</v>
      </c>
      <c r="AJ248" s="7">
        <v>525</v>
      </c>
      <c r="AK248" s="7">
        <v>961556.75</v>
      </c>
      <c r="AL248" s="7">
        <v>2537576.2200000002</v>
      </c>
      <c r="AM248" s="7" t="s">
        <v>355</v>
      </c>
      <c r="AN248" s="7"/>
      <c r="AO248" s="7">
        <v>73.5</v>
      </c>
      <c r="AP248" s="7">
        <v>36</v>
      </c>
      <c r="AQ248" s="7" t="s">
        <v>392</v>
      </c>
      <c r="AR248" s="7" t="s">
        <v>186</v>
      </c>
      <c r="AS248" s="7" t="s">
        <v>361</v>
      </c>
    </row>
    <row r="249" spans="1:45" x14ac:dyDescent="0.3">
      <c r="A249" s="6" t="s">
        <v>1072</v>
      </c>
      <c r="B249" s="6" t="s">
        <v>3712</v>
      </c>
      <c r="C249" s="6" t="s">
        <v>275</v>
      </c>
      <c r="D249" s="6" t="s">
        <v>232</v>
      </c>
      <c r="E249" s="6" t="s">
        <v>4325</v>
      </c>
      <c r="F249" s="6" t="s">
        <v>339</v>
      </c>
      <c r="G249" s="6" t="s">
        <v>46</v>
      </c>
      <c r="H249" s="6" t="s">
        <v>216</v>
      </c>
      <c r="I249" s="6" t="s">
        <v>4289</v>
      </c>
      <c r="J249" s="6" t="s">
        <v>115</v>
      </c>
      <c r="K249" s="6" t="s">
        <v>333</v>
      </c>
      <c r="L249" s="6" t="s">
        <v>1073</v>
      </c>
      <c r="M249" s="6" t="s">
        <v>4707</v>
      </c>
      <c r="N249" s="6" t="s">
        <v>4708</v>
      </c>
      <c r="O249" s="6" t="s">
        <v>4709</v>
      </c>
      <c r="P249" s="6">
        <v>41</v>
      </c>
      <c r="Q249" s="6">
        <v>45572310</v>
      </c>
      <c r="R249" s="6">
        <v>0.15</v>
      </c>
      <c r="S249" s="6">
        <v>0.02</v>
      </c>
      <c r="T249" s="6">
        <v>39511192.770000003</v>
      </c>
      <c r="U249" s="6">
        <v>25181620.420000002</v>
      </c>
      <c r="V249" s="6">
        <v>0.24</v>
      </c>
      <c r="W249" s="6">
        <v>0.11</v>
      </c>
      <c r="X249" s="6" t="s">
        <v>1074</v>
      </c>
      <c r="Y249" s="6">
        <v>16210292.439999999</v>
      </c>
      <c r="Z249" s="6">
        <v>13410595.050000001</v>
      </c>
      <c r="AA249" s="6">
        <v>120</v>
      </c>
      <c r="AB249" s="6">
        <v>36</v>
      </c>
      <c r="AC249" s="6" t="s">
        <v>376</v>
      </c>
      <c r="AD249" s="6" t="s">
        <v>336</v>
      </c>
      <c r="AE249" s="6">
        <v>0.8</v>
      </c>
      <c r="AF249" s="6" t="s">
        <v>4294</v>
      </c>
      <c r="AG249" s="6">
        <v>0.15</v>
      </c>
      <c r="AH249" s="6">
        <v>0.04</v>
      </c>
      <c r="AI249" s="6">
        <v>11</v>
      </c>
      <c r="AJ249" s="6">
        <v>2279</v>
      </c>
      <c r="AK249" s="6">
        <v>4611487.0199999996</v>
      </c>
      <c r="AL249" s="6">
        <v>19464440.59</v>
      </c>
      <c r="AM249" s="6" t="s">
        <v>73</v>
      </c>
      <c r="AN249" s="6" t="s">
        <v>321</v>
      </c>
      <c r="AO249" s="6">
        <v>96.7</v>
      </c>
      <c r="AP249" s="6">
        <v>48</v>
      </c>
      <c r="AQ249" s="6" t="s">
        <v>387</v>
      </c>
      <c r="AR249" s="6" t="s">
        <v>224</v>
      </c>
      <c r="AS249" s="6" t="s">
        <v>361</v>
      </c>
    </row>
    <row r="250" spans="1:45" x14ac:dyDescent="0.3">
      <c r="A250" s="7" t="s">
        <v>1075</v>
      </c>
      <c r="B250" s="7" t="s">
        <v>4558</v>
      </c>
      <c r="C250" s="7" t="s">
        <v>241</v>
      </c>
      <c r="D250" s="7" t="s">
        <v>180</v>
      </c>
      <c r="E250" s="7" t="s">
        <v>4270</v>
      </c>
      <c r="F250" s="7" t="s">
        <v>181</v>
      </c>
      <c r="G250" s="7"/>
      <c r="H250" s="7" t="s">
        <v>4326</v>
      </c>
      <c r="I250" s="7" t="s">
        <v>4307</v>
      </c>
      <c r="J250" s="7" t="s">
        <v>127</v>
      </c>
      <c r="K250" s="7" t="s">
        <v>223</v>
      </c>
      <c r="L250" s="7" t="s">
        <v>1076</v>
      </c>
      <c r="M250" s="7" t="s">
        <v>3710</v>
      </c>
      <c r="N250" s="7"/>
      <c r="O250" s="7" t="s">
        <v>3576</v>
      </c>
      <c r="P250" s="7">
        <v>55</v>
      </c>
      <c r="Q250" s="7">
        <v>24448776</v>
      </c>
      <c r="R250" s="7">
        <v>0.27</v>
      </c>
      <c r="S250" s="7">
        <v>0.2</v>
      </c>
      <c r="T250" s="7">
        <v>21417127.780000001</v>
      </c>
      <c r="U250" s="7">
        <v>16330846.550000001</v>
      </c>
      <c r="V250" s="7" t="s">
        <v>4374</v>
      </c>
      <c r="W250" s="7">
        <v>7.0000000000000007E-2</v>
      </c>
      <c r="X250" s="7" t="s">
        <v>1077</v>
      </c>
      <c r="Y250" s="7">
        <v>1817873.45</v>
      </c>
      <c r="Z250" s="7">
        <v>647570.12</v>
      </c>
      <c r="AA250" s="7">
        <v>30</v>
      </c>
      <c r="AB250" s="7">
        <v>141</v>
      </c>
      <c r="AC250" s="7" t="s">
        <v>347</v>
      </c>
      <c r="AD250" s="7" t="s">
        <v>226</v>
      </c>
      <c r="AE250" s="7">
        <v>0.55000000000000004</v>
      </c>
      <c r="AF250" s="7" t="s">
        <v>153</v>
      </c>
      <c r="AG250" s="7">
        <v>0.05</v>
      </c>
      <c r="AH250" s="7">
        <v>0.08</v>
      </c>
      <c r="AI250" s="7">
        <v>13</v>
      </c>
      <c r="AJ250" s="7">
        <v>3339</v>
      </c>
      <c r="AK250" s="7">
        <v>2691844.28</v>
      </c>
      <c r="AL250" s="7">
        <v>3628430.76</v>
      </c>
      <c r="AM250" s="7" t="s">
        <v>321</v>
      </c>
      <c r="AN250" s="7" t="s">
        <v>348</v>
      </c>
      <c r="AO250" s="7">
        <v>98.9</v>
      </c>
      <c r="AP250" s="7">
        <v>12</v>
      </c>
      <c r="AQ250" s="7" t="s">
        <v>387</v>
      </c>
      <c r="AR250" s="7" t="s">
        <v>229</v>
      </c>
      <c r="AS250" s="7" t="s">
        <v>324</v>
      </c>
    </row>
    <row r="251" spans="1:45" x14ac:dyDescent="0.3">
      <c r="A251" s="6" t="s">
        <v>1078</v>
      </c>
      <c r="B251" s="6" t="s">
        <v>4710</v>
      </c>
      <c r="C251" s="6" t="s">
        <v>252</v>
      </c>
      <c r="D251" s="6" t="s">
        <v>250</v>
      </c>
      <c r="E251" s="6" t="s">
        <v>4325</v>
      </c>
      <c r="F251" s="6" t="s">
        <v>339</v>
      </c>
      <c r="G251" s="6" t="s">
        <v>54</v>
      </c>
      <c r="H251" s="6" t="s">
        <v>4280</v>
      </c>
      <c r="I251" s="6" t="s">
        <v>4289</v>
      </c>
      <c r="J251" s="6" t="s">
        <v>115</v>
      </c>
      <c r="K251" s="6" t="s">
        <v>326</v>
      </c>
      <c r="L251" s="6" t="s">
        <v>1079</v>
      </c>
      <c r="M251" s="6" t="s">
        <v>3713</v>
      </c>
      <c r="N251" s="6"/>
      <c r="O251" s="6" t="s">
        <v>4711</v>
      </c>
      <c r="P251" s="6">
        <v>21</v>
      </c>
      <c r="Q251" s="6">
        <v>14520213</v>
      </c>
      <c r="R251" s="6">
        <v>0.09</v>
      </c>
      <c r="S251" s="6">
        <v>0.16</v>
      </c>
      <c r="T251" s="6">
        <v>15327536.84</v>
      </c>
      <c r="U251" s="6">
        <v>10941304.949999999</v>
      </c>
      <c r="V251" s="6">
        <v>0.39</v>
      </c>
      <c r="W251" s="6">
        <v>0.15</v>
      </c>
      <c r="X251" s="6" t="s">
        <v>1080</v>
      </c>
      <c r="Y251" s="6">
        <v>6088931.79</v>
      </c>
      <c r="Z251" s="6">
        <v>3990116.31</v>
      </c>
      <c r="AA251" s="6">
        <v>45</v>
      </c>
      <c r="AB251" s="6">
        <v>99</v>
      </c>
      <c r="AC251" s="6" t="s">
        <v>353</v>
      </c>
      <c r="AD251" s="6" t="s">
        <v>336</v>
      </c>
      <c r="AE251" s="6">
        <v>0.85</v>
      </c>
      <c r="AF251" s="6" t="s">
        <v>4319</v>
      </c>
      <c r="AG251" s="6">
        <v>0.1</v>
      </c>
      <c r="AH251" s="6">
        <v>0.01</v>
      </c>
      <c r="AI251" s="6">
        <v>8</v>
      </c>
      <c r="AJ251" s="6">
        <v>2955</v>
      </c>
      <c r="AK251" s="6">
        <v>2037339.55</v>
      </c>
      <c r="AL251" s="6">
        <v>7106998.9299999997</v>
      </c>
      <c r="AM251" s="6" t="s">
        <v>391</v>
      </c>
      <c r="AN251" s="6" t="s">
        <v>348</v>
      </c>
      <c r="AO251" s="6">
        <v>84.9</v>
      </c>
      <c r="AP251" s="6" t="s">
        <v>4275</v>
      </c>
      <c r="AQ251" s="6" t="s">
        <v>337</v>
      </c>
      <c r="AR251" s="6" t="s">
        <v>224</v>
      </c>
      <c r="AS251" s="6" t="s">
        <v>361</v>
      </c>
    </row>
    <row r="252" spans="1:45" x14ac:dyDescent="0.3">
      <c r="A252" s="7" t="s">
        <v>1081</v>
      </c>
      <c r="B252" s="7" t="s">
        <v>4712</v>
      </c>
      <c r="C252" s="7" t="s">
        <v>239</v>
      </c>
      <c r="D252" s="7" t="s">
        <v>248</v>
      </c>
      <c r="E252" s="7" t="s">
        <v>4376</v>
      </c>
      <c r="F252" s="7" t="s">
        <v>196</v>
      </c>
      <c r="G252" s="7" t="s">
        <v>57</v>
      </c>
      <c r="H252" s="7" t="s">
        <v>182</v>
      </c>
      <c r="I252" s="7" t="s">
        <v>240</v>
      </c>
      <c r="J252" s="7" t="s">
        <v>136</v>
      </c>
      <c r="K252" s="7" t="s">
        <v>210</v>
      </c>
      <c r="L252" s="7" t="s">
        <v>1082</v>
      </c>
      <c r="M252" s="7" t="s">
        <v>4517</v>
      </c>
      <c r="N252" s="7" t="s">
        <v>3715</v>
      </c>
      <c r="O252" s="7" t="s">
        <v>3716</v>
      </c>
      <c r="P252" s="7">
        <v>18</v>
      </c>
      <c r="Q252" s="7">
        <v>39491876</v>
      </c>
      <c r="R252" s="7">
        <v>0.23</v>
      </c>
      <c r="S252" s="7">
        <v>0.1</v>
      </c>
      <c r="T252" s="7">
        <v>33449618.969999999</v>
      </c>
      <c r="U252" s="7"/>
      <c r="V252" s="7">
        <v>0.26</v>
      </c>
      <c r="W252" s="7">
        <v>0.06</v>
      </c>
      <c r="X252" s="7" t="s">
        <v>1083</v>
      </c>
      <c r="Y252" s="7">
        <v>24706585.34</v>
      </c>
      <c r="Z252" s="7">
        <v>24131466.390000001</v>
      </c>
      <c r="AA252" s="7">
        <v>90</v>
      </c>
      <c r="AB252" s="7">
        <v>94</v>
      </c>
      <c r="AC252" s="7" t="s">
        <v>353</v>
      </c>
      <c r="AD252" s="7" t="s">
        <v>320</v>
      </c>
      <c r="AE252" s="7">
        <v>0.1</v>
      </c>
      <c r="AF252" s="7" t="s">
        <v>152</v>
      </c>
      <c r="AG252" s="7">
        <v>0.05</v>
      </c>
      <c r="AH252" s="7">
        <v>0.02</v>
      </c>
      <c r="AI252" s="7">
        <v>5</v>
      </c>
      <c r="AJ252" s="7">
        <v>4543</v>
      </c>
      <c r="AK252" s="7">
        <v>6232933.5599999996</v>
      </c>
      <c r="AL252" s="7">
        <v>15816988.220000001</v>
      </c>
      <c r="AM252" s="7" t="s">
        <v>321</v>
      </c>
      <c r="AN252" s="7"/>
      <c r="AO252" s="7">
        <v>90.9</v>
      </c>
      <c r="AP252" s="7">
        <v>12</v>
      </c>
      <c r="AQ252" s="7" t="s">
        <v>4275</v>
      </c>
      <c r="AR252" s="7" t="s">
        <v>206</v>
      </c>
      <c r="AS252" s="7"/>
    </row>
    <row r="253" spans="1:45" x14ac:dyDescent="0.3">
      <c r="A253" s="6" t="s">
        <v>1084</v>
      </c>
      <c r="B253" s="6" t="s">
        <v>4688</v>
      </c>
      <c r="C253" s="6" t="s">
        <v>241</v>
      </c>
      <c r="D253" s="6" t="s">
        <v>265</v>
      </c>
      <c r="E253" s="6" t="s">
        <v>4270</v>
      </c>
      <c r="F253" s="6" t="s">
        <v>181</v>
      </c>
      <c r="G253" s="6" t="s">
        <v>70</v>
      </c>
      <c r="H253" s="6" t="s">
        <v>216</v>
      </c>
      <c r="I253" s="6" t="s">
        <v>191</v>
      </c>
      <c r="J253" s="6" t="s">
        <v>111</v>
      </c>
      <c r="K253" s="6" t="s">
        <v>326</v>
      </c>
      <c r="L253" s="6" t="s">
        <v>1085</v>
      </c>
      <c r="M253" s="6" t="s">
        <v>4713</v>
      </c>
      <c r="N253" s="6" t="s">
        <v>4655</v>
      </c>
      <c r="O253" s="6" t="s">
        <v>3717</v>
      </c>
      <c r="P253" s="6">
        <v>36</v>
      </c>
      <c r="Q253" s="6">
        <v>26627851</v>
      </c>
      <c r="R253" s="6">
        <v>0.06</v>
      </c>
      <c r="S253" s="6">
        <v>-0.04</v>
      </c>
      <c r="T253" s="6">
        <v>24028972.739999998</v>
      </c>
      <c r="U253" s="6">
        <v>15620482.07</v>
      </c>
      <c r="V253" s="6">
        <v>0.09</v>
      </c>
      <c r="W253" s="6">
        <v>0.06</v>
      </c>
      <c r="X253" s="6" t="s">
        <v>1086</v>
      </c>
      <c r="Y253" s="6">
        <v>4385840.16</v>
      </c>
      <c r="Z253" s="6">
        <v>1779917.73</v>
      </c>
      <c r="AA253" s="6">
        <v>120</v>
      </c>
      <c r="AB253" s="6">
        <v>95</v>
      </c>
      <c r="AC253" s="6" t="s">
        <v>342</v>
      </c>
      <c r="AD253" s="6" t="s">
        <v>226</v>
      </c>
      <c r="AE253" s="6">
        <v>0.59</v>
      </c>
      <c r="AF253" s="6" t="s">
        <v>4361</v>
      </c>
      <c r="AG253" s="6">
        <v>0.1</v>
      </c>
      <c r="AH253" s="6">
        <v>0.05</v>
      </c>
      <c r="AI253" s="6">
        <v>14</v>
      </c>
      <c r="AJ253" s="6">
        <v>3144</v>
      </c>
      <c r="AK253" s="6">
        <v>2545470.44</v>
      </c>
      <c r="AL253" s="6">
        <v>4312747.4000000004</v>
      </c>
      <c r="AM253" s="6" t="s">
        <v>73</v>
      </c>
      <c r="AN253" s="6" t="s">
        <v>321</v>
      </c>
      <c r="AO253" s="6">
        <v>68.400000000000006</v>
      </c>
      <c r="AP253" s="6" t="s">
        <v>4275</v>
      </c>
      <c r="AQ253" s="6" t="s">
        <v>387</v>
      </c>
      <c r="AR253" s="6" t="s">
        <v>224</v>
      </c>
      <c r="AS253" s="6"/>
    </row>
    <row r="254" spans="1:45" x14ac:dyDescent="0.3">
      <c r="A254" s="7" t="s">
        <v>1087</v>
      </c>
      <c r="B254" s="7" t="s">
        <v>3374</v>
      </c>
      <c r="C254" s="7" t="s">
        <v>252</v>
      </c>
      <c r="D254" s="7" t="s">
        <v>242</v>
      </c>
      <c r="E254" s="7" t="s">
        <v>4306</v>
      </c>
      <c r="F254" s="7" t="s">
        <v>75</v>
      </c>
      <c r="G254" s="7" t="s">
        <v>16</v>
      </c>
      <c r="H254" s="7" t="s">
        <v>216</v>
      </c>
      <c r="I254" s="7" t="s">
        <v>191</v>
      </c>
      <c r="J254" s="7" t="s">
        <v>119</v>
      </c>
      <c r="K254" s="7" t="s">
        <v>333</v>
      </c>
      <c r="L254" s="7" t="s">
        <v>1088</v>
      </c>
      <c r="M254" s="7" t="s">
        <v>4714</v>
      </c>
      <c r="N254" s="7"/>
      <c r="O254" s="7" t="s">
        <v>3719</v>
      </c>
      <c r="P254" s="7" t="s">
        <v>4275</v>
      </c>
      <c r="Q254" s="7">
        <v>20465007</v>
      </c>
      <c r="R254" s="7">
        <v>0.14000000000000001</v>
      </c>
      <c r="S254" s="7">
        <v>-0.01</v>
      </c>
      <c r="T254" s="7">
        <v>17423906.960000001</v>
      </c>
      <c r="U254" s="7">
        <v>14345125.49</v>
      </c>
      <c r="V254" s="7">
        <v>7.0000000000000007E-2</v>
      </c>
      <c r="W254" s="7">
        <v>0.13</v>
      </c>
      <c r="X254" s="7" t="s">
        <v>1089</v>
      </c>
      <c r="Y254" s="7">
        <v>14207942.32</v>
      </c>
      <c r="Z254" s="7">
        <v>14533743.800000001</v>
      </c>
      <c r="AA254" s="7">
        <v>60</v>
      </c>
      <c r="AB254" s="7">
        <v>125</v>
      </c>
      <c r="AC254" s="7" t="s">
        <v>342</v>
      </c>
      <c r="AD254" s="7" t="s">
        <v>381</v>
      </c>
      <c r="AE254" s="7">
        <v>0.43</v>
      </c>
      <c r="AF254" s="7" t="s">
        <v>4361</v>
      </c>
      <c r="AG254" s="7">
        <v>0.15</v>
      </c>
      <c r="AH254" s="7">
        <v>0.05</v>
      </c>
      <c r="AI254" s="7">
        <v>6</v>
      </c>
      <c r="AJ254" s="7">
        <v>2852</v>
      </c>
      <c r="AK254" s="7">
        <v>1490323.37</v>
      </c>
      <c r="AL254" s="7"/>
      <c r="AM254" s="7"/>
      <c r="AN254" s="7" t="s">
        <v>356</v>
      </c>
      <c r="AO254" s="7">
        <v>51.2</v>
      </c>
      <c r="AP254" s="7">
        <v>12</v>
      </c>
      <c r="AQ254" s="7" t="s">
        <v>4275</v>
      </c>
      <c r="AR254" s="7" t="s">
        <v>206</v>
      </c>
      <c r="AS254" s="7"/>
    </row>
    <row r="255" spans="1:45" x14ac:dyDescent="0.3">
      <c r="A255" s="6" t="s">
        <v>1090</v>
      </c>
      <c r="B255" s="6" t="s">
        <v>4715</v>
      </c>
      <c r="C255" s="6" t="s">
        <v>256</v>
      </c>
      <c r="D255" s="6" t="s">
        <v>220</v>
      </c>
      <c r="E255" s="6" t="s">
        <v>4325</v>
      </c>
      <c r="F255" s="6" t="s">
        <v>339</v>
      </c>
      <c r="G255" s="6" t="s">
        <v>38</v>
      </c>
      <c r="H255" s="6" t="s">
        <v>4280</v>
      </c>
      <c r="I255" s="6" t="s">
        <v>183</v>
      </c>
      <c r="J255" s="6" t="s">
        <v>115</v>
      </c>
      <c r="K255" s="6" t="s">
        <v>199</v>
      </c>
      <c r="L255" s="6" t="s">
        <v>1091</v>
      </c>
      <c r="M255" s="6" t="s">
        <v>4716</v>
      </c>
      <c r="N255" s="6" t="s">
        <v>4717</v>
      </c>
      <c r="O255" s="6" t="s">
        <v>3524</v>
      </c>
      <c r="P255" s="6">
        <v>13</v>
      </c>
      <c r="Q255" s="6">
        <v>4715700</v>
      </c>
      <c r="R255" s="6">
        <v>0.35</v>
      </c>
      <c r="S255" s="6">
        <v>-0.01</v>
      </c>
      <c r="T255" s="6">
        <v>3034552.95</v>
      </c>
      <c r="U255" s="6">
        <v>2269981.16</v>
      </c>
      <c r="V255" s="6">
        <v>0.21</v>
      </c>
      <c r="W255" s="6">
        <v>0.18</v>
      </c>
      <c r="X255" s="6" t="s">
        <v>1092</v>
      </c>
      <c r="Y255" s="6">
        <v>2278967.5499999998</v>
      </c>
      <c r="Z255" s="6">
        <v>1285614.93</v>
      </c>
      <c r="AA255" s="6">
        <v>90</v>
      </c>
      <c r="AB255" s="6">
        <v>163</v>
      </c>
      <c r="AC255" s="6"/>
      <c r="AD255" s="6" t="s">
        <v>354</v>
      </c>
      <c r="AE255" s="6">
        <v>0.3</v>
      </c>
      <c r="AF255" s="6" t="s">
        <v>153</v>
      </c>
      <c r="AG255" s="6">
        <v>0.05</v>
      </c>
      <c r="AH255" s="6">
        <v>0.08</v>
      </c>
      <c r="AI255" s="6">
        <v>6</v>
      </c>
      <c r="AJ255" s="6">
        <v>2718</v>
      </c>
      <c r="AK255" s="6">
        <v>288593.89</v>
      </c>
      <c r="AL255" s="6">
        <v>1131229.5</v>
      </c>
      <c r="AM255" s="6" t="s">
        <v>73</v>
      </c>
      <c r="AN255" s="6" t="s">
        <v>348</v>
      </c>
      <c r="AO255" s="6">
        <v>68.599999999999994</v>
      </c>
      <c r="AP255" s="6">
        <v>60</v>
      </c>
      <c r="AQ255" s="6" t="s">
        <v>392</v>
      </c>
      <c r="AR255" s="6" t="s">
        <v>229</v>
      </c>
      <c r="AS255" s="6" t="s">
        <v>357</v>
      </c>
    </row>
    <row r="256" spans="1:45" x14ac:dyDescent="0.3">
      <c r="A256" s="7" t="s">
        <v>1093</v>
      </c>
      <c r="B256" s="7" t="s">
        <v>3722</v>
      </c>
      <c r="C256" s="7" t="s">
        <v>251</v>
      </c>
      <c r="D256" s="7" t="s">
        <v>253</v>
      </c>
      <c r="E256" s="7" t="s">
        <v>4265</v>
      </c>
      <c r="F256" s="7" t="s">
        <v>228</v>
      </c>
      <c r="G256" s="7" t="s">
        <v>73</v>
      </c>
      <c r="H256" s="7" t="s">
        <v>216</v>
      </c>
      <c r="I256" s="7" t="s">
        <v>183</v>
      </c>
      <c r="J256" s="7" t="s">
        <v>105</v>
      </c>
      <c r="K256" s="7" t="s">
        <v>333</v>
      </c>
      <c r="L256" s="7" t="s">
        <v>1094</v>
      </c>
      <c r="M256" s="7" t="s">
        <v>4718</v>
      </c>
      <c r="N256" s="7" t="s">
        <v>3723</v>
      </c>
      <c r="O256" s="7" t="s">
        <v>3724</v>
      </c>
      <c r="P256" s="7">
        <v>4</v>
      </c>
      <c r="Q256" s="7">
        <v>22222016</v>
      </c>
      <c r="R256" s="7">
        <v>0.33</v>
      </c>
      <c r="S256" s="7">
        <v>0.03</v>
      </c>
      <c r="T256" s="7">
        <v>15335413.24</v>
      </c>
      <c r="U256" s="7">
        <v>10905227.5</v>
      </c>
      <c r="V256" s="7">
        <v>0.22</v>
      </c>
      <c r="W256" s="7">
        <v>0.2</v>
      </c>
      <c r="X256" s="7"/>
      <c r="Y256" s="7">
        <v>13446810.68</v>
      </c>
      <c r="Z256" s="7">
        <v>14698040.74</v>
      </c>
      <c r="AA256" s="7">
        <v>30</v>
      </c>
      <c r="AB256" s="7">
        <v>152</v>
      </c>
      <c r="AC256" s="7"/>
      <c r="AD256" s="7" t="s">
        <v>455</v>
      </c>
      <c r="AE256" s="7">
        <v>0.33</v>
      </c>
      <c r="AF256" s="7" t="s">
        <v>4294</v>
      </c>
      <c r="AG256" s="7">
        <v>0.1</v>
      </c>
      <c r="AH256" s="7">
        <v>0.02</v>
      </c>
      <c r="AI256" s="7">
        <v>4</v>
      </c>
      <c r="AJ256" s="7">
        <v>1360</v>
      </c>
      <c r="AK256" s="7">
        <v>2415878.09</v>
      </c>
      <c r="AL256" s="7">
        <v>6767202.5</v>
      </c>
      <c r="AM256" s="7" t="s">
        <v>343</v>
      </c>
      <c r="AN256" s="7" t="s">
        <v>330</v>
      </c>
      <c r="AO256" s="7">
        <v>70.3</v>
      </c>
      <c r="AP256" s="7">
        <v>12</v>
      </c>
      <c r="AQ256" s="7" t="s">
        <v>4275</v>
      </c>
      <c r="AR256" s="7" t="s">
        <v>224</v>
      </c>
      <c r="AS256" s="7" t="s">
        <v>377</v>
      </c>
    </row>
    <row r="257" spans="1:45" x14ac:dyDescent="0.3">
      <c r="A257" s="6" t="s">
        <v>1095</v>
      </c>
      <c r="B257" s="6" t="s">
        <v>4719</v>
      </c>
      <c r="C257" s="6" t="s">
        <v>254</v>
      </c>
      <c r="D257" s="6" t="s">
        <v>209</v>
      </c>
      <c r="E257" s="6" t="s">
        <v>36</v>
      </c>
      <c r="F257" s="6" t="s">
        <v>339</v>
      </c>
      <c r="G257" s="6" t="s">
        <v>62</v>
      </c>
      <c r="H257" s="6" t="s">
        <v>263</v>
      </c>
      <c r="I257" s="6" t="s">
        <v>198</v>
      </c>
      <c r="J257" s="6" t="s">
        <v>115</v>
      </c>
      <c r="K257" s="6" t="s">
        <v>210</v>
      </c>
      <c r="L257" s="6" t="s">
        <v>1096</v>
      </c>
      <c r="M257" s="6" t="s">
        <v>4720</v>
      </c>
      <c r="N257" s="6"/>
      <c r="O257" s="6" t="s">
        <v>3725</v>
      </c>
      <c r="P257" s="6">
        <v>47</v>
      </c>
      <c r="Q257" s="6">
        <v>340073</v>
      </c>
      <c r="R257" s="6">
        <v>0.17</v>
      </c>
      <c r="S257" s="6">
        <v>-0.04</v>
      </c>
      <c r="T257" s="6">
        <v>270970.17</v>
      </c>
      <c r="U257" s="6">
        <v>202936.24</v>
      </c>
      <c r="V257" s="6">
        <v>0.15</v>
      </c>
      <c r="W257" s="6">
        <v>0.11</v>
      </c>
      <c r="X257" s="6" t="s">
        <v>1097</v>
      </c>
      <c r="Y257" s="6">
        <v>80670.41</v>
      </c>
      <c r="Z257" s="6">
        <v>78642.66</v>
      </c>
      <c r="AA257" s="6">
        <v>60</v>
      </c>
      <c r="AB257" s="6">
        <v>171</v>
      </c>
      <c r="AC257" s="6" t="s">
        <v>329</v>
      </c>
      <c r="AD257" s="6" t="s">
        <v>320</v>
      </c>
      <c r="AE257" s="6">
        <v>0.59</v>
      </c>
      <c r="AF257" s="6" t="s">
        <v>4312</v>
      </c>
      <c r="AG257" s="6">
        <v>0.05</v>
      </c>
      <c r="AH257" s="6">
        <v>0.02</v>
      </c>
      <c r="AI257" s="6">
        <v>9</v>
      </c>
      <c r="AJ257" s="6">
        <v>3295</v>
      </c>
      <c r="AK257" s="6">
        <v>63410.9</v>
      </c>
      <c r="AL257" s="6">
        <v>118915.03</v>
      </c>
      <c r="AM257" s="6" t="s">
        <v>73</v>
      </c>
      <c r="AN257" s="6" t="s">
        <v>386</v>
      </c>
      <c r="AO257" s="6">
        <v>84.7</v>
      </c>
      <c r="AP257" s="6">
        <v>24</v>
      </c>
      <c r="AQ257" s="6" t="s">
        <v>323</v>
      </c>
      <c r="AR257" s="6" t="s">
        <v>192</v>
      </c>
      <c r="AS257" s="6"/>
    </row>
    <row r="258" spans="1:45" x14ac:dyDescent="0.3">
      <c r="A258" s="7" t="s">
        <v>1098</v>
      </c>
      <c r="B258" s="7" t="s">
        <v>4721</v>
      </c>
      <c r="C258" s="7" t="s">
        <v>276</v>
      </c>
      <c r="D258" s="7" t="s">
        <v>202</v>
      </c>
      <c r="E258" s="7" t="s">
        <v>20</v>
      </c>
      <c r="F258" s="7" t="s">
        <v>196</v>
      </c>
      <c r="G258" s="7" t="s">
        <v>66</v>
      </c>
      <c r="H258" s="7" t="s">
        <v>4326</v>
      </c>
      <c r="I258" s="7" t="s">
        <v>4372</v>
      </c>
      <c r="J258" s="7" t="s">
        <v>136</v>
      </c>
      <c r="K258" s="7" t="s">
        <v>199</v>
      </c>
      <c r="L258" s="7" t="s">
        <v>1099</v>
      </c>
      <c r="M258" s="7" t="s">
        <v>3727</v>
      </c>
      <c r="N258" s="7" t="s">
        <v>3728</v>
      </c>
      <c r="O258" s="7" t="s">
        <v>4722</v>
      </c>
      <c r="P258" s="7">
        <v>23</v>
      </c>
      <c r="Q258" s="7">
        <v>7425912</v>
      </c>
      <c r="R258" s="7">
        <v>0.35</v>
      </c>
      <c r="S258" s="7">
        <v>-0.02</v>
      </c>
      <c r="T258" s="7">
        <v>4730305.9400000004</v>
      </c>
      <c r="U258" s="7">
        <v>3842027.15</v>
      </c>
      <c r="V258" s="7">
        <v>0.39</v>
      </c>
      <c r="W258" s="7">
        <v>0.16</v>
      </c>
      <c r="X258" s="7" t="s">
        <v>1100</v>
      </c>
      <c r="Y258" s="7">
        <v>3142598.95</v>
      </c>
      <c r="Z258" s="7">
        <v>1652944.85</v>
      </c>
      <c r="AA258" s="7">
        <v>60</v>
      </c>
      <c r="AB258" s="7">
        <v>177</v>
      </c>
      <c r="AC258" s="7"/>
      <c r="AD258" s="7" t="s">
        <v>381</v>
      </c>
      <c r="AE258" s="7">
        <v>0.35</v>
      </c>
      <c r="AF258" s="7" t="s">
        <v>4319</v>
      </c>
      <c r="AG258" s="7">
        <v>0.05</v>
      </c>
      <c r="AH258" s="7">
        <v>7.0000000000000007E-2</v>
      </c>
      <c r="AI258" s="7">
        <v>13</v>
      </c>
      <c r="AJ258" s="7">
        <v>2750</v>
      </c>
      <c r="AK258" s="7">
        <v>1056610.33</v>
      </c>
      <c r="AL258" s="7">
        <v>1615724.61</v>
      </c>
      <c r="AM258" s="7" t="s">
        <v>391</v>
      </c>
      <c r="AN258" s="7"/>
      <c r="AO258" s="7">
        <v>50.4</v>
      </c>
      <c r="AP258" s="7">
        <v>24</v>
      </c>
      <c r="AQ258" s="7" t="s">
        <v>323</v>
      </c>
      <c r="AR258" s="7" t="s">
        <v>186</v>
      </c>
      <c r="AS258" s="7" t="s">
        <v>188</v>
      </c>
    </row>
    <row r="259" spans="1:45" x14ac:dyDescent="0.3">
      <c r="A259" s="6" t="s">
        <v>1101</v>
      </c>
      <c r="B259" s="6" t="s">
        <v>4723</v>
      </c>
      <c r="C259" s="6" t="s">
        <v>260</v>
      </c>
      <c r="D259" s="6" t="s">
        <v>562</v>
      </c>
      <c r="E259" s="6" t="s">
        <v>4265</v>
      </c>
      <c r="F259" s="6" t="s">
        <v>350</v>
      </c>
      <c r="G259" s="6" t="s">
        <v>57</v>
      </c>
      <c r="H259" s="6" t="s">
        <v>4271</v>
      </c>
      <c r="I259" s="6" t="s">
        <v>4307</v>
      </c>
      <c r="J259" s="6" t="s">
        <v>130</v>
      </c>
      <c r="K259" s="6" t="s">
        <v>199</v>
      </c>
      <c r="L259" s="6" t="s">
        <v>1102</v>
      </c>
      <c r="M259" s="6" t="s">
        <v>4724</v>
      </c>
      <c r="N259" s="6" t="s">
        <v>3730</v>
      </c>
      <c r="O259" s="6" t="s">
        <v>4725</v>
      </c>
      <c r="P259" s="6">
        <v>41</v>
      </c>
      <c r="Q259" s="6">
        <v>41463692</v>
      </c>
      <c r="R259" s="6">
        <v>0.14000000000000001</v>
      </c>
      <c r="S259" s="6">
        <v>-0.05</v>
      </c>
      <c r="T259" s="6">
        <v>33875836.359999999</v>
      </c>
      <c r="U259" s="6">
        <v>29706630.609999999</v>
      </c>
      <c r="V259" s="6">
        <v>0.13</v>
      </c>
      <c r="W259" s="6">
        <v>0.09</v>
      </c>
      <c r="X259" s="6" t="s">
        <v>1103</v>
      </c>
      <c r="Y259" s="6">
        <v>15595710.49</v>
      </c>
      <c r="Z259" s="6">
        <v>14963448.43</v>
      </c>
      <c r="AA259" s="6">
        <v>120</v>
      </c>
      <c r="AB259" s="6">
        <v>52</v>
      </c>
      <c r="AC259" s="6" t="s">
        <v>347</v>
      </c>
      <c r="AD259" s="6" t="s">
        <v>354</v>
      </c>
      <c r="AE259" s="6">
        <v>0.25</v>
      </c>
      <c r="AF259" s="6" t="s">
        <v>4312</v>
      </c>
      <c r="AG259" s="6">
        <v>0.1</v>
      </c>
      <c r="AH259" s="6">
        <v>7.0000000000000007E-2</v>
      </c>
      <c r="AI259" s="6">
        <v>8</v>
      </c>
      <c r="AJ259" s="6">
        <v>45</v>
      </c>
      <c r="AK259" s="6">
        <v>993414.11</v>
      </c>
      <c r="AL259" s="6">
        <v>9475070.5099999998</v>
      </c>
      <c r="AM259" s="6" t="s">
        <v>355</v>
      </c>
      <c r="AN259" s="6" t="s">
        <v>356</v>
      </c>
      <c r="AO259" s="6">
        <v>90.8</v>
      </c>
      <c r="AP259" s="6">
        <v>48</v>
      </c>
      <c r="AQ259" s="6" t="s">
        <v>4275</v>
      </c>
      <c r="AR259" s="6" t="s">
        <v>192</v>
      </c>
      <c r="AS259" s="6"/>
    </row>
    <row r="260" spans="1:45" x14ac:dyDescent="0.3">
      <c r="A260" s="7" t="s">
        <v>1104</v>
      </c>
      <c r="B260" s="7" t="s">
        <v>4726</v>
      </c>
      <c r="C260" s="7" t="s">
        <v>278</v>
      </c>
      <c r="D260" s="7" t="s">
        <v>265</v>
      </c>
      <c r="E260" s="7"/>
      <c r="F260" s="7" t="s">
        <v>31</v>
      </c>
      <c r="G260" s="7" t="s">
        <v>33</v>
      </c>
      <c r="H260" s="7" t="s">
        <v>4280</v>
      </c>
      <c r="I260" s="7" t="s">
        <v>4291</v>
      </c>
      <c r="J260" s="7" t="s">
        <v>130</v>
      </c>
      <c r="K260" s="7" t="s">
        <v>199</v>
      </c>
      <c r="L260" s="7" t="s">
        <v>1105</v>
      </c>
      <c r="M260" s="7" t="s">
        <v>4727</v>
      </c>
      <c r="N260" s="7" t="s">
        <v>3622</v>
      </c>
      <c r="O260" s="7" t="s">
        <v>3731</v>
      </c>
      <c r="P260" s="7">
        <v>51</v>
      </c>
      <c r="Q260" s="7">
        <v>49374026</v>
      </c>
      <c r="R260" s="7">
        <v>0.28000000000000003</v>
      </c>
      <c r="S260" s="7">
        <v>0.11</v>
      </c>
      <c r="T260" s="7">
        <v>39459721.579999998</v>
      </c>
      <c r="U260" s="7">
        <v>27339578.41</v>
      </c>
      <c r="V260" s="7">
        <v>0.24</v>
      </c>
      <c r="W260" s="7">
        <v>0.06</v>
      </c>
      <c r="X260" s="7" t="s">
        <v>1106</v>
      </c>
      <c r="Y260" s="7">
        <v>12243306.119999999</v>
      </c>
      <c r="Z260" s="7">
        <v>9552178.2100000009</v>
      </c>
      <c r="AA260" s="7">
        <v>30</v>
      </c>
      <c r="AB260" s="7">
        <v>128</v>
      </c>
      <c r="AC260" s="7" t="s">
        <v>342</v>
      </c>
      <c r="AD260" s="7" t="s">
        <v>226</v>
      </c>
      <c r="AE260" s="7">
        <v>0.98</v>
      </c>
      <c r="AF260" s="7"/>
      <c r="AG260" s="7">
        <v>0.05</v>
      </c>
      <c r="AH260" s="7">
        <v>0.06</v>
      </c>
      <c r="AI260" s="7">
        <v>9</v>
      </c>
      <c r="AJ260" s="7">
        <v>2222</v>
      </c>
      <c r="AK260" s="7">
        <v>1818117.51</v>
      </c>
      <c r="AL260" s="7">
        <v>5862752.5</v>
      </c>
      <c r="AM260" s="7" t="s">
        <v>321</v>
      </c>
      <c r="AN260" s="7" t="s">
        <v>322</v>
      </c>
      <c r="AO260" s="7">
        <v>92.7</v>
      </c>
      <c r="AP260" s="7">
        <v>60</v>
      </c>
      <c r="AQ260" s="7"/>
      <c r="AR260" s="7" t="s">
        <v>192</v>
      </c>
      <c r="AS260" s="7" t="s">
        <v>324</v>
      </c>
    </row>
    <row r="261" spans="1:45" x14ac:dyDescent="0.3">
      <c r="A261" s="6" t="s">
        <v>1107</v>
      </c>
      <c r="B261" s="6" t="s">
        <v>4635</v>
      </c>
      <c r="C261" s="6" t="s">
        <v>189</v>
      </c>
      <c r="D261" s="6" t="s">
        <v>190</v>
      </c>
      <c r="E261" s="6" t="s">
        <v>20</v>
      </c>
      <c r="F261" s="6" t="s">
        <v>31</v>
      </c>
      <c r="G261" s="6" t="s">
        <v>57</v>
      </c>
      <c r="H261" s="6" t="s">
        <v>212</v>
      </c>
      <c r="I261" s="6" t="s">
        <v>4272</v>
      </c>
      <c r="J261" s="6" t="s">
        <v>136</v>
      </c>
      <c r="K261" s="6" t="s">
        <v>326</v>
      </c>
      <c r="L261" s="6" t="s">
        <v>1108</v>
      </c>
      <c r="M261" s="6" t="s">
        <v>3732</v>
      </c>
      <c r="N261" s="6"/>
      <c r="O261" s="6" t="s">
        <v>3733</v>
      </c>
      <c r="P261" s="6">
        <v>50</v>
      </c>
      <c r="Q261" s="6">
        <v>6376035</v>
      </c>
      <c r="R261" s="6">
        <v>0.13</v>
      </c>
      <c r="S261" s="6">
        <v>0.05</v>
      </c>
      <c r="T261" s="6">
        <v>5824507.9699999997</v>
      </c>
      <c r="U261" s="6">
        <v>4642760.24</v>
      </c>
      <c r="V261" s="6">
        <v>0.22</v>
      </c>
      <c r="W261" s="6">
        <v>0.17</v>
      </c>
      <c r="X261" s="6" t="s">
        <v>1109</v>
      </c>
      <c r="Y261" s="6">
        <v>1228418.6499999999</v>
      </c>
      <c r="Z261" s="6">
        <v>1297151.8400000001</v>
      </c>
      <c r="AA261" s="6">
        <v>30</v>
      </c>
      <c r="AB261" s="6">
        <v>159</v>
      </c>
      <c r="AC261" s="6" t="s">
        <v>353</v>
      </c>
      <c r="AD261" s="6" t="s">
        <v>320</v>
      </c>
      <c r="AE261" s="6">
        <v>0.81</v>
      </c>
      <c r="AF261" s="6" t="s">
        <v>4319</v>
      </c>
      <c r="AG261" s="6">
        <v>0.05</v>
      </c>
      <c r="AH261" s="6">
        <v>0.1</v>
      </c>
      <c r="AI261" s="6">
        <v>5</v>
      </c>
      <c r="AJ261" s="6">
        <v>4687</v>
      </c>
      <c r="AK261" s="6">
        <v>1439599.08</v>
      </c>
      <c r="AL261" s="6">
        <v>2093833.32</v>
      </c>
      <c r="AM261" s="6" t="s">
        <v>391</v>
      </c>
      <c r="AN261" s="6" t="s">
        <v>330</v>
      </c>
      <c r="AO261" s="6">
        <v>68.400000000000006</v>
      </c>
      <c r="AP261" s="6">
        <v>12</v>
      </c>
      <c r="AQ261" s="6" t="s">
        <v>392</v>
      </c>
      <c r="AR261" s="6" t="s">
        <v>206</v>
      </c>
      <c r="AS261" s="6"/>
    </row>
    <row r="262" spans="1:45" x14ac:dyDescent="0.3">
      <c r="A262" s="7" t="s">
        <v>1110</v>
      </c>
      <c r="B262" s="7" t="s">
        <v>3733</v>
      </c>
      <c r="C262" s="7" t="s">
        <v>279</v>
      </c>
      <c r="D262" s="7" t="s">
        <v>281</v>
      </c>
      <c r="E262" s="7" t="s">
        <v>20</v>
      </c>
      <c r="F262" s="7" t="s">
        <v>35</v>
      </c>
      <c r="G262" s="7" t="s">
        <v>78</v>
      </c>
      <c r="H262" s="7" t="s">
        <v>4280</v>
      </c>
      <c r="I262" s="7" t="s">
        <v>240</v>
      </c>
      <c r="J262" s="7" t="s">
        <v>136</v>
      </c>
      <c r="K262" s="7" t="s">
        <v>210</v>
      </c>
      <c r="L262" s="7" t="s">
        <v>1111</v>
      </c>
      <c r="M262" s="7" t="s">
        <v>4728</v>
      </c>
      <c r="N262" s="7"/>
      <c r="O262" s="7" t="s">
        <v>3734</v>
      </c>
      <c r="P262" s="7" t="s">
        <v>4275</v>
      </c>
      <c r="Q262" s="7">
        <v>8017772</v>
      </c>
      <c r="R262" s="7">
        <v>0.21</v>
      </c>
      <c r="S262" s="7">
        <v>7.0000000000000007E-2</v>
      </c>
      <c r="T262" s="7">
        <v>6777422.6699999999</v>
      </c>
      <c r="U262" s="7">
        <v>4732851.5</v>
      </c>
      <c r="V262" s="7">
        <v>0.35</v>
      </c>
      <c r="W262" s="7">
        <v>0.19</v>
      </c>
      <c r="X262" s="7" t="s">
        <v>1112</v>
      </c>
      <c r="Y262" s="7">
        <v>3527969.12</v>
      </c>
      <c r="Z262" s="7">
        <v>2615225.86</v>
      </c>
      <c r="AA262" s="7">
        <v>60</v>
      </c>
      <c r="AB262" s="7">
        <v>31</v>
      </c>
      <c r="AC262" s="7" t="s">
        <v>353</v>
      </c>
      <c r="AD262" s="7" t="s">
        <v>226</v>
      </c>
      <c r="AE262" s="7">
        <v>0.64</v>
      </c>
      <c r="AF262" s="7" t="s">
        <v>153</v>
      </c>
      <c r="AG262" s="7">
        <v>0.05</v>
      </c>
      <c r="AH262" s="7">
        <v>0.08</v>
      </c>
      <c r="AI262" s="7">
        <v>10</v>
      </c>
      <c r="AJ262" s="7">
        <v>2617</v>
      </c>
      <c r="AK262" s="7">
        <v>420216.2</v>
      </c>
      <c r="AL262" s="7">
        <v>2847524.88</v>
      </c>
      <c r="AM262" s="7" t="s">
        <v>355</v>
      </c>
      <c r="AN262" s="7" t="s">
        <v>348</v>
      </c>
      <c r="AO262" s="7">
        <v>55</v>
      </c>
      <c r="AP262" s="7">
        <v>36</v>
      </c>
      <c r="AQ262" s="7" t="s">
        <v>4275</v>
      </c>
      <c r="AR262" s="7" t="s">
        <v>206</v>
      </c>
      <c r="AS262" s="7"/>
    </row>
    <row r="263" spans="1:45" x14ac:dyDescent="0.3">
      <c r="A263" s="6" t="s">
        <v>1113</v>
      </c>
      <c r="B263" s="6" t="s">
        <v>4729</v>
      </c>
      <c r="C263" s="6" t="s">
        <v>251</v>
      </c>
      <c r="D263" s="6" t="s">
        <v>202</v>
      </c>
      <c r="E263" s="6" t="s">
        <v>4376</v>
      </c>
      <c r="F263" s="6" t="s">
        <v>31</v>
      </c>
      <c r="G263" s="6" t="s">
        <v>28</v>
      </c>
      <c r="H263" s="6" t="s">
        <v>263</v>
      </c>
      <c r="I263" s="6" t="s">
        <v>203</v>
      </c>
      <c r="J263" s="6" t="s">
        <v>136</v>
      </c>
      <c r="K263" s="6" t="s">
        <v>221</v>
      </c>
      <c r="L263" s="6" t="s">
        <v>1114</v>
      </c>
      <c r="M263" s="6" t="s">
        <v>4381</v>
      </c>
      <c r="N263" s="6"/>
      <c r="O263" s="6" t="s">
        <v>3593</v>
      </c>
      <c r="P263" s="6">
        <v>4</v>
      </c>
      <c r="Q263" s="6">
        <v>46537477</v>
      </c>
      <c r="R263" s="6">
        <v>0.2</v>
      </c>
      <c r="S263" s="6">
        <v>0.18</v>
      </c>
      <c r="T263" s="6">
        <v>43931378.289999999</v>
      </c>
      <c r="U263" s="6">
        <v>35963306.82</v>
      </c>
      <c r="V263" s="6">
        <v>0.31</v>
      </c>
      <c r="W263" s="6">
        <v>0.17</v>
      </c>
      <c r="X263" s="6" t="s">
        <v>1115</v>
      </c>
      <c r="Y263" s="6">
        <v>26763643.789999999</v>
      </c>
      <c r="Z263" s="6">
        <v>10179513.76</v>
      </c>
      <c r="AA263" s="6">
        <v>90</v>
      </c>
      <c r="AB263" s="6">
        <v>11</v>
      </c>
      <c r="AC263" s="6" t="s">
        <v>329</v>
      </c>
      <c r="AD263" s="6" t="s">
        <v>406</v>
      </c>
      <c r="AE263" s="6">
        <v>0.34</v>
      </c>
      <c r="AF263" s="6" t="s">
        <v>4312</v>
      </c>
      <c r="AG263" s="6">
        <v>0.1</v>
      </c>
      <c r="AH263" s="6">
        <v>0.02</v>
      </c>
      <c r="AI263" s="6">
        <v>10</v>
      </c>
      <c r="AJ263" s="6">
        <v>4734</v>
      </c>
      <c r="AK263" s="6">
        <v>8722150.4199999999</v>
      </c>
      <c r="AL263" s="6">
        <v>14015230.289999999</v>
      </c>
      <c r="AM263" s="6" t="s">
        <v>73</v>
      </c>
      <c r="AN263" s="6" t="s">
        <v>356</v>
      </c>
      <c r="AO263" s="6">
        <v>99.5</v>
      </c>
      <c r="AP263" s="6" t="s">
        <v>4275</v>
      </c>
      <c r="AQ263" s="6" t="s">
        <v>392</v>
      </c>
      <c r="AR263" s="6" t="s">
        <v>186</v>
      </c>
      <c r="AS263" s="6"/>
    </row>
    <row r="264" spans="1:45" x14ac:dyDescent="0.3">
      <c r="A264" s="7" t="s">
        <v>1116</v>
      </c>
      <c r="B264" s="7" t="s">
        <v>4730</v>
      </c>
      <c r="C264" s="7" t="s">
        <v>217</v>
      </c>
      <c r="D264" s="7" t="s">
        <v>394</v>
      </c>
      <c r="E264" s="7" t="s">
        <v>4325</v>
      </c>
      <c r="F264" s="7" t="s">
        <v>19</v>
      </c>
      <c r="G264" s="7" t="s">
        <v>50</v>
      </c>
      <c r="H264" s="7" t="s">
        <v>4271</v>
      </c>
      <c r="I264" s="7" t="s">
        <v>183</v>
      </c>
      <c r="J264" s="7" t="s">
        <v>115</v>
      </c>
      <c r="K264" s="7" t="s">
        <v>184</v>
      </c>
      <c r="L264" s="7" t="s">
        <v>1117</v>
      </c>
      <c r="M264" s="7" t="s">
        <v>3735</v>
      </c>
      <c r="N264" s="7"/>
      <c r="O264" s="7" t="s">
        <v>4731</v>
      </c>
      <c r="P264" s="7">
        <v>48</v>
      </c>
      <c r="Q264" s="7">
        <v>27346917</v>
      </c>
      <c r="R264" s="7">
        <v>0.34</v>
      </c>
      <c r="S264" s="7">
        <v>0.05</v>
      </c>
      <c r="T264" s="7">
        <v>18951413.48</v>
      </c>
      <c r="U264" s="7">
        <v>15329177.460000001</v>
      </c>
      <c r="V264" s="7">
        <v>0.17</v>
      </c>
      <c r="W264" s="7">
        <v>0.12</v>
      </c>
      <c r="X264" s="7" t="s">
        <v>1118</v>
      </c>
      <c r="Y264" s="7">
        <v>10263743.310000001</v>
      </c>
      <c r="Z264" s="7">
        <v>5290838.47</v>
      </c>
      <c r="AA264" s="7">
        <v>120</v>
      </c>
      <c r="AB264" s="7">
        <v>32</v>
      </c>
      <c r="AC264" s="7" t="s">
        <v>329</v>
      </c>
      <c r="AD264" s="7" t="s">
        <v>406</v>
      </c>
      <c r="AE264" s="7">
        <v>0.71</v>
      </c>
      <c r="AF264" s="7"/>
      <c r="AG264" s="7">
        <v>0.1</v>
      </c>
      <c r="AH264" s="7">
        <v>7.0000000000000007E-2</v>
      </c>
      <c r="AI264" s="7">
        <v>15</v>
      </c>
      <c r="AJ264" s="7">
        <v>4260</v>
      </c>
      <c r="AK264" s="7">
        <v>2311782.63</v>
      </c>
      <c r="AL264" s="7">
        <v>6709191.3200000003</v>
      </c>
      <c r="AM264" s="7" t="s">
        <v>391</v>
      </c>
      <c r="AN264" s="7" t="s">
        <v>322</v>
      </c>
      <c r="AO264" s="7">
        <v>89.3</v>
      </c>
      <c r="AP264" s="7">
        <v>36</v>
      </c>
      <c r="AQ264" s="7" t="s">
        <v>392</v>
      </c>
      <c r="AR264" s="7" t="s">
        <v>229</v>
      </c>
      <c r="AS264" s="7" t="s">
        <v>377</v>
      </c>
    </row>
    <row r="265" spans="1:45" x14ac:dyDescent="0.3">
      <c r="A265" s="6" t="s">
        <v>1119</v>
      </c>
      <c r="B265" s="6" t="s">
        <v>470</v>
      </c>
      <c r="C265" s="6" t="s">
        <v>260</v>
      </c>
      <c r="D265" s="6" t="s">
        <v>394</v>
      </c>
      <c r="E265" s="6" t="s">
        <v>113</v>
      </c>
      <c r="F265" s="6" t="s">
        <v>181</v>
      </c>
      <c r="G265" s="6" t="s">
        <v>28</v>
      </c>
      <c r="H265" s="6" t="s">
        <v>4280</v>
      </c>
      <c r="I265" s="6" t="s">
        <v>4289</v>
      </c>
      <c r="J265" s="6" t="s">
        <v>127</v>
      </c>
      <c r="K265" s="6" t="s">
        <v>333</v>
      </c>
      <c r="L265" s="6" t="s">
        <v>1120</v>
      </c>
      <c r="M265" s="6" t="s">
        <v>4732</v>
      </c>
      <c r="N265" s="6"/>
      <c r="O265" s="6" t="s">
        <v>4733</v>
      </c>
      <c r="P265" s="6">
        <v>44</v>
      </c>
      <c r="Q265" s="6">
        <v>17118900</v>
      </c>
      <c r="R265" s="6">
        <v>0.01</v>
      </c>
      <c r="S265" s="6">
        <v>7.0000000000000007E-2</v>
      </c>
      <c r="T265" s="6">
        <v>18134050.77</v>
      </c>
      <c r="U265" s="6">
        <v>12071146.09</v>
      </c>
      <c r="V265" s="6">
        <v>0.23</v>
      </c>
      <c r="W265" s="6">
        <v>0.19</v>
      </c>
      <c r="X265" s="6" t="s">
        <v>1121</v>
      </c>
      <c r="Y265" s="6">
        <v>1853189.54</v>
      </c>
      <c r="Z265" s="6">
        <v>1873851.4</v>
      </c>
      <c r="AA265" s="6">
        <v>30</v>
      </c>
      <c r="AB265" s="6">
        <v>118</v>
      </c>
      <c r="AC265" s="6" t="s">
        <v>329</v>
      </c>
      <c r="AD265" s="6" t="s">
        <v>226</v>
      </c>
      <c r="AE265" s="6">
        <v>0.54</v>
      </c>
      <c r="AF265" s="6" t="s">
        <v>153</v>
      </c>
      <c r="AG265" s="6">
        <v>0.05</v>
      </c>
      <c r="AH265" s="6">
        <v>0.05</v>
      </c>
      <c r="AI265" s="6">
        <v>9</v>
      </c>
      <c r="AJ265" s="6">
        <v>4241</v>
      </c>
      <c r="AK265" s="6">
        <v>3475802</v>
      </c>
      <c r="AL265" s="6"/>
      <c r="AM265" s="6" t="s">
        <v>355</v>
      </c>
      <c r="AN265" s="6" t="s">
        <v>321</v>
      </c>
      <c r="AO265" s="6">
        <v>68.5</v>
      </c>
      <c r="AP265" s="6">
        <v>12</v>
      </c>
      <c r="AQ265" s="6" t="s">
        <v>392</v>
      </c>
      <c r="AR265" s="6" t="s">
        <v>206</v>
      </c>
      <c r="AS265" s="6"/>
    </row>
    <row r="266" spans="1:45" x14ac:dyDescent="0.3">
      <c r="A266" s="7" t="s">
        <v>1122</v>
      </c>
      <c r="B266" s="7" t="s">
        <v>3701</v>
      </c>
      <c r="C266" s="7" t="s">
        <v>230</v>
      </c>
      <c r="D266" s="7" t="s">
        <v>394</v>
      </c>
      <c r="E266" s="7" t="s">
        <v>20</v>
      </c>
      <c r="F266" s="7" t="s">
        <v>31</v>
      </c>
      <c r="G266" s="7" t="s">
        <v>28</v>
      </c>
      <c r="H266" s="7" t="s">
        <v>263</v>
      </c>
      <c r="I266" s="7" t="s">
        <v>4272</v>
      </c>
      <c r="J266" s="7" t="s">
        <v>136</v>
      </c>
      <c r="K266" s="7" t="s">
        <v>326</v>
      </c>
      <c r="L266" s="7" t="s">
        <v>1123</v>
      </c>
      <c r="M266" s="7" t="s">
        <v>4516</v>
      </c>
      <c r="N266" s="7" t="s">
        <v>4734</v>
      </c>
      <c r="O266" s="7" t="s">
        <v>4735</v>
      </c>
      <c r="P266" s="7">
        <v>37</v>
      </c>
      <c r="Q266" s="7">
        <v>35762283</v>
      </c>
      <c r="R266" s="7">
        <v>0.32</v>
      </c>
      <c r="S266" s="7">
        <v>0.11</v>
      </c>
      <c r="T266" s="7">
        <v>26993371.210000001</v>
      </c>
      <c r="U266" s="7">
        <v>18038949.379999999</v>
      </c>
      <c r="V266" s="7">
        <v>0.06</v>
      </c>
      <c r="W266" s="7">
        <v>0.06</v>
      </c>
      <c r="X266" s="7" t="s">
        <v>1124</v>
      </c>
      <c r="Y266" s="7">
        <v>23776678.699999999</v>
      </c>
      <c r="Z266" s="7">
        <v>7197121.4699999997</v>
      </c>
      <c r="AA266" s="7">
        <v>30</v>
      </c>
      <c r="AB266" s="7">
        <v>84</v>
      </c>
      <c r="AC266" s="7" t="s">
        <v>329</v>
      </c>
      <c r="AD266" s="7" t="s">
        <v>354</v>
      </c>
      <c r="AE266" s="7">
        <v>0.77</v>
      </c>
      <c r="AF266" s="7" t="s">
        <v>155</v>
      </c>
      <c r="AG266" s="7">
        <v>0.15</v>
      </c>
      <c r="AH266" s="7">
        <v>0.05</v>
      </c>
      <c r="AI266" s="7">
        <v>10</v>
      </c>
      <c r="AJ266" s="7">
        <v>604</v>
      </c>
      <c r="AK266" s="7">
        <v>6684858.6100000003</v>
      </c>
      <c r="AL266" s="7">
        <v>10456486.640000001</v>
      </c>
      <c r="AM266" s="7" t="s">
        <v>391</v>
      </c>
      <c r="AN266" s="7" t="s">
        <v>348</v>
      </c>
      <c r="AO266" s="7">
        <v>61.6</v>
      </c>
      <c r="AP266" s="7">
        <v>24</v>
      </c>
      <c r="AQ266" s="7" t="s">
        <v>337</v>
      </c>
      <c r="AR266" s="7" t="s">
        <v>192</v>
      </c>
      <c r="AS266" s="7"/>
    </row>
    <row r="267" spans="1:45" x14ac:dyDescent="0.3">
      <c r="A267" s="6" t="s">
        <v>1125</v>
      </c>
      <c r="B267" s="6" t="s">
        <v>4679</v>
      </c>
      <c r="C267" s="6" t="s">
        <v>286</v>
      </c>
      <c r="D267" s="6" t="s">
        <v>220</v>
      </c>
      <c r="E267" s="6" t="s">
        <v>4376</v>
      </c>
      <c r="F267" s="6" t="s">
        <v>31</v>
      </c>
      <c r="G267" s="6" t="s">
        <v>38</v>
      </c>
      <c r="H267" s="6" t="s">
        <v>4266</v>
      </c>
      <c r="I267" s="6" t="s">
        <v>191</v>
      </c>
      <c r="J267" s="6" t="s">
        <v>136</v>
      </c>
      <c r="K267" s="6" t="s">
        <v>199</v>
      </c>
      <c r="L267" s="6" t="s">
        <v>1126</v>
      </c>
      <c r="M267" s="6" t="s">
        <v>3737</v>
      </c>
      <c r="N267" s="6" t="s">
        <v>4736</v>
      </c>
      <c r="O267" s="6" t="s">
        <v>3738</v>
      </c>
      <c r="P267" s="6" t="s">
        <v>4275</v>
      </c>
      <c r="Q267" s="6">
        <v>43352289</v>
      </c>
      <c r="R267" s="6">
        <v>0.21</v>
      </c>
      <c r="S267" s="6">
        <v>0.06</v>
      </c>
      <c r="T267" s="6">
        <v>36303206.810000002</v>
      </c>
      <c r="U267" s="6">
        <v>28612805.719999999</v>
      </c>
      <c r="V267" s="6" t="s">
        <v>4374</v>
      </c>
      <c r="W267" s="6">
        <v>0.09</v>
      </c>
      <c r="X267" s="6" t="s">
        <v>1127</v>
      </c>
      <c r="Y267" s="6">
        <v>8267030.5599999996</v>
      </c>
      <c r="Z267" s="6">
        <v>4734126.8499999996</v>
      </c>
      <c r="AA267" s="6">
        <v>45</v>
      </c>
      <c r="AB267" s="6">
        <v>157</v>
      </c>
      <c r="AC267" s="6"/>
      <c r="AD267" s="6" t="s">
        <v>226</v>
      </c>
      <c r="AE267" s="6">
        <v>0.16</v>
      </c>
      <c r="AF267" s="6" t="s">
        <v>4361</v>
      </c>
      <c r="AG267" s="6">
        <v>0.1</v>
      </c>
      <c r="AH267" s="6">
        <v>0.08</v>
      </c>
      <c r="AI267" s="6">
        <v>7</v>
      </c>
      <c r="AJ267" s="6">
        <v>1629</v>
      </c>
      <c r="AK267" s="6">
        <v>4574083.4400000004</v>
      </c>
      <c r="AL267" s="6">
        <v>6906687.6600000001</v>
      </c>
      <c r="AM267" s="6" t="s">
        <v>343</v>
      </c>
      <c r="AN267" s="6" t="s">
        <v>322</v>
      </c>
      <c r="AO267" s="6">
        <v>61.7</v>
      </c>
      <c r="AP267" s="6">
        <v>12</v>
      </c>
      <c r="AQ267" s="6" t="s">
        <v>337</v>
      </c>
      <c r="AR267" s="6" t="s">
        <v>229</v>
      </c>
      <c r="AS267" s="6" t="s">
        <v>188</v>
      </c>
    </row>
    <row r="268" spans="1:45" x14ac:dyDescent="0.3">
      <c r="A268" s="7" t="s">
        <v>1128</v>
      </c>
      <c r="B268" s="7" t="s">
        <v>3469</v>
      </c>
      <c r="C268" s="7" t="s">
        <v>239</v>
      </c>
      <c r="D268" s="7" t="s">
        <v>209</v>
      </c>
      <c r="E268" s="7" t="s">
        <v>4306</v>
      </c>
      <c r="F268" s="7" t="s">
        <v>75</v>
      </c>
      <c r="G268" s="7" t="s">
        <v>28</v>
      </c>
      <c r="H268" s="7" t="s">
        <v>216</v>
      </c>
      <c r="I268" s="7" t="s">
        <v>203</v>
      </c>
      <c r="J268" s="7" t="s">
        <v>133</v>
      </c>
      <c r="K268" s="7" t="s">
        <v>223</v>
      </c>
      <c r="L268" s="7" t="s">
        <v>1129</v>
      </c>
      <c r="M268" s="7" t="s">
        <v>3655</v>
      </c>
      <c r="N268" s="7" t="s">
        <v>4737</v>
      </c>
      <c r="O268" s="7" t="s">
        <v>3715</v>
      </c>
      <c r="P268" s="7">
        <v>53</v>
      </c>
      <c r="Q268" s="7">
        <v>46365337</v>
      </c>
      <c r="R268" s="7">
        <v>0.03</v>
      </c>
      <c r="S268" s="7">
        <v>0.18</v>
      </c>
      <c r="T268" s="7">
        <v>53069764.729999997</v>
      </c>
      <c r="U268" s="7">
        <v>36868577.090000004</v>
      </c>
      <c r="V268" s="7">
        <v>0.37</v>
      </c>
      <c r="W268" s="7">
        <v>0.17</v>
      </c>
      <c r="X268" s="7" t="s">
        <v>1130</v>
      </c>
      <c r="Y268" s="7">
        <v>24023119.32</v>
      </c>
      <c r="Z268" s="7">
        <v>7353434.4400000004</v>
      </c>
      <c r="AA268" s="7">
        <v>60</v>
      </c>
      <c r="AB268" s="7">
        <v>9</v>
      </c>
      <c r="AC268" s="7"/>
      <c r="AD268" s="7" t="s">
        <v>381</v>
      </c>
      <c r="AE268" s="7">
        <v>0.55000000000000004</v>
      </c>
      <c r="AF268" s="7" t="s">
        <v>159</v>
      </c>
      <c r="AG268" s="7">
        <v>0.15</v>
      </c>
      <c r="AH268" s="7">
        <v>0.09</v>
      </c>
      <c r="AI268" s="7">
        <v>13</v>
      </c>
      <c r="AJ268" s="7">
        <v>3818</v>
      </c>
      <c r="AK268" s="7">
        <v>11738325.640000001</v>
      </c>
      <c r="AL268" s="7">
        <v>20050131.170000002</v>
      </c>
      <c r="AM268" s="7" t="s">
        <v>391</v>
      </c>
      <c r="AN268" s="7"/>
      <c r="AO268" s="7"/>
      <c r="AP268" s="7">
        <v>24</v>
      </c>
      <c r="AQ268" s="7" t="s">
        <v>4275</v>
      </c>
      <c r="AR268" s="7" t="s">
        <v>206</v>
      </c>
      <c r="AS268" s="7" t="s">
        <v>377</v>
      </c>
    </row>
    <row r="269" spans="1:45" x14ac:dyDescent="0.3">
      <c r="A269" s="6" t="s">
        <v>1131</v>
      </c>
      <c r="B269" s="6" t="s">
        <v>3582</v>
      </c>
      <c r="C269" s="6" t="s">
        <v>227</v>
      </c>
      <c r="D269" s="6" t="s">
        <v>281</v>
      </c>
      <c r="E269" s="6" t="s">
        <v>36</v>
      </c>
      <c r="F269" s="6"/>
      <c r="G269" s="6" t="s">
        <v>23</v>
      </c>
      <c r="H269" s="6" t="s">
        <v>197</v>
      </c>
      <c r="I269" s="6" t="s">
        <v>4291</v>
      </c>
      <c r="J269" s="6" t="s">
        <v>115</v>
      </c>
      <c r="K269" s="6" t="s">
        <v>210</v>
      </c>
      <c r="L269" s="6" t="s">
        <v>1132</v>
      </c>
      <c r="M269" s="6" t="s">
        <v>3357</v>
      </c>
      <c r="N269" s="6" t="s">
        <v>3739</v>
      </c>
      <c r="O269" s="6" t="s">
        <v>3740</v>
      </c>
      <c r="P269" s="6">
        <v>23</v>
      </c>
      <c r="Q269" s="6">
        <v>49700321</v>
      </c>
      <c r="R269" s="6">
        <v>0.28999999999999998</v>
      </c>
      <c r="S269" s="6">
        <v>-0.04</v>
      </c>
      <c r="T269" s="6">
        <v>33875738.789999999</v>
      </c>
      <c r="U269" s="6">
        <v>27249701.239999998</v>
      </c>
      <c r="V269" s="6">
        <v>0.17</v>
      </c>
      <c r="W269" s="6">
        <v>0.05</v>
      </c>
      <c r="X269" s="6" t="s">
        <v>1133</v>
      </c>
      <c r="Y269" s="6">
        <v>6870802.8600000003</v>
      </c>
      <c r="Z269" s="6">
        <v>6875195.1399999997</v>
      </c>
      <c r="AA269" s="6">
        <v>45</v>
      </c>
      <c r="AB269" s="6">
        <v>62</v>
      </c>
      <c r="AC269" s="6"/>
      <c r="AD269" s="6" t="s">
        <v>381</v>
      </c>
      <c r="AE269" s="6">
        <v>0.9</v>
      </c>
      <c r="AF269" s="6" t="s">
        <v>4319</v>
      </c>
      <c r="AG269" s="6">
        <v>0.15</v>
      </c>
      <c r="AH269" s="6">
        <v>0.09</v>
      </c>
      <c r="AI269" s="6">
        <v>2</v>
      </c>
      <c r="AJ269" s="6">
        <v>258</v>
      </c>
      <c r="AK269" s="6">
        <v>1962506.4</v>
      </c>
      <c r="AL269" s="6">
        <v>12019643.25</v>
      </c>
      <c r="AM269" s="6"/>
      <c r="AN269" s="6" t="s">
        <v>321</v>
      </c>
      <c r="AO269" s="6">
        <v>88.8</v>
      </c>
      <c r="AP269" s="6" t="s">
        <v>4275</v>
      </c>
      <c r="AQ269" s="6" t="s">
        <v>387</v>
      </c>
      <c r="AR269" s="6" t="s">
        <v>186</v>
      </c>
      <c r="AS269" s="6"/>
    </row>
    <row r="270" spans="1:45" x14ac:dyDescent="0.3">
      <c r="A270" s="7" t="s">
        <v>1134</v>
      </c>
      <c r="B270" s="7" t="s">
        <v>4738</v>
      </c>
      <c r="C270" s="7" t="s">
        <v>222</v>
      </c>
      <c r="D270" s="7" t="s">
        <v>238</v>
      </c>
      <c r="E270" s="7" t="s">
        <v>4265</v>
      </c>
      <c r="F270" s="7" t="s">
        <v>228</v>
      </c>
      <c r="G270" s="7" t="s">
        <v>57</v>
      </c>
      <c r="H270" s="7" t="s">
        <v>212</v>
      </c>
      <c r="I270" s="7" t="s">
        <v>191</v>
      </c>
      <c r="J270" s="7" t="s">
        <v>105</v>
      </c>
      <c r="K270" s="7" t="s">
        <v>333</v>
      </c>
      <c r="L270" s="7" t="s">
        <v>1135</v>
      </c>
      <c r="M270" s="7" t="s">
        <v>3711</v>
      </c>
      <c r="N270" s="7" t="s">
        <v>4739</v>
      </c>
      <c r="O270" s="7" t="s">
        <v>4274</v>
      </c>
      <c r="P270" s="7">
        <v>18</v>
      </c>
      <c r="Q270" s="7">
        <v>42535360</v>
      </c>
      <c r="R270" s="7">
        <v>0.26</v>
      </c>
      <c r="S270" s="7">
        <v>0.1</v>
      </c>
      <c r="T270" s="7">
        <v>34623783.039999999</v>
      </c>
      <c r="U270" s="7">
        <v>27387425.370000001</v>
      </c>
      <c r="V270" s="7">
        <v>0.3</v>
      </c>
      <c r="W270" s="7">
        <v>0.09</v>
      </c>
      <c r="X270" s="7" t="s">
        <v>1136</v>
      </c>
      <c r="Y270" s="7">
        <v>22898147.960000001</v>
      </c>
      <c r="Z270" s="7">
        <v>24975521.170000002</v>
      </c>
      <c r="AA270" s="7">
        <v>60</v>
      </c>
      <c r="AB270" s="7">
        <v>98</v>
      </c>
      <c r="AC270" s="7" t="s">
        <v>342</v>
      </c>
      <c r="AD270" s="7" t="s">
        <v>455</v>
      </c>
      <c r="AE270" s="7">
        <v>0.68</v>
      </c>
      <c r="AF270" s="7" t="s">
        <v>4312</v>
      </c>
      <c r="AG270" s="7">
        <v>0.15</v>
      </c>
      <c r="AH270" s="7">
        <v>7.0000000000000007E-2</v>
      </c>
      <c r="AI270" s="7">
        <v>9</v>
      </c>
      <c r="AJ270" s="7">
        <v>4201</v>
      </c>
      <c r="AK270" s="7">
        <v>3253849.53</v>
      </c>
      <c r="AL270" s="7">
        <v>8534217.4299999997</v>
      </c>
      <c r="AM270" s="7" t="s">
        <v>343</v>
      </c>
      <c r="AN270" s="7" t="s">
        <v>322</v>
      </c>
      <c r="AO270" s="7">
        <v>78.2</v>
      </c>
      <c r="AP270" s="7">
        <v>60</v>
      </c>
      <c r="AQ270" s="7"/>
      <c r="AR270" s="7" t="s">
        <v>229</v>
      </c>
      <c r="AS270" s="7"/>
    </row>
    <row r="271" spans="1:45" x14ac:dyDescent="0.3">
      <c r="A271" s="6" t="s">
        <v>1137</v>
      </c>
      <c r="B271" s="6" t="s">
        <v>4740</v>
      </c>
      <c r="C271" s="6" t="s">
        <v>267</v>
      </c>
      <c r="D271" s="6" t="s">
        <v>262</v>
      </c>
      <c r="E271" s="6" t="s">
        <v>59</v>
      </c>
      <c r="F271" s="6"/>
      <c r="G271" s="6" t="s">
        <v>16</v>
      </c>
      <c r="H271" s="6" t="s">
        <v>263</v>
      </c>
      <c r="I271" s="6"/>
      <c r="J271" s="6" t="s">
        <v>99</v>
      </c>
      <c r="K271" s="6" t="s">
        <v>333</v>
      </c>
      <c r="L271" s="6" t="s">
        <v>1138</v>
      </c>
      <c r="M271" s="6" t="s">
        <v>4741</v>
      </c>
      <c r="N271" s="6" t="s">
        <v>4742</v>
      </c>
      <c r="O271" s="6" t="s">
        <v>3741</v>
      </c>
      <c r="P271" s="6">
        <v>12</v>
      </c>
      <c r="Q271" s="6">
        <v>16332290</v>
      </c>
      <c r="R271" s="6">
        <v>0.15</v>
      </c>
      <c r="S271" s="6">
        <v>0.16</v>
      </c>
      <c r="T271" s="6">
        <v>16103637.939999999</v>
      </c>
      <c r="U271" s="6">
        <v>10345786.810000001</v>
      </c>
      <c r="V271" s="6">
        <v>0.28999999999999998</v>
      </c>
      <c r="W271" s="6">
        <v>0.16</v>
      </c>
      <c r="X271" s="6" t="s">
        <v>1139</v>
      </c>
      <c r="Y271" s="6">
        <v>8446728.7699999996</v>
      </c>
      <c r="Z271" s="6">
        <v>6710696.9400000004</v>
      </c>
      <c r="AA271" s="6">
        <v>30</v>
      </c>
      <c r="AB271" s="6">
        <v>160</v>
      </c>
      <c r="AC271" s="6" t="s">
        <v>342</v>
      </c>
      <c r="AD271" s="6" t="s">
        <v>226</v>
      </c>
      <c r="AE271" s="6">
        <v>0.78</v>
      </c>
      <c r="AF271" s="6" t="s">
        <v>4303</v>
      </c>
      <c r="AG271" s="6">
        <v>0.15</v>
      </c>
      <c r="AH271" s="6">
        <v>0.03</v>
      </c>
      <c r="AI271" s="6">
        <v>2</v>
      </c>
      <c r="AJ271" s="6">
        <v>179</v>
      </c>
      <c r="AK271" s="6">
        <v>1876942.36</v>
      </c>
      <c r="AL271" s="6">
        <v>3982471.63</v>
      </c>
      <c r="AM271" s="6" t="s">
        <v>391</v>
      </c>
      <c r="AN271" s="6" t="s">
        <v>348</v>
      </c>
      <c r="AO271" s="6">
        <v>83.5</v>
      </c>
      <c r="AP271" s="6">
        <v>60</v>
      </c>
      <c r="AQ271" s="6" t="s">
        <v>337</v>
      </c>
      <c r="AR271" s="6" t="s">
        <v>192</v>
      </c>
      <c r="AS271" s="6"/>
    </row>
    <row r="272" spans="1:45" x14ac:dyDescent="0.3">
      <c r="A272" s="7" t="s">
        <v>1140</v>
      </c>
      <c r="B272" s="7" t="s">
        <v>4743</v>
      </c>
      <c r="C272" s="7" t="s">
        <v>277</v>
      </c>
      <c r="D272" s="7" t="s">
        <v>265</v>
      </c>
      <c r="E272" s="7" t="s">
        <v>113</v>
      </c>
      <c r="F272" s="7" t="s">
        <v>181</v>
      </c>
      <c r="G272" s="7" t="s">
        <v>46</v>
      </c>
      <c r="H272" s="7" t="s">
        <v>4266</v>
      </c>
      <c r="I272" s="7" t="s">
        <v>4372</v>
      </c>
      <c r="J272" s="7" t="s">
        <v>127</v>
      </c>
      <c r="K272" s="7" t="s">
        <v>184</v>
      </c>
      <c r="L272" s="7" t="s">
        <v>1141</v>
      </c>
      <c r="M272" s="7" t="s">
        <v>3743</v>
      </c>
      <c r="N272" s="7" t="s">
        <v>3342</v>
      </c>
      <c r="O272" s="7" t="s">
        <v>4744</v>
      </c>
      <c r="P272" s="7">
        <v>11</v>
      </c>
      <c r="Q272" s="7">
        <v>26384811</v>
      </c>
      <c r="R272" s="7">
        <v>0.11</v>
      </c>
      <c r="S272" s="7">
        <v>0.2</v>
      </c>
      <c r="T272" s="7">
        <v>28178978.149999999</v>
      </c>
      <c r="U272" s="7">
        <v>23938774.850000001</v>
      </c>
      <c r="V272" s="7">
        <v>0.28999999999999998</v>
      </c>
      <c r="W272" s="7">
        <v>0.06</v>
      </c>
      <c r="X272" s="7" t="s">
        <v>1142</v>
      </c>
      <c r="Y272" s="7">
        <v>10747426.32</v>
      </c>
      <c r="Z272" s="7">
        <v>6273711.9500000002</v>
      </c>
      <c r="AA272" s="7">
        <v>60</v>
      </c>
      <c r="AB272" s="7">
        <v>75</v>
      </c>
      <c r="AC272" s="7" t="s">
        <v>342</v>
      </c>
      <c r="AD272" s="7" t="s">
        <v>381</v>
      </c>
      <c r="AE272" s="7">
        <v>0.86</v>
      </c>
      <c r="AF272" s="7" t="s">
        <v>159</v>
      </c>
      <c r="AG272" s="7">
        <v>0.05</v>
      </c>
      <c r="AH272" s="7">
        <v>0.03</v>
      </c>
      <c r="AI272" s="7">
        <v>7</v>
      </c>
      <c r="AJ272" s="7">
        <v>1721</v>
      </c>
      <c r="AK272" s="7">
        <v>5903654.8700000001</v>
      </c>
      <c r="AL272" s="7">
        <v>8749150.3699999992</v>
      </c>
      <c r="AM272" s="7" t="s">
        <v>343</v>
      </c>
      <c r="AN272" s="7" t="s">
        <v>356</v>
      </c>
      <c r="AO272" s="7">
        <v>99.7</v>
      </c>
      <c r="AP272" s="7">
        <v>12</v>
      </c>
      <c r="AQ272" s="7" t="s">
        <v>323</v>
      </c>
      <c r="AR272" s="7" t="s">
        <v>206</v>
      </c>
      <c r="AS272" s="7"/>
    </row>
    <row r="273" spans="1:45" x14ac:dyDescent="0.3">
      <c r="A273" s="6" t="s">
        <v>1143</v>
      </c>
      <c r="B273" s="6" t="s">
        <v>3744</v>
      </c>
      <c r="C273" s="6" t="s">
        <v>284</v>
      </c>
      <c r="D273" s="6" t="s">
        <v>238</v>
      </c>
      <c r="E273" s="6" t="s">
        <v>4270</v>
      </c>
      <c r="F273" s="6" t="s">
        <v>367</v>
      </c>
      <c r="G273" s="6" t="s">
        <v>66</v>
      </c>
      <c r="H273" s="6" t="s">
        <v>197</v>
      </c>
      <c r="I273" s="6" t="s">
        <v>183</v>
      </c>
      <c r="J273" s="6" t="s">
        <v>111</v>
      </c>
      <c r="K273" s="6" t="s">
        <v>333</v>
      </c>
      <c r="L273" s="6" t="s">
        <v>1144</v>
      </c>
      <c r="M273" s="6" t="s">
        <v>3745</v>
      </c>
      <c r="N273" s="6" t="s">
        <v>4745</v>
      </c>
      <c r="O273" s="6" t="s">
        <v>4274</v>
      </c>
      <c r="P273" s="6">
        <v>55</v>
      </c>
      <c r="Q273" s="6">
        <v>35513450</v>
      </c>
      <c r="R273" s="6">
        <v>0.17</v>
      </c>
      <c r="S273" s="6">
        <v>0.17</v>
      </c>
      <c r="T273" s="6">
        <v>34487111.289999999</v>
      </c>
      <c r="U273" s="6"/>
      <c r="V273" s="6">
        <v>0.26</v>
      </c>
      <c r="W273" s="6">
        <v>0.1</v>
      </c>
      <c r="X273" s="6" t="s">
        <v>1145</v>
      </c>
      <c r="Y273" s="6">
        <v>5352812.88</v>
      </c>
      <c r="Z273" s="6">
        <v>1812806.45</v>
      </c>
      <c r="AA273" s="6">
        <v>45</v>
      </c>
      <c r="AB273" s="6">
        <v>62</v>
      </c>
      <c r="AC273" s="6" t="s">
        <v>347</v>
      </c>
      <c r="AD273" s="6" t="s">
        <v>354</v>
      </c>
      <c r="AE273" s="6">
        <v>0.61</v>
      </c>
      <c r="AF273" s="6" t="s">
        <v>153</v>
      </c>
      <c r="AG273" s="6">
        <v>0.15</v>
      </c>
      <c r="AH273" s="6">
        <v>7.0000000000000007E-2</v>
      </c>
      <c r="AI273" s="6">
        <v>15</v>
      </c>
      <c r="AJ273" s="6">
        <v>3100</v>
      </c>
      <c r="AK273" s="6">
        <v>5741127.7000000002</v>
      </c>
      <c r="AL273" s="6">
        <v>13508755.369999999</v>
      </c>
      <c r="AM273" s="6" t="s">
        <v>321</v>
      </c>
      <c r="AN273" s="6" t="s">
        <v>330</v>
      </c>
      <c r="AO273" s="6">
        <v>56.4</v>
      </c>
      <c r="AP273" s="6">
        <v>60</v>
      </c>
      <c r="AQ273" s="6" t="s">
        <v>323</v>
      </c>
      <c r="AR273" s="6" t="s">
        <v>186</v>
      </c>
      <c r="AS273" s="6" t="s">
        <v>324</v>
      </c>
    </row>
    <row r="274" spans="1:45" x14ac:dyDescent="0.3">
      <c r="A274" s="7" t="s">
        <v>1146</v>
      </c>
      <c r="B274" s="7" t="s">
        <v>3731</v>
      </c>
      <c r="C274" s="7" t="s">
        <v>282</v>
      </c>
      <c r="D274" s="7" t="s">
        <v>209</v>
      </c>
      <c r="E274" s="7" t="s">
        <v>52</v>
      </c>
      <c r="F274" s="7" t="s">
        <v>75</v>
      </c>
      <c r="G274" s="7" t="s">
        <v>57</v>
      </c>
      <c r="H274" s="7" t="s">
        <v>4340</v>
      </c>
      <c r="I274" s="7" t="s">
        <v>213</v>
      </c>
      <c r="J274" s="7" t="s">
        <v>133</v>
      </c>
      <c r="K274" s="7" t="s">
        <v>199</v>
      </c>
      <c r="L274" s="7" t="s">
        <v>1147</v>
      </c>
      <c r="M274" s="7" t="s">
        <v>4746</v>
      </c>
      <c r="N274" s="7" t="s">
        <v>4747</v>
      </c>
      <c r="O274" s="7" t="s">
        <v>4748</v>
      </c>
      <c r="P274" s="7">
        <v>37</v>
      </c>
      <c r="Q274" s="7">
        <v>23405746</v>
      </c>
      <c r="R274" s="7">
        <v>0.06</v>
      </c>
      <c r="S274" s="7">
        <v>-0.04</v>
      </c>
      <c r="T274" s="7">
        <v>21121345.190000001</v>
      </c>
      <c r="U274" s="7">
        <v>17407021.359999999</v>
      </c>
      <c r="V274" s="7">
        <v>0.27</v>
      </c>
      <c r="W274" s="7">
        <v>0.17</v>
      </c>
      <c r="X274" s="7" t="s">
        <v>1148</v>
      </c>
      <c r="Y274" s="7">
        <v>6643585.5800000001</v>
      </c>
      <c r="Z274" s="7">
        <v>2369967.2799999998</v>
      </c>
      <c r="AA274" s="7">
        <v>30</v>
      </c>
      <c r="AB274" s="7">
        <v>135</v>
      </c>
      <c r="AC274" s="7" t="s">
        <v>347</v>
      </c>
      <c r="AD274" s="7" t="s">
        <v>354</v>
      </c>
      <c r="AE274" s="7">
        <v>0.65</v>
      </c>
      <c r="AF274" s="7" t="s">
        <v>153</v>
      </c>
      <c r="AG274" s="7">
        <v>0.15</v>
      </c>
      <c r="AH274" s="7">
        <v>0.04</v>
      </c>
      <c r="AI274" s="7">
        <v>9</v>
      </c>
      <c r="AJ274" s="7">
        <v>4264</v>
      </c>
      <c r="AK274" s="7">
        <v>988434.79</v>
      </c>
      <c r="AL274" s="7">
        <v>8704585.9199999999</v>
      </c>
      <c r="AM274" s="7"/>
      <c r="AN274" s="7" t="s">
        <v>386</v>
      </c>
      <c r="AO274" s="7">
        <v>96.8</v>
      </c>
      <c r="AP274" s="7" t="s">
        <v>4275</v>
      </c>
      <c r="AQ274" s="7" t="s">
        <v>4275</v>
      </c>
      <c r="AR274" s="7" t="s">
        <v>229</v>
      </c>
      <c r="AS274" s="7" t="s">
        <v>357</v>
      </c>
    </row>
    <row r="275" spans="1:45" x14ac:dyDescent="0.3">
      <c r="A275" s="6" t="s">
        <v>1149</v>
      </c>
      <c r="B275" s="6" t="s">
        <v>3748</v>
      </c>
      <c r="C275" s="6" t="s">
        <v>214</v>
      </c>
      <c r="D275" s="6" t="s">
        <v>394</v>
      </c>
      <c r="E275" s="6"/>
      <c r="F275" s="6" t="s">
        <v>363</v>
      </c>
      <c r="G275" s="6" t="s">
        <v>80</v>
      </c>
      <c r="H275" s="6" t="s">
        <v>197</v>
      </c>
      <c r="I275" s="6" t="s">
        <v>213</v>
      </c>
      <c r="J275" s="6" t="s">
        <v>130</v>
      </c>
      <c r="K275" s="6" t="s">
        <v>221</v>
      </c>
      <c r="L275" s="6" t="s">
        <v>1150</v>
      </c>
      <c r="M275" s="6" t="s">
        <v>4749</v>
      </c>
      <c r="N275" s="6"/>
      <c r="O275" s="6" t="s">
        <v>4750</v>
      </c>
      <c r="P275" s="6">
        <v>38</v>
      </c>
      <c r="Q275" s="6">
        <v>6131064</v>
      </c>
      <c r="R275" s="6">
        <v>0.28999999999999998</v>
      </c>
      <c r="S275" s="6">
        <v>0.14000000000000001</v>
      </c>
      <c r="T275" s="6">
        <v>4962483.2</v>
      </c>
      <c r="U275" s="6"/>
      <c r="V275" s="6">
        <v>0.21</v>
      </c>
      <c r="W275" s="6">
        <v>0.08</v>
      </c>
      <c r="X275" s="6" t="s">
        <v>1151</v>
      </c>
      <c r="Y275" s="6">
        <v>1877513.35</v>
      </c>
      <c r="Z275" s="6">
        <v>1591993.28</v>
      </c>
      <c r="AA275" s="6">
        <v>30</v>
      </c>
      <c r="AB275" s="6">
        <v>83</v>
      </c>
      <c r="AC275" s="6"/>
      <c r="AD275" s="6" t="s">
        <v>320</v>
      </c>
      <c r="AE275" s="6">
        <v>0.93</v>
      </c>
      <c r="AF275" s="6" t="s">
        <v>153</v>
      </c>
      <c r="AG275" s="6">
        <v>0.05</v>
      </c>
      <c r="AH275" s="6">
        <v>0.02</v>
      </c>
      <c r="AI275" s="6">
        <v>5</v>
      </c>
      <c r="AJ275" s="6">
        <v>1746</v>
      </c>
      <c r="AK275" s="6">
        <v>526467.85</v>
      </c>
      <c r="AL275" s="6">
        <v>602247.63</v>
      </c>
      <c r="AM275" s="6" t="s">
        <v>343</v>
      </c>
      <c r="AN275" s="6" t="s">
        <v>386</v>
      </c>
      <c r="AO275" s="6">
        <v>93.1</v>
      </c>
      <c r="AP275" s="6">
        <v>48</v>
      </c>
      <c r="AQ275" s="6" t="s">
        <v>323</v>
      </c>
      <c r="AR275" s="6" t="s">
        <v>206</v>
      </c>
      <c r="AS275" s="6" t="s">
        <v>324</v>
      </c>
    </row>
    <row r="276" spans="1:45" x14ac:dyDescent="0.3">
      <c r="A276" s="7" t="s">
        <v>1152</v>
      </c>
      <c r="B276" s="7" t="s">
        <v>4385</v>
      </c>
      <c r="C276" s="7" t="s">
        <v>283</v>
      </c>
      <c r="D276" s="7" t="s">
        <v>250</v>
      </c>
      <c r="E276" s="7"/>
      <c r="F276" s="7" t="s">
        <v>228</v>
      </c>
      <c r="G276" s="7" t="s">
        <v>73</v>
      </c>
      <c r="H276" s="7" t="s">
        <v>4280</v>
      </c>
      <c r="I276" s="7"/>
      <c r="J276" s="7" t="s">
        <v>130</v>
      </c>
      <c r="K276" s="7" t="s">
        <v>199</v>
      </c>
      <c r="L276" s="7" t="s">
        <v>1153</v>
      </c>
      <c r="M276" s="7" t="s">
        <v>4751</v>
      </c>
      <c r="N276" s="7" t="s">
        <v>4443</v>
      </c>
      <c r="O276" s="7" t="s">
        <v>4274</v>
      </c>
      <c r="P276" s="7">
        <v>21</v>
      </c>
      <c r="Q276" s="7">
        <v>4551333</v>
      </c>
      <c r="R276" s="7">
        <v>0.28000000000000003</v>
      </c>
      <c r="S276" s="7">
        <v>0.02</v>
      </c>
      <c r="T276" s="7">
        <v>3342498.96</v>
      </c>
      <c r="U276" s="7"/>
      <c r="V276" s="7">
        <v>0.16</v>
      </c>
      <c r="W276" s="7">
        <v>0.14000000000000001</v>
      </c>
      <c r="X276" s="7" t="s">
        <v>1154</v>
      </c>
      <c r="Y276" s="7">
        <v>683578.91</v>
      </c>
      <c r="Z276" s="7">
        <v>213699.5</v>
      </c>
      <c r="AA276" s="7">
        <v>90</v>
      </c>
      <c r="AB276" s="7">
        <v>66</v>
      </c>
      <c r="AC276" s="7" t="s">
        <v>342</v>
      </c>
      <c r="AD276" s="7" t="s">
        <v>354</v>
      </c>
      <c r="AE276" s="7">
        <v>0.6</v>
      </c>
      <c r="AF276" s="7" t="s">
        <v>4361</v>
      </c>
      <c r="AG276" s="7">
        <v>0.05</v>
      </c>
      <c r="AH276" s="7">
        <v>0.05</v>
      </c>
      <c r="AI276" s="7">
        <v>13</v>
      </c>
      <c r="AJ276" s="7">
        <v>1837</v>
      </c>
      <c r="AK276" s="7">
        <v>175471.87</v>
      </c>
      <c r="AL276" s="7">
        <v>874681.4</v>
      </c>
      <c r="AM276" s="7" t="s">
        <v>343</v>
      </c>
      <c r="AN276" s="7"/>
      <c r="AO276" s="7">
        <v>58.8</v>
      </c>
      <c r="AP276" s="7">
        <v>12</v>
      </c>
      <c r="AQ276" s="7" t="s">
        <v>4275</v>
      </c>
      <c r="AR276" s="7" t="s">
        <v>192</v>
      </c>
      <c r="AS276" s="7" t="s">
        <v>377</v>
      </c>
    </row>
    <row r="277" spans="1:45" x14ac:dyDescent="0.3">
      <c r="A277" s="6" t="s">
        <v>1155</v>
      </c>
      <c r="B277" s="6" t="s">
        <v>3387</v>
      </c>
      <c r="C277" s="6" t="s">
        <v>241</v>
      </c>
      <c r="D277" s="6" t="s">
        <v>265</v>
      </c>
      <c r="E277" s="6" t="s">
        <v>52</v>
      </c>
      <c r="F277" s="6" t="s">
        <v>75</v>
      </c>
      <c r="G277" s="6" t="s">
        <v>62</v>
      </c>
      <c r="H277" s="6" t="s">
        <v>197</v>
      </c>
      <c r="I277" s="6" t="s">
        <v>4372</v>
      </c>
      <c r="J277" s="7" t="s">
        <v>119</v>
      </c>
      <c r="K277" s="6" t="s">
        <v>204</v>
      </c>
      <c r="L277" s="6" t="s">
        <v>1156</v>
      </c>
      <c r="M277" s="6" t="s">
        <v>3751</v>
      </c>
      <c r="N277" s="6" t="s">
        <v>3721</v>
      </c>
      <c r="O277" s="6" t="s">
        <v>3752</v>
      </c>
      <c r="P277" s="6">
        <v>20</v>
      </c>
      <c r="Q277" s="6">
        <v>28231617</v>
      </c>
      <c r="R277" s="6">
        <v>0.34</v>
      </c>
      <c r="S277" s="6">
        <v>-0.04</v>
      </c>
      <c r="T277" s="6">
        <v>17887552.530000001</v>
      </c>
      <c r="U277" s="6">
        <v>13687272.300000001</v>
      </c>
      <c r="V277" s="6">
        <v>0.17</v>
      </c>
      <c r="W277" s="6">
        <v>0.14000000000000001</v>
      </c>
      <c r="X277" s="6" t="s">
        <v>1157</v>
      </c>
      <c r="Y277" s="6">
        <v>7614569.0499999998</v>
      </c>
      <c r="Z277" s="6">
        <v>6848705.1799999997</v>
      </c>
      <c r="AA277" s="6">
        <v>60</v>
      </c>
      <c r="AB277" s="6">
        <v>144</v>
      </c>
      <c r="AC277" s="6" t="s">
        <v>353</v>
      </c>
      <c r="AD277" s="6" t="s">
        <v>336</v>
      </c>
      <c r="AE277" s="6">
        <v>0.94</v>
      </c>
      <c r="AF277" s="6" t="s">
        <v>162</v>
      </c>
      <c r="AG277" s="6">
        <v>0.15</v>
      </c>
      <c r="AH277" s="6">
        <v>0.03</v>
      </c>
      <c r="AI277" s="6">
        <v>7</v>
      </c>
      <c r="AJ277" s="6">
        <v>1203</v>
      </c>
      <c r="AK277" s="6">
        <v>3678816.07</v>
      </c>
      <c r="AL277" s="6">
        <v>4198941.9000000004</v>
      </c>
      <c r="AM277" s="6" t="s">
        <v>385</v>
      </c>
      <c r="AN277" s="6"/>
      <c r="AO277" s="6">
        <v>78.099999999999994</v>
      </c>
      <c r="AP277" s="6">
        <v>12</v>
      </c>
      <c r="AQ277" s="6" t="s">
        <v>387</v>
      </c>
      <c r="AR277" s="6" t="s">
        <v>206</v>
      </c>
      <c r="AS277" s="6" t="s">
        <v>324</v>
      </c>
    </row>
    <row r="278" spans="1:45" x14ac:dyDescent="0.3">
      <c r="A278" s="7" t="s">
        <v>1158</v>
      </c>
      <c r="B278" s="7" t="s">
        <v>3753</v>
      </c>
      <c r="C278" s="7" t="s">
        <v>230</v>
      </c>
      <c r="D278" s="7" t="s">
        <v>253</v>
      </c>
      <c r="E278" s="7" t="s">
        <v>4325</v>
      </c>
      <c r="F278" s="7" t="s">
        <v>339</v>
      </c>
      <c r="G278" s="7" t="s">
        <v>80</v>
      </c>
      <c r="H278" s="7" t="s">
        <v>4280</v>
      </c>
      <c r="I278" s="7" t="s">
        <v>203</v>
      </c>
      <c r="J278" s="7" t="s">
        <v>115</v>
      </c>
      <c r="K278" s="7" t="s">
        <v>184</v>
      </c>
      <c r="L278" s="7" t="s">
        <v>1159</v>
      </c>
      <c r="M278" s="7" t="s">
        <v>3754</v>
      </c>
      <c r="N278" s="7" t="s">
        <v>4752</v>
      </c>
      <c r="O278" s="7" t="s">
        <v>4274</v>
      </c>
      <c r="P278" s="7">
        <v>7</v>
      </c>
      <c r="Q278" s="7">
        <v>21053589</v>
      </c>
      <c r="R278" s="7">
        <v>0.3</v>
      </c>
      <c r="S278" s="7">
        <v>0.02</v>
      </c>
      <c r="T278" s="7">
        <v>15032262.550000001</v>
      </c>
      <c r="U278" s="7">
        <v>10468735.74</v>
      </c>
      <c r="V278" s="7">
        <v>0.32</v>
      </c>
      <c r="W278" s="7">
        <v>0.18</v>
      </c>
      <c r="X278" s="7" t="s">
        <v>1160</v>
      </c>
      <c r="Y278" s="7">
        <v>12238438.640000001</v>
      </c>
      <c r="Z278" s="7">
        <v>12039068.82</v>
      </c>
      <c r="AA278" s="7">
        <v>45</v>
      </c>
      <c r="AB278" s="7">
        <v>123</v>
      </c>
      <c r="AC278" s="7" t="s">
        <v>376</v>
      </c>
      <c r="AD278" s="7" t="s">
        <v>336</v>
      </c>
      <c r="AE278" s="7">
        <v>0.76</v>
      </c>
      <c r="AF278" s="7" t="s">
        <v>153</v>
      </c>
      <c r="AG278" s="7">
        <v>0.05</v>
      </c>
      <c r="AH278" s="7">
        <v>0.01</v>
      </c>
      <c r="AI278" s="7">
        <v>13</v>
      </c>
      <c r="AJ278" s="7">
        <v>422</v>
      </c>
      <c r="AK278" s="7">
        <v>1063043.68</v>
      </c>
      <c r="AL278" s="7">
        <v>1604350.72</v>
      </c>
      <c r="AM278" s="7" t="s">
        <v>391</v>
      </c>
      <c r="AN278" s="7" t="s">
        <v>348</v>
      </c>
      <c r="AO278" s="7">
        <v>79.099999999999994</v>
      </c>
      <c r="AP278" s="7">
        <v>48</v>
      </c>
      <c r="AQ278" s="7" t="s">
        <v>323</v>
      </c>
      <c r="AR278" s="7" t="s">
        <v>229</v>
      </c>
      <c r="AS278" s="7" t="s">
        <v>188</v>
      </c>
    </row>
    <row r="279" spans="1:45" x14ac:dyDescent="0.3">
      <c r="A279" s="6" t="s">
        <v>1161</v>
      </c>
      <c r="B279" s="6" t="s">
        <v>4753</v>
      </c>
      <c r="C279" s="6" t="s">
        <v>237</v>
      </c>
      <c r="D279" s="6" t="s">
        <v>262</v>
      </c>
      <c r="E279" s="6" t="s">
        <v>4376</v>
      </c>
      <c r="F279" s="6" t="s">
        <v>35</v>
      </c>
      <c r="G279" s="6" t="s">
        <v>80</v>
      </c>
      <c r="H279" s="6" t="s">
        <v>4271</v>
      </c>
      <c r="I279" s="6" t="s">
        <v>203</v>
      </c>
      <c r="J279" s="6" t="s">
        <v>136</v>
      </c>
      <c r="K279" s="6" t="s">
        <v>223</v>
      </c>
      <c r="L279" s="6" t="s">
        <v>1162</v>
      </c>
      <c r="M279" s="6" t="s">
        <v>3640</v>
      </c>
      <c r="N279" s="6"/>
      <c r="O279" s="6" t="s">
        <v>3525</v>
      </c>
      <c r="P279" s="6">
        <v>8</v>
      </c>
      <c r="Q279" s="6">
        <v>27825102</v>
      </c>
      <c r="R279" s="6">
        <v>0.24</v>
      </c>
      <c r="S279" s="6">
        <v>0.1</v>
      </c>
      <c r="T279" s="6">
        <v>23261785.27</v>
      </c>
      <c r="U279" s="6">
        <v>15387092.029999999</v>
      </c>
      <c r="V279" s="6">
        <v>0.37</v>
      </c>
      <c r="W279" s="6">
        <v>0.15</v>
      </c>
      <c r="X279" s="6" t="s">
        <v>1163</v>
      </c>
      <c r="Y279" s="6">
        <v>7975719.71</v>
      </c>
      <c r="Z279" s="6">
        <v>5936899.1799999997</v>
      </c>
      <c r="AA279" s="6">
        <v>30</v>
      </c>
      <c r="AB279" s="6">
        <v>126</v>
      </c>
      <c r="AC279" s="6" t="s">
        <v>347</v>
      </c>
      <c r="AD279" s="6" t="s">
        <v>406</v>
      </c>
      <c r="AE279" s="6">
        <v>0.73</v>
      </c>
      <c r="AF279" s="6" t="s">
        <v>155</v>
      </c>
      <c r="AG279" s="6">
        <v>0.1</v>
      </c>
      <c r="AH279" s="6">
        <v>0.09</v>
      </c>
      <c r="AI279" s="6">
        <v>1</v>
      </c>
      <c r="AJ279" s="6">
        <v>4214</v>
      </c>
      <c r="AK279" s="6">
        <v>2165296.9</v>
      </c>
      <c r="AL279" s="6">
        <v>7407601.8899999997</v>
      </c>
      <c r="AM279" s="6"/>
      <c r="AN279" s="6" t="s">
        <v>321</v>
      </c>
      <c r="AO279" s="6">
        <v>50</v>
      </c>
      <c r="AP279" s="6">
        <v>48</v>
      </c>
      <c r="AQ279" s="6" t="s">
        <v>323</v>
      </c>
      <c r="AR279" s="6" t="s">
        <v>186</v>
      </c>
      <c r="AS279" s="6" t="s">
        <v>188</v>
      </c>
    </row>
    <row r="280" spans="1:45" x14ac:dyDescent="0.3">
      <c r="A280" s="7" t="s">
        <v>1164</v>
      </c>
      <c r="B280" s="7" t="s">
        <v>4754</v>
      </c>
      <c r="C280" s="7" t="s">
        <v>214</v>
      </c>
      <c r="D280" s="7" t="s">
        <v>262</v>
      </c>
      <c r="E280" s="7" t="s">
        <v>113</v>
      </c>
      <c r="F280" s="7" t="s">
        <v>367</v>
      </c>
      <c r="G280" s="7" t="s">
        <v>16</v>
      </c>
      <c r="H280" s="7" t="s">
        <v>216</v>
      </c>
      <c r="I280" s="7" t="s">
        <v>246</v>
      </c>
      <c r="J280" s="7" t="s">
        <v>127</v>
      </c>
      <c r="K280" s="7" t="s">
        <v>204</v>
      </c>
      <c r="L280" s="7" t="s">
        <v>1165</v>
      </c>
      <c r="M280" s="7" t="s">
        <v>4755</v>
      </c>
      <c r="N280" s="7" t="s">
        <v>3757</v>
      </c>
      <c r="O280" s="7" t="s">
        <v>3279</v>
      </c>
      <c r="P280" s="7">
        <v>15</v>
      </c>
      <c r="Q280" s="7">
        <v>39965694</v>
      </c>
      <c r="R280" s="7">
        <v>0.03</v>
      </c>
      <c r="S280" s="7">
        <v>0.19</v>
      </c>
      <c r="T280" s="7">
        <v>46132400.579999998</v>
      </c>
      <c r="U280" s="7">
        <v>40558483.829999998</v>
      </c>
      <c r="V280" s="7">
        <v>0.25</v>
      </c>
      <c r="W280" s="7">
        <v>0.1</v>
      </c>
      <c r="X280" s="7"/>
      <c r="Y280" s="7">
        <v>36208134.759999998</v>
      </c>
      <c r="Z280" s="7">
        <v>20219278.949999999</v>
      </c>
      <c r="AA280" s="7">
        <v>45</v>
      </c>
      <c r="AB280" s="7">
        <v>102</v>
      </c>
      <c r="AC280" s="7" t="s">
        <v>342</v>
      </c>
      <c r="AD280" s="7" t="s">
        <v>381</v>
      </c>
      <c r="AE280" s="7">
        <v>0.33</v>
      </c>
      <c r="AF280" s="7" t="s">
        <v>162</v>
      </c>
      <c r="AG280" s="7">
        <v>0.05</v>
      </c>
      <c r="AH280" s="7">
        <v>0.1</v>
      </c>
      <c r="AI280" s="7">
        <v>3</v>
      </c>
      <c r="AJ280" s="7">
        <v>1907</v>
      </c>
      <c r="AK280" s="7">
        <v>6645500.4000000004</v>
      </c>
      <c r="AL280" s="7">
        <v>20262754.079999998</v>
      </c>
      <c r="AM280" s="7" t="s">
        <v>343</v>
      </c>
      <c r="AN280" s="7"/>
      <c r="AO280" s="7">
        <v>86.6</v>
      </c>
      <c r="AP280" s="7">
        <v>36</v>
      </c>
      <c r="AQ280" s="7" t="s">
        <v>392</v>
      </c>
      <c r="AR280" s="7" t="s">
        <v>192</v>
      </c>
      <c r="AS280" s="7" t="s">
        <v>324</v>
      </c>
    </row>
    <row r="281" spans="1:45" x14ac:dyDescent="0.3">
      <c r="A281" s="6" t="s">
        <v>1166</v>
      </c>
      <c r="B281" s="6" t="s">
        <v>4328</v>
      </c>
      <c r="C281" s="6" t="s">
        <v>268</v>
      </c>
      <c r="D281" s="6"/>
      <c r="E281" s="6" t="s">
        <v>113</v>
      </c>
      <c r="F281" s="6" t="s">
        <v>367</v>
      </c>
      <c r="G281" s="6" t="s">
        <v>57</v>
      </c>
      <c r="H281" s="6" t="s">
        <v>4275</v>
      </c>
      <c r="I281" s="6" t="s">
        <v>4289</v>
      </c>
      <c r="J281" s="6" t="s">
        <v>111</v>
      </c>
      <c r="K281" s="6" t="s">
        <v>204</v>
      </c>
      <c r="L281" s="6" t="s">
        <v>1167</v>
      </c>
      <c r="M281" s="6" t="s">
        <v>3758</v>
      </c>
      <c r="N281" s="6" t="s">
        <v>4756</v>
      </c>
      <c r="O281" s="6" t="s">
        <v>4274</v>
      </c>
      <c r="P281" s="6">
        <v>31</v>
      </c>
      <c r="Q281" s="6">
        <v>47365406</v>
      </c>
      <c r="R281" s="6">
        <v>0.21</v>
      </c>
      <c r="S281" s="6">
        <v>0.13</v>
      </c>
      <c r="T281" s="6">
        <v>42283097.939999998</v>
      </c>
      <c r="U281" s="6">
        <v>34081202.219999999</v>
      </c>
      <c r="V281" s="6">
        <v>0.1</v>
      </c>
      <c r="W281" s="6">
        <v>0.06</v>
      </c>
      <c r="X281" s="6" t="s">
        <v>1168</v>
      </c>
      <c r="Y281" s="6">
        <v>17521516.199999999</v>
      </c>
      <c r="Z281" s="6">
        <v>14798606.85</v>
      </c>
      <c r="AA281" s="6">
        <v>30</v>
      </c>
      <c r="AB281" s="6">
        <v>117</v>
      </c>
      <c r="AC281" s="6" t="s">
        <v>342</v>
      </c>
      <c r="AD281" s="6" t="s">
        <v>226</v>
      </c>
      <c r="AE281" s="6">
        <v>0.5</v>
      </c>
      <c r="AF281" s="6" t="s">
        <v>159</v>
      </c>
      <c r="AG281" s="6">
        <v>0.05</v>
      </c>
      <c r="AH281" s="6">
        <v>0.05</v>
      </c>
      <c r="AI281" s="6">
        <v>15</v>
      </c>
      <c r="AJ281" s="6">
        <v>3751</v>
      </c>
      <c r="AK281" s="6">
        <v>10132086.449999999</v>
      </c>
      <c r="AL281" s="6">
        <v>13264368.57</v>
      </c>
      <c r="AM281" s="6" t="s">
        <v>355</v>
      </c>
      <c r="AN281" s="6" t="s">
        <v>356</v>
      </c>
      <c r="AO281" s="6">
        <v>58.7</v>
      </c>
      <c r="AP281" s="6">
        <v>24</v>
      </c>
      <c r="AQ281" s="6" t="s">
        <v>337</v>
      </c>
      <c r="AR281" s="6" t="s">
        <v>192</v>
      </c>
      <c r="AS281" s="6"/>
    </row>
    <row r="282" spans="1:45" x14ac:dyDescent="0.3">
      <c r="A282" s="7" t="s">
        <v>1169</v>
      </c>
      <c r="B282" s="7" t="s">
        <v>3580</v>
      </c>
      <c r="C282" s="7" t="s">
        <v>266</v>
      </c>
      <c r="D282" s="7" t="s">
        <v>250</v>
      </c>
      <c r="E282" s="7" t="s">
        <v>4270</v>
      </c>
      <c r="F282" s="7" t="s">
        <v>367</v>
      </c>
      <c r="G282" s="7" t="s">
        <v>70</v>
      </c>
      <c r="H282" s="7" t="s">
        <v>212</v>
      </c>
      <c r="I282" s="7" t="s">
        <v>4291</v>
      </c>
      <c r="J282" s="7" t="s">
        <v>127</v>
      </c>
      <c r="K282" s="7" t="s">
        <v>333</v>
      </c>
      <c r="L282" s="7" t="s">
        <v>1170</v>
      </c>
      <c r="M282" s="7" t="s">
        <v>3686</v>
      </c>
      <c r="N282" s="7"/>
      <c r="O282" s="7" t="s">
        <v>3759</v>
      </c>
      <c r="P282" s="7">
        <v>33</v>
      </c>
      <c r="Q282" s="7">
        <v>8714375</v>
      </c>
      <c r="R282" s="7">
        <v>0.31</v>
      </c>
      <c r="S282" s="7">
        <v>-0.04</v>
      </c>
      <c r="T282" s="7">
        <v>5772402</v>
      </c>
      <c r="U282" s="7">
        <v>4795320.16</v>
      </c>
      <c r="V282" s="7">
        <v>0.06</v>
      </c>
      <c r="W282" s="7">
        <v>0.14000000000000001</v>
      </c>
      <c r="X282" s="7" t="s">
        <v>1171</v>
      </c>
      <c r="Y282" s="7">
        <v>1912104.66</v>
      </c>
      <c r="Z282" s="7">
        <v>625504.56000000006</v>
      </c>
      <c r="AA282" s="7">
        <v>120</v>
      </c>
      <c r="AB282" s="7">
        <v>178</v>
      </c>
      <c r="AC282" s="7" t="s">
        <v>376</v>
      </c>
      <c r="AD282" s="7" t="s">
        <v>320</v>
      </c>
      <c r="AE282" s="7">
        <v>0.74</v>
      </c>
      <c r="AF282" s="7" t="s">
        <v>155</v>
      </c>
      <c r="AG282" s="7">
        <v>0.15</v>
      </c>
      <c r="AH282" s="7">
        <v>0.09</v>
      </c>
      <c r="AI282" s="7">
        <v>13</v>
      </c>
      <c r="AJ282" s="7">
        <v>3789</v>
      </c>
      <c r="AK282" s="7">
        <v>822021.1</v>
      </c>
      <c r="AL282" s="7">
        <v>923392.86</v>
      </c>
      <c r="AM282" s="7" t="s">
        <v>385</v>
      </c>
      <c r="AN282" s="7" t="s">
        <v>386</v>
      </c>
      <c r="AO282" s="7">
        <v>53.9</v>
      </c>
      <c r="AP282" s="7">
        <v>48</v>
      </c>
      <c r="AQ282" s="7" t="s">
        <v>392</v>
      </c>
      <c r="AR282" s="7" t="s">
        <v>224</v>
      </c>
      <c r="AS282" s="7" t="s">
        <v>361</v>
      </c>
    </row>
    <row r="283" spans="1:45" x14ac:dyDescent="0.3">
      <c r="A283" s="6" t="s">
        <v>1172</v>
      </c>
      <c r="B283" s="6" t="s">
        <v>3760</v>
      </c>
      <c r="C283" s="6" t="s">
        <v>270</v>
      </c>
      <c r="D283" s="6" t="s">
        <v>242</v>
      </c>
      <c r="E283" s="6" t="s">
        <v>4270</v>
      </c>
      <c r="F283" s="6" t="s">
        <v>181</v>
      </c>
      <c r="G283" s="6" t="s">
        <v>78</v>
      </c>
      <c r="H283" s="6" t="s">
        <v>197</v>
      </c>
      <c r="I283" s="6" t="s">
        <v>4289</v>
      </c>
      <c r="J283" s="6" t="s">
        <v>123</v>
      </c>
      <c r="K283" s="6" t="s">
        <v>223</v>
      </c>
      <c r="L283" s="6" t="s">
        <v>1173</v>
      </c>
      <c r="M283" s="6" t="s">
        <v>4757</v>
      </c>
      <c r="N283" s="6"/>
      <c r="O283" s="6" t="s">
        <v>4758</v>
      </c>
      <c r="P283" s="6">
        <v>15</v>
      </c>
      <c r="Q283" s="6">
        <v>2762211</v>
      </c>
      <c r="R283" s="6">
        <v>0.28000000000000003</v>
      </c>
      <c r="S283" s="6">
        <v>0.08</v>
      </c>
      <c r="T283" s="6">
        <v>2147895.27</v>
      </c>
      <c r="U283" s="6">
        <v>1821287.45</v>
      </c>
      <c r="V283" s="6">
        <v>0.11</v>
      </c>
      <c r="W283" s="6">
        <v>0.09</v>
      </c>
      <c r="X283" s="6" t="s">
        <v>1174</v>
      </c>
      <c r="Y283" s="6">
        <v>1351731.33</v>
      </c>
      <c r="Z283" s="6">
        <v>406227.3</v>
      </c>
      <c r="AA283" s="6">
        <v>45</v>
      </c>
      <c r="AB283" s="6">
        <v>175</v>
      </c>
      <c r="AC283" s="6" t="s">
        <v>347</v>
      </c>
      <c r="AD283" s="6" t="s">
        <v>381</v>
      </c>
      <c r="AE283" s="6">
        <v>0.64</v>
      </c>
      <c r="AF283" s="6" t="s">
        <v>4303</v>
      </c>
      <c r="AG283" s="6">
        <v>0.05</v>
      </c>
      <c r="AH283" s="6">
        <v>0.04</v>
      </c>
      <c r="AI283" s="6">
        <v>8</v>
      </c>
      <c r="AJ283" s="6">
        <v>1603</v>
      </c>
      <c r="AK283" s="6">
        <v>488322.09</v>
      </c>
      <c r="AL283" s="6">
        <v>303370.96999999997</v>
      </c>
      <c r="AM283" s="6"/>
      <c r="AN283" s="6" t="s">
        <v>322</v>
      </c>
      <c r="AO283" s="6">
        <v>87</v>
      </c>
      <c r="AP283" s="6">
        <v>36</v>
      </c>
      <c r="AQ283" s="6" t="s">
        <v>392</v>
      </c>
      <c r="AR283" s="6" t="s">
        <v>229</v>
      </c>
      <c r="AS283" s="6" t="s">
        <v>324</v>
      </c>
    </row>
    <row r="284" spans="1:45" x14ac:dyDescent="0.3">
      <c r="A284" s="7" t="s">
        <v>1175</v>
      </c>
      <c r="B284" s="7" t="s">
        <v>3761</v>
      </c>
      <c r="C284" s="7" t="s">
        <v>276</v>
      </c>
      <c r="D284" s="7"/>
      <c r="E284" s="7" t="s">
        <v>41</v>
      </c>
      <c r="F284" s="7" t="s">
        <v>228</v>
      </c>
      <c r="G284" s="7" t="s">
        <v>57</v>
      </c>
      <c r="H284" s="7" t="s">
        <v>263</v>
      </c>
      <c r="I284" s="7" t="s">
        <v>4291</v>
      </c>
      <c r="J284" s="6" t="s">
        <v>105</v>
      </c>
      <c r="K284" s="7" t="s">
        <v>223</v>
      </c>
      <c r="L284" s="7" t="s">
        <v>1176</v>
      </c>
      <c r="M284" s="7" t="s">
        <v>4759</v>
      </c>
      <c r="N284" s="7" t="s">
        <v>4454</v>
      </c>
      <c r="O284" s="7" t="s">
        <v>4274</v>
      </c>
      <c r="P284" s="7">
        <v>10</v>
      </c>
      <c r="Q284" s="7">
        <v>23241873</v>
      </c>
      <c r="R284" s="7">
        <v>0.14000000000000001</v>
      </c>
      <c r="S284" s="7">
        <v>0.19</v>
      </c>
      <c r="T284" s="7">
        <v>23785732.829999998</v>
      </c>
      <c r="U284" s="7">
        <v>20649825.129999999</v>
      </c>
      <c r="V284" s="7">
        <v>0.08</v>
      </c>
      <c r="W284" s="7">
        <v>0.17</v>
      </c>
      <c r="X284" s="7" t="s">
        <v>1177</v>
      </c>
      <c r="Y284" s="7">
        <v>4663873.4400000004</v>
      </c>
      <c r="Z284" s="7">
        <v>4929022.99</v>
      </c>
      <c r="AA284" s="7">
        <v>45</v>
      </c>
      <c r="AB284" s="7">
        <v>178</v>
      </c>
      <c r="AC284" s="7" t="s">
        <v>353</v>
      </c>
      <c r="AD284" s="7" t="s">
        <v>336</v>
      </c>
      <c r="AE284" s="7">
        <v>0.26</v>
      </c>
      <c r="AF284" s="7"/>
      <c r="AG284" s="7">
        <v>0.15</v>
      </c>
      <c r="AH284" s="7">
        <v>0.06</v>
      </c>
      <c r="AI284" s="7">
        <v>11</v>
      </c>
      <c r="AJ284" s="7">
        <v>4777</v>
      </c>
      <c r="AK284" s="7">
        <v>4816464.47</v>
      </c>
      <c r="AL284" s="7">
        <v>5843904.1699999999</v>
      </c>
      <c r="AM284" s="7"/>
      <c r="AN284" s="7" t="s">
        <v>330</v>
      </c>
      <c r="AO284" s="7">
        <v>58.2</v>
      </c>
      <c r="AP284" s="7">
        <v>12</v>
      </c>
      <c r="AQ284" s="7" t="s">
        <v>337</v>
      </c>
      <c r="AR284" s="7" t="s">
        <v>192</v>
      </c>
      <c r="AS284" s="7"/>
    </row>
    <row r="285" spans="1:45" x14ac:dyDescent="0.3">
      <c r="A285" s="6" t="s">
        <v>1178</v>
      </c>
      <c r="B285" s="6" t="s">
        <v>3762</v>
      </c>
      <c r="C285" s="6" t="s">
        <v>195</v>
      </c>
      <c r="D285" s="6" t="s">
        <v>238</v>
      </c>
      <c r="E285" s="6" t="s">
        <v>4306</v>
      </c>
      <c r="F285" s="6" t="s">
        <v>75</v>
      </c>
      <c r="G285" s="6"/>
      <c r="H285" s="6" t="s">
        <v>4271</v>
      </c>
      <c r="I285" s="6" t="s">
        <v>240</v>
      </c>
      <c r="J285" s="6" t="s">
        <v>133</v>
      </c>
      <c r="K285" s="6" t="s">
        <v>333</v>
      </c>
      <c r="L285" s="6" t="s">
        <v>1179</v>
      </c>
      <c r="M285" s="6" t="s">
        <v>4688</v>
      </c>
      <c r="N285" s="6" t="s">
        <v>3704</v>
      </c>
      <c r="O285" s="6" t="s">
        <v>4760</v>
      </c>
      <c r="P285" s="6">
        <v>18</v>
      </c>
      <c r="Q285" s="6">
        <v>49117830</v>
      </c>
      <c r="R285" s="6">
        <v>7.0000000000000007E-2</v>
      </c>
      <c r="S285" s="6">
        <v>0.1</v>
      </c>
      <c r="T285" s="6">
        <v>50247540.090000004</v>
      </c>
      <c r="U285" s="6">
        <v>38089390.390000001</v>
      </c>
      <c r="V285" s="6">
        <v>0.17</v>
      </c>
      <c r="W285" s="6">
        <v>7.0000000000000007E-2</v>
      </c>
      <c r="X285" s="6" t="s">
        <v>1180</v>
      </c>
      <c r="Y285" s="6">
        <v>11672375.880000001</v>
      </c>
      <c r="Z285" s="6">
        <v>7418810.0599999996</v>
      </c>
      <c r="AA285" s="6">
        <v>120</v>
      </c>
      <c r="AB285" s="6">
        <v>25</v>
      </c>
      <c r="AC285" s="6" t="s">
        <v>329</v>
      </c>
      <c r="AD285" s="6" t="s">
        <v>320</v>
      </c>
      <c r="AE285" s="6">
        <v>0.27</v>
      </c>
      <c r="AF285" s="6" t="s">
        <v>159</v>
      </c>
      <c r="AG285" s="6">
        <v>0.1</v>
      </c>
      <c r="AH285" s="6">
        <v>0.05</v>
      </c>
      <c r="AI285" s="6">
        <v>10</v>
      </c>
      <c r="AJ285" s="6">
        <v>4790</v>
      </c>
      <c r="AK285" s="6">
        <v>10161458.880000001</v>
      </c>
      <c r="AL285" s="6">
        <v>13912568.84</v>
      </c>
      <c r="AM285" s="6" t="s">
        <v>321</v>
      </c>
      <c r="AN285" s="6" t="s">
        <v>322</v>
      </c>
      <c r="AO285" s="6">
        <v>77.900000000000006</v>
      </c>
      <c r="AP285" s="6">
        <v>24</v>
      </c>
      <c r="AQ285" s="6" t="s">
        <v>4275</v>
      </c>
      <c r="AR285" s="6" t="s">
        <v>186</v>
      </c>
      <c r="AS285" s="6" t="s">
        <v>361</v>
      </c>
    </row>
    <row r="286" spans="1:45" x14ac:dyDescent="0.3">
      <c r="A286" s="7" t="s">
        <v>1181</v>
      </c>
      <c r="B286" s="7" t="s">
        <v>4761</v>
      </c>
      <c r="C286" s="7" t="s">
        <v>251</v>
      </c>
      <c r="D286" s="7" t="s">
        <v>232</v>
      </c>
      <c r="E286" s="7" t="s">
        <v>4265</v>
      </c>
      <c r="F286" s="7" t="s">
        <v>363</v>
      </c>
      <c r="G286" s="7" t="s">
        <v>50</v>
      </c>
      <c r="H286" s="7" t="s">
        <v>197</v>
      </c>
      <c r="I286" s="7" t="s">
        <v>198</v>
      </c>
      <c r="J286" s="6" t="s">
        <v>105</v>
      </c>
      <c r="K286" s="7" t="s">
        <v>210</v>
      </c>
      <c r="L286" s="7" t="s">
        <v>1182</v>
      </c>
      <c r="M286" s="7" t="s">
        <v>4429</v>
      </c>
      <c r="N286" s="7"/>
      <c r="O286" s="7" t="s">
        <v>4274</v>
      </c>
      <c r="P286" s="7">
        <v>5</v>
      </c>
      <c r="Q286" s="7">
        <v>39681568</v>
      </c>
      <c r="R286" s="7">
        <v>0.15</v>
      </c>
      <c r="S286" s="7">
        <v>0.04</v>
      </c>
      <c r="T286" s="7">
        <v>35078506.109999999</v>
      </c>
      <c r="U286" s="7">
        <v>27712909.239999998</v>
      </c>
      <c r="V286" s="7">
        <v>0.31</v>
      </c>
      <c r="W286" s="7">
        <v>0.15</v>
      </c>
      <c r="X286" s="7" t="s">
        <v>1183</v>
      </c>
      <c r="Y286" s="7">
        <v>27598878.800000001</v>
      </c>
      <c r="Z286" s="7">
        <v>25669337.120000001</v>
      </c>
      <c r="AA286" s="7">
        <v>120</v>
      </c>
      <c r="AB286" s="7">
        <v>74</v>
      </c>
      <c r="AC286" s="7"/>
      <c r="AD286" s="7" t="s">
        <v>336</v>
      </c>
      <c r="AE286" s="7">
        <v>0.22</v>
      </c>
      <c r="AF286" s="7" t="s">
        <v>159</v>
      </c>
      <c r="AG286" s="7">
        <v>0.05</v>
      </c>
      <c r="AH286" s="7">
        <v>0.04</v>
      </c>
      <c r="AI286" s="7">
        <v>3</v>
      </c>
      <c r="AJ286" s="7">
        <v>4029</v>
      </c>
      <c r="AK286" s="7">
        <v>8471877.1400000006</v>
      </c>
      <c r="AL286" s="7">
        <v>16650407.539999999</v>
      </c>
      <c r="AM286" s="7" t="s">
        <v>391</v>
      </c>
      <c r="AN286" s="7" t="s">
        <v>386</v>
      </c>
      <c r="AO286" s="7">
        <v>92.6</v>
      </c>
      <c r="AP286" s="7">
        <v>48</v>
      </c>
      <c r="AQ286" s="7" t="s">
        <v>387</v>
      </c>
      <c r="AR286" s="7" t="s">
        <v>186</v>
      </c>
      <c r="AS286" s="7" t="s">
        <v>357</v>
      </c>
    </row>
    <row r="287" spans="1:45" x14ac:dyDescent="0.3">
      <c r="A287" s="6" t="s">
        <v>1184</v>
      </c>
      <c r="B287" s="6" t="s">
        <v>3763</v>
      </c>
      <c r="C287" s="6" t="s">
        <v>273</v>
      </c>
      <c r="D287" s="6" t="s">
        <v>232</v>
      </c>
      <c r="E287" s="6" t="s">
        <v>4306</v>
      </c>
      <c r="F287" s="6"/>
      <c r="G287" s="6" t="s">
        <v>78</v>
      </c>
      <c r="H287" s="6" t="s">
        <v>263</v>
      </c>
      <c r="I287" s="6" t="s">
        <v>191</v>
      </c>
      <c r="J287" s="7" t="s">
        <v>133</v>
      </c>
      <c r="K287" s="6" t="s">
        <v>199</v>
      </c>
      <c r="L287" s="6" t="s">
        <v>1185</v>
      </c>
      <c r="M287" s="6" t="s">
        <v>3764</v>
      </c>
      <c r="N287" s="6"/>
      <c r="O287" s="6" t="s">
        <v>4590</v>
      </c>
      <c r="P287" s="6">
        <v>52</v>
      </c>
      <c r="Q287" s="6">
        <v>49776569</v>
      </c>
      <c r="R287" s="6">
        <v>0.25</v>
      </c>
      <c r="S287" s="6">
        <v>0.18</v>
      </c>
      <c r="T287" s="6">
        <v>44052263.560000002</v>
      </c>
      <c r="U287" s="6">
        <v>33286083.739999998</v>
      </c>
      <c r="V287" s="6">
        <v>0.21</v>
      </c>
      <c r="W287" s="6">
        <v>0.17</v>
      </c>
      <c r="X287" s="6" t="s">
        <v>1186</v>
      </c>
      <c r="Y287" s="6">
        <v>12983359.529999999</v>
      </c>
      <c r="Z287" s="6" t="s">
        <v>4357</v>
      </c>
      <c r="AA287" s="6">
        <v>30</v>
      </c>
      <c r="AB287" s="6">
        <v>135</v>
      </c>
      <c r="AC287" s="6" t="s">
        <v>376</v>
      </c>
      <c r="AD287" s="6" t="s">
        <v>381</v>
      </c>
      <c r="AE287" s="6">
        <v>0.26</v>
      </c>
      <c r="AF287" s="6" t="s">
        <v>162</v>
      </c>
      <c r="AG287" s="6">
        <v>0.05</v>
      </c>
      <c r="AH287" s="6">
        <v>7.0000000000000007E-2</v>
      </c>
      <c r="AI287" s="6">
        <v>3</v>
      </c>
      <c r="AJ287" s="6">
        <v>3973</v>
      </c>
      <c r="AK287" s="6">
        <v>2449025.4700000002</v>
      </c>
      <c r="AL287" s="6">
        <v>4981320.29</v>
      </c>
      <c r="AM287" s="6" t="s">
        <v>73</v>
      </c>
      <c r="AN287" s="6" t="s">
        <v>386</v>
      </c>
      <c r="AO287" s="6">
        <v>66</v>
      </c>
      <c r="AP287" s="6">
        <v>12</v>
      </c>
      <c r="AQ287" s="6"/>
      <c r="AR287" s="6" t="s">
        <v>206</v>
      </c>
      <c r="AS287" s="6" t="s">
        <v>377</v>
      </c>
    </row>
    <row r="288" spans="1:45" x14ac:dyDescent="0.3">
      <c r="A288" s="7" t="s">
        <v>1187</v>
      </c>
      <c r="B288" s="7" t="s">
        <v>3765</v>
      </c>
      <c r="C288" s="7" t="s">
        <v>227</v>
      </c>
      <c r="D288" s="7" t="s">
        <v>215</v>
      </c>
      <c r="E288" s="7" t="s">
        <v>4270</v>
      </c>
      <c r="F288" s="7" t="s">
        <v>181</v>
      </c>
      <c r="G288" s="7" t="s">
        <v>70</v>
      </c>
      <c r="H288" s="7"/>
      <c r="I288" s="7" t="s">
        <v>183</v>
      </c>
      <c r="J288" s="7" t="s">
        <v>111</v>
      </c>
      <c r="K288" s="7" t="s">
        <v>204</v>
      </c>
      <c r="L288" s="7" t="s">
        <v>1188</v>
      </c>
      <c r="M288" s="7" t="s">
        <v>3766</v>
      </c>
      <c r="N288" s="7" t="s">
        <v>3767</v>
      </c>
      <c r="O288" s="7" t="s">
        <v>3313</v>
      </c>
      <c r="P288" s="7">
        <v>13</v>
      </c>
      <c r="Q288" s="7">
        <v>49159691</v>
      </c>
      <c r="R288" s="7">
        <v>0.04</v>
      </c>
      <c r="S288" s="7">
        <v>-0.04</v>
      </c>
      <c r="T288" s="7">
        <v>45305571.229999997</v>
      </c>
      <c r="U288" s="7">
        <v>32126528.91</v>
      </c>
      <c r="V288" s="7">
        <v>0.33</v>
      </c>
      <c r="W288" s="7">
        <v>0.18</v>
      </c>
      <c r="X288" s="7" t="s">
        <v>1189</v>
      </c>
      <c r="Y288" s="7">
        <v>35731407.82</v>
      </c>
      <c r="Z288" s="7">
        <v>31251806.609999999</v>
      </c>
      <c r="AA288" s="7">
        <v>30</v>
      </c>
      <c r="AB288" s="7">
        <v>166</v>
      </c>
      <c r="AC288" s="7" t="s">
        <v>376</v>
      </c>
      <c r="AD288" s="7" t="s">
        <v>320</v>
      </c>
      <c r="AE288" s="7">
        <v>0.49</v>
      </c>
      <c r="AF288" s="7" t="s">
        <v>4312</v>
      </c>
      <c r="AG288" s="7">
        <v>0.05</v>
      </c>
      <c r="AH288" s="7">
        <v>0.05</v>
      </c>
      <c r="AI288" s="7">
        <v>6</v>
      </c>
      <c r="AJ288" s="7">
        <v>3803</v>
      </c>
      <c r="AK288" s="7">
        <v>10102075.859999999</v>
      </c>
      <c r="AL288" s="7">
        <v>19177700.280000001</v>
      </c>
      <c r="AM288" s="7" t="s">
        <v>391</v>
      </c>
      <c r="AN288" s="7" t="s">
        <v>348</v>
      </c>
      <c r="AO288" s="7">
        <v>77.8</v>
      </c>
      <c r="AP288" s="7">
        <v>12</v>
      </c>
      <c r="AQ288" s="7" t="s">
        <v>4275</v>
      </c>
      <c r="AR288" s="7" t="s">
        <v>192</v>
      </c>
      <c r="AS288" s="7"/>
    </row>
    <row r="289" spans="1:45" x14ac:dyDescent="0.3">
      <c r="A289" s="6" t="s">
        <v>1190</v>
      </c>
      <c r="B289" s="6" t="s">
        <v>3768</v>
      </c>
      <c r="C289" s="6" t="s">
        <v>219</v>
      </c>
      <c r="D289" s="6" t="s">
        <v>215</v>
      </c>
      <c r="E289" s="6" t="s">
        <v>4325</v>
      </c>
      <c r="F289" s="6" t="s">
        <v>19</v>
      </c>
      <c r="G289" s="6" t="s">
        <v>54</v>
      </c>
      <c r="H289" s="6" t="s">
        <v>4275</v>
      </c>
      <c r="I289" s="6" t="s">
        <v>4291</v>
      </c>
      <c r="J289" s="6" t="s">
        <v>115</v>
      </c>
      <c r="K289" s="6" t="s">
        <v>210</v>
      </c>
      <c r="L289" s="6" t="s">
        <v>1191</v>
      </c>
      <c r="M289" s="6" t="s">
        <v>4762</v>
      </c>
      <c r="N289" s="6" t="s">
        <v>4763</v>
      </c>
      <c r="O289" s="6" t="s">
        <v>4764</v>
      </c>
      <c r="P289" s="6">
        <v>19</v>
      </c>
      <c r="Q289" s="6">
        <v>30186033</v>
      </c>
      <c r="R289" s="6">
        <v>0.22</v>
      </c>
      <c r="S289" s="6">
        <v>0.16</v>
      </c>
      <c r="T289" s="6">
        <v>27312322.66</v>
      </c>
      <c r="U289" s="6">
        <v>20393664.190000001</v>
      </c>
      <c r="V289" s="6">
        <v>0.28999999999999998</v>
      </c>
      <c r="W289" s="6">
        <v>0.12</v>
      </c>
      <c r="X289" s="6"/>
      <c r="Y289" s="6">
        <v>14883192.6</v>
      </c>
      <c r="Z289" s="6">
        <v>4496963.57</v>
      </c>
      <c r="AA289" s="6">
        <v>120</v>
      </c>
      <c r="AB289" s="6">
        <v>45</v>
      </c>
      <c r="AC289" s="6" t="s">
        <v>329</v>
      </c>
      <c r="AD289" s="6" t="s">
        <v>381</v>
      </c>
      <c r="AE289" s="6">
        <v>0.46</v>
      </c>
      <c r="AF289" s="6" t="s">
        <v>4294</v>
      </c>
      <c r="AG289" s="6">
        <v>0.05</v>
      </c>
      <c r="AH289" s="6">
        <v>0.01</v>
      </c>
      <c r="AI289" s="6">
        <v>7</v>
      </c>
      <c r="AJ289" s="6">
        <v>3059</v>
      </c>
      <c r="AK289" s="6">
        <v>2791149.54</v>
      </c>
      <c r="AL289" s="6">
        <v>8575955.3499999996</v>
      </c>
      <c r="AM289" s="6" t="s">
        <v>343</v>
      </c>
      <c r="AN289" s="6" t="s">
        <v>348</v>
      </c>
      <c r="AO289" s="6">
        <v>78.400000000000006</v>
      </c>
      <c r="AP289" s="6">
        <v>12</v>
      </c>
      <c r="AQ289" s="6" t="s">
        <v>337</v>
      </c>
      <c r="AR289" s="6" t="s">
        <v>192</v>
      </c>
      <c r="AS289" s="6" t="s">
        <v>357</v>
      </c>
    </row>
    <row r="290" spans="1:45" x14ac:dyDescent="0.3">
      <c r="A290" s="7" t="s">
        <v>1192</v>
      </c>
      <c r="B290" s="7" t="s">
        <v>4765</v>
      </c>
      <c r="C290" s="7" t="s">
        <v>261</v>
      </c>
      <c r="D290" s="7" t="s">
        <v>220</v>
      </c>
      <c r="E290" s="7" t="s">
        <v>36</v>
      </c>
      <c r="F290" s="7" t="s">
        <v>339</v>
      </c>
      <c r="G290" s="7" t="s">
        <v>66</v>
      </c>
      <c r="H290" s="7" t="s">
        <v>4271</v>
      </c>
      <c r="I290" s="7" t="s">
        <v>191</v>
      </c>
      <c r="J290" s="7" t="s">
        <v>115</v>
      </c>
      <c r="K290" s="7" t="s">
        <v>184</v>
      </c>
      <c r="L290" s="7" t="s">
        <v>1193</v>
      </c>
      <c r="M290" s="7" t="s">
        <v>3771</v>
      </c>
      <c r="N290" s="7" t="s">
        <v>4766</v>
      </c>
      <c r="O290" s="7" t="s">
        <v>3772</v>
      </c>
      <c r="P290" s="7">
        <v>10</v>
      </c>
      <c r="Q290" s="7">
        <v>38630958</v>
      </c>
      <c r="R290" s="7">
        <v>0.3</v>
      </c>
      <c r="S290" s="7">
        <v>0.09</v>
      </c>
      <c r="T290" s="7">
        <v>29475420.949999999</v>
      </c>
      <c r="U290" s="7">
        <v>18113381.260000002</v>
      </c>
      <c r="V290" s="7">
        <v>0.1</v>
      </c>
      <c r="W290" s="7">
        <v>0.08</v>
      </c>
      <c r="X290" s="7" t="s">
        <v>1194</v>
      </c>
      <c r="Y290" s="7">
        <v>4216715.79</v>
      </c>
      <c r="Z290" s="7">
        <v>1489035.14</v>
      </c>
      <c r="AA290" s="7">
        <v>45</v>
      </c>
      <c r="AB290" s="7">
        <v>54</v>
      </c>
      <c r="AC290" s="7" t="s">
        <v>347</v>
      </c>
      <c r="AD290" s="7" t="s">
        <v>455</v>
      </c>
      <c r="AE290" s="7">
        <v>0.87</v>
      </c>
      <c r="AF290" s="7"/>
      <c r="AG290" s="7">
        <v>0.15</v>
      </c>
      <c r="AH290" s="7">
        <v>0.09</v>
      </c>
      <c r="AI290" s="7">
        <v>2</v>
      </c>
      <c r="AJ290" s="7">
        <v>1153</v>
      </c>
      <c r="AK290" s="7"/>
      <c r="AL290" s="7">
        <v>11743256.18</v>
      </c>
      <c r="AM290" s="7" t="s">
        <v>391</v>
      </c>
      <c r="AN290" s="7" t="s">
        <v>321</v>
      </c>
      <c r="AO290" s="7">
        <v>96.2</v>
      </c>
      <c r="AP290" s="7" t="s">
        <v>4275</v>
      </c>
      <c r="AQ290" s="7" t="s">
        <v>392</v>
      </c>
      <c r="AR290" s="7" t="s">
        <v>206</v>
      </c>
      <c r="AS290" s="7" t="s">
        <v>357</v>
      </c>
    </row>
    <row r="291" spans="1:45" x14ac:dyDescent="0.3">
      <c r="A291" s="6" t="s">
        <v>1195</v>
      </c>
      <c r="B291" s="6" t="s">
        <v>4767</v>
      </c>
      <c r="C291" s="6" t="s">
        <v>276</v>
      </c>
      <c r="D291" s="6" t="s">
        <v>242</v>
      </c>
      <c r="E291" s="6" t="s">
        <v>20</v>
      </c>
      <c r="F291" s="6" t="s">
        <v>196</v>
      </c>
      <c r="G291" s="6" t="s">
        <v>33</v>
      </c>
      <c r="H291" s="6" t="s">
        <v>4280</v>
      </c>
      <c r="I291" s="6" t="s">
        <v>233</v>
      </c>
      <c r="J291" s="6" t="s">
        <v>136</v>
      </c>
      <c r="K291" s="6" t="s">
        <v>199</v>
      </c>
      <c r="L291" s="6" t="s">
        <v>1196</v>
      </c>
      <c r="M291" s="6" t="s">
        <v>3408</v>
      </c>
      <c r="N291" s="6"/>
      <c r="O291" s="6" t="s">
        <v>4274</v>
      </c>
      <c r="P291" s="6">
        <v>28</v>
      </c>
      <c r="Q291" s="6">
        <v>2341937</v>
      </c>
      <c r="R291" s="6">
        <v>0.16</v>
      </c>
      <c r="S291" s="6">
        <v>0.13</v>
      </c>
      <c r="T291" s="6">
        <v>2222966.6</v>
      </c>
      <c r="U291" s="6">
        <v>1427552.17</v>
      </c>
      <c r="V291" s="6">
        <v>0.05</v>
      </c>
      <c r="W291" s="6">
        <v>0.15</v>
      </c>
      <c r="X291" s="6" t="s">
        <v>1197</v>
      </c>
      <c r="Y291" s="6">
        <v>1361478.17</v>
      </c>
      <c r="Z291" s="6">
        <v>1416515.28</v>
      </c>
      <c r="AA291" s="6">
        <v>90</v>
      </c>
      <c r="AB291" s="6">
        <v>64</v>
      </c>
      <c r="AC291" s="6"/>
      <c r="AD291" s="6" t="s">
        <v>320</v>
      </c>
      <c r="AE291" s="6">
        <v>0.24</v>
      </c>
      <c r="AF291" s="6" t="s">
        <v>4276</v>
      </c>
      <c r="AG291" s="6">
        <v>0.15</v>
      </c>
      <c r="AH291" s="6">
        <v>0.08</v>
      </c>
      <c r="AI291" s="6">
        <v>6</v>
      </c>
      <c r="AJ291" s="6">
        <v>1596</v>
      </c>
      <c r="AK291" s="6">
        <v>231960.46</v>
      </c>
      <c r="AL291" s="6">
        <v>863910.8</v>
      </c>
      <c r="AM291" s="6"/>
      <c r="AN291" s="6" t="s">
        <v>322</v>
      </c>
      <c r="AO291" s="6">
        <v>64.3</v>
      </c>
      <c r="AP291" s="6">
        <v>12</v>
      </c>
      <c r="AQ291" s="6" t="s">
        <v>392</v>
      </c>
      <c r="AR291" s="6" t="s">
        <v>186</v>
      </c>
      <c r="AS291" s="6" t="s">
        <v>188</v>
      </c>
    </row>
    <row r="292" spans="1:45" x14ac:dyDescent="0.3">
      <c r="A292" s="7" t="s">
        <v>1198</v>
      </c>
      <c r="B292" s="7" t="s">
        <v>4768</v>
      </c>
      <c r="C292" s="7" t="s">
        <v>283</v>
      </c>
      <c r="D292" s="7" t="s">
        <v>238</v>
      </c>
      <c r="E292" s="7" t="s">
        <v>4376</v>
      </c>
      <c r="F292" s="7" t="s">
        <v>35</v>
      </c>
      <c r="G292" s="7" t="s">
        <v>46</v>
      </c>
      <c r="H292" s="7" t="s">
        <v>4280</v>
      </c>
      <c r="I292" s="7" t="s">
        <v>240</v>
      </c>
      <c r="J292" s="7" t="s">
        <v>136</v>
      </c>
      <c r="K292" s="7" t="s">
        <v>223</v>
      </c>
      <c r="L292" s="7" t="s">
        <v>1199</v>
      </c>
      <c r="M292" s="7" t="s">
        <v>3773</v>
      </c>
      <c r="N292" s="7" t="s">
        <v>3774</v>
      </c>
      <c r="O292" s="7" t="s">
        <v>4755</v>
      </c>
      <c r="P292" s="7">
        <v>49</v>
      </c>
      <c r="Q292" s="7">
        <v>46811171</v>
      </c>
      <c r="R292" s="7">
        <v>0.21</v>
      </c>
      <c r="S292" s="7">
        <v>0.16</v>
      </c>
      <c r="T292" s="7">
        <v>42897757.100000001</v>
      </c>
      <c r="U292" s="7">
        <v>31288189.84</v>
      </c>
      <c r="V292" s="7">
        <v>0.06</v>
      </c>
      <c r="W292" s="7">
        <v>0.08</v>
      </c>
      <c r="X292" s="7" t="s">
        <v>1200</v>
      </c>
      <c r="Y292" s="7">
        <v>30453484.030000001</v>
      </c>
      <c r="Z292" s="7">
        <v>14711791.609999999</v>
      </c>
      <c r="AA292" s="7">
        <v>90</v>
      </c>
      <c r="AB292" s="7">
        <v>31</v>
      </c>
      <c r="AC292" s="7" t="s">
        <v>347</v>
      </c>
      <c r="AD292" s="7" t="s">
        <v>354</v>
      </c>
      <c r="AE292" s="7">
        <v>0.18</v>
      </c>
      <c r="AF292" s="7" t="s">
        <v>159</v>
      </c>
      <c r="AG292" s="7">
        <v>0.05</v>
      </c>
      <c r="AH292" s="7">
        <v>0.05</v>
      </c>
      <c r="AI292" s="7">
        <v>11</v>
      </c>
      <c r="AJ292" s="7">
        <v>1309</v>
      </c>
      <c r="AK292" s="7">
        <v>7611057.3200000003</v>
      </c>
      <c r="AL292" s="7">
        <v>8096298.0199999996</v>
      </c>
      <c r="AM292" s="7" t="s">
        <v>355</v>
      </c>
      <c r="AN292" s="7" t="s">
        <v>322</v>
      </c>
      <c r="AO292" s="7">
        <v>76.599999999999994</v>
      </c>
      <c r="AP292" s="7">
        <v>36</v>
      </c>
      <c r="AQ292" s="7" t="s">
        <v>323</v>
      </c>
      <c r="AR292" s="7" t="s">
        <v>229</v>
      </c>
      <c r="AS292" s="7" t="s">
        <v>324</v>
      </c>
    </row>
    <row r="293" spans="1:45" x14ac:dyDescent="0.3">
      <c r="A293" s="6" t="s">
        <v>1201</v>
      </c>
      <c r="B293" s="6" t="s">
        <v>3357</v>
      </c>
      <c r="C293" s="6" t="s">
        <v>179</v>
      </c>
      <c r="D293" s="6" t="s">
        <v>248</v>
      </c>
      <c r="E293" s="6"/>
      <c r="F293" s="6" t="s">
        <v>339</v>
      </c>
      <c r="G293" s="6" t="s">
        <v>33</v>
      </c>
      <c r="H293" s="6" t="s">
        <v>212</v>
      </c>
      <c r="I293" s="6" t="s">
        <v>246</v>
      </c>
      <c r="J293" s="6" t="s">
        <v>130</v>
      </c>
      <c r="K293" s="6" t="s">
        <v>184</v>
      </c>
      <c r="L293" s="6" t="s">
        <v>1202</v>
      </c>
      <c r="M293" s="6" t="s">
        <v>4328</v>
      </c>
      <c r="N293" s="6" t="s">
        <v>3775</v>
      </c>
      <c r="O293" s="6" t="s">
        <v>4769</v>
      </c>
      <c r="P293" s="6">
        <v>51</v>
      </c>
      <c r="Q293" s="6">
        <v>43138847</v>
      </c>
      <c r="R293" s="6">
        <v>0.16</v>
      </c>
      <c r="S293" s="6">
        <v>0.06</v>
      </c>
      <c r="T293" s="6">
        <v>38410829.369999997</v>
      </c>
      <c r="U293" s="6">
        <v>28681184.289999999</v>
      </c>
      <c r="V293" s="6">
        <v>0.06</v>
      </c>
      <c r="W293" s="6">
        <v>0.05</v>
      </c>
      <c r="X293" s="6" t="s">
        <v>1203</v>
      </c>
      <c r="Y293" s="6">
        <v>27610227.84</v>
      </c>
      <c r="Z293" s="6">
        <v>22041938.670000002</v>
      </c>
      <c r="AA293" s="6">
        <v>60</v>
      </c>
      <c r="AB293" s="6">
        <v>114</v>
      </c>
      <c r="AC293" s="6" t="s">
        <v>342</v>
      </c>
      <c r="AD293" s="6" t="s">
        <v>406</v>
      </c>
      <c r="AE293" s="6">
        <v>0.6</v>
      </c>
      <c r="AF293" s="6" t="s">
        <v>152</v>
      </c>
      <c r="AG293" s="6">
        <v>0.1</v>
      </c>
      <c r="AH293" s="6">
        <v>0.04</v>
      </c>
      <c r="AI293" s="6">
        <v>13</v>
      </c>
      <c r="AJ293" s="6">
        <v>896</v>
      </c>
      <c r="AK293" s="6">
        <v>6990381.75</v>
      </c>
      <c r="AL293" s="6">
        <v>6844590.8799999999</v>
      </c>
      <c r="AM293" s="6" t="s">
        <v>343</v>
      </c>
      <c r="AN293" s="6" t="s">
        <v>321</v>
      </c>
      <c r="AO293" s="6">
        <v>83.5</v>
      </c>
      <c r="AP293" s="6" t="s">
        <v>4275</v>
      </c>
      <c r="AQ293" s="6" t="s">
        <v>387</v>
      </c>
      <c r="AR293" s="6" t="s">
        <v>192</v>
      </c>
      <c r="AS293" s="6" t="s">
        <v>188</v>
      </c>
    </row>
    <row r="294" spans="1:45" x14ac:dyDescent="0.3">
      <c r="A294" s="7" t="s">
        <v>1204</v>
      </c>
      <c r="B294" s="7" t="s">
        <v>4364</v>
      </c>
      <c r="C294" s="7" t="s">
        <v>264</v>
      </c>
      <c r="D294" s="7" t="s">
        <v>180</v>
      </c>
      <c r="E294" s="7" t="s">
        <v>20</v>
      </c>
      <c r="F294" s="7" t="s">
        <v>31</v>
      </c>
      <c r="G294" s="7" t="s">
        <v>78</v>
      </c>
      <c r="H294" s="7" t="s">
        <v>4266</v>
      </c>
      <c r="I294" s="7" t="s">
        <v>4372</v>
      </c>
      <c r="J294" s="7" t="s">
        <v>136</v>
      </c>
      <c r="K294" s="7" t="s">
        <v>221</v>
      </c>
      <c r="L294" s="7" t="s">
        <v>1205</v>
      </c>
      <c r="M294" s="7" t="s">
        <v>3776</v>
      </c>
      <c r="N294" s="7"/>
      <c r="O294" s="7" t="s">
        <v>4770</v>
      </c>
      <c r="P294" s="7">
        <v>59</v>
      </c>
      <c r="Q294" s="7">
        <v>19508918</v>
      </c>
      <c r="R294" s="7">
        <v>0.13</v>
      </c>
      <c r="S294" s="7">
        <v>0.08</v>
      </c>
      <c r="T294" s="7">
        <v>18330579.350000001</v>
      </c>
      <c r="U294" s="7">
        <v>15525229.4</v>
      </c>
      <c r="V294" s="7">
        <v>0.25</v>
      </c>
      <c r="W294" s="7">
        <v>0.13</v>
      </c>
      <c r="X294" s="7" t="s">
        <v>1206</v>
      </c>
      <c r="Y294" s="7">
        <v>5209837.0199999996</v>
      </c>
      <c r="Z294" s="7" t="s">
        <v>4357</v>
      </c>
      <c r="AA294" s="7">
        <v>90</v>
      </c>
      <c r="AB294" s="7">
        <v>45</v>
      </c>
      <c r="AC294" s="7" t="s">
        <v>347</v>
      </c>
      <c r="AD294" s="7" t="s">
        <v>381</v>
      </c>
      <c r="AE294" s="7">
        <v>0.16</v>
      </c>
      <c r="AF294" s="7" t="s">
        <v>4276</v>
      </c>
      <c r="AG294" s="7">
        <v>0.05</v>
      </c>
      <c r="AH294" s="7">
        <v>0.01</v>
      </c>
      <c r="AI294" s="7">
        <v>13</v>
      </c>
      <c r="AJ294" s="7">
        <v>3311</v>
      </c>
      <c r="AK294" s="7">
        <v>788919.72</v>
      </c>
      <c r="AL294" s="7">
        <v>6429176.8099999996</v>
      </c>
      <c r="AM294" s="7" t="s">
        <v>321</v>
      </c>
      <c r="AN294" s="7"/>
      <c r="AO294" s="7">
        <v>92.7</v>
      </c>
      <c r="AP294" s="7" t="s">
        <v>4275</v>
      </c>
      <c r="AQ294" s="7" t="s">
        <v>387</v>
      </c>
      <c r="AR294" s="7" t="s">
        <v>229</v>
      </c>
      <c r="AS294" s="7" t="s">
        <v>324</v>
      </c>
    </row>
    <row r="295" spans="1:45" x14ac:dyDescent="0.3">
      <c r="A295" s="6" t="s">
        <v>1207</v>
      </c>
      <c r="B295" s="6" t="s">
        <v>3606</v>
      </c>
      <c r="C295" s="6" t="s">
        <v>273</v>
      </c>
      <c r="D295" s="6" t="s">
        <v>180</v>
      </c>
      <c r="E295" s="6" t="s">
        <v>36</v>
      </c>
      <c r="F295" s="6" t="s">
        <v>339</v>
      </c>
      <c r="G295" s="6"/>
      <c r="H295" s="6" t="s">
        <v>216</v>
      </c>
      <c r="I295" s="6" t="s">
        <v>4372</v>
      </c>
      <c r="J295" s="6" t="s">
        <v>115</v>
      </c>
      <c r="K295" s="6" t="s">
        <v>333</v>
      </c>
      <c r="L295" s="6" t="s">
        <v>1208</v>
      </c>
      <c r="M295" s="6" t="s">
        <v>4771</v>
      </c>
      <c r="N295" s="6" t="s">
        <v>3664</v>
      </c>
      <c r="O295" s="6" t="s">
        <v>4274</v>
      </c>
      <c r="P295" s="6">
        <v>46</v>
      </c>
      <c r="Q295" s="6">
        <v>17132682</v>
      </c>
      <c r="R295" s="6">
        <v>0.02</v>
      </c>
      <c r="S295" s="6">
        <v>0.14000000000000001</v>
      </c>
      <c r="T295" s="6">
        <v>19140632.329999998</v>
      </c>
      <c r="U295" s="6">
        <v>13864954.960000001</v>
      </c>
      <c r="V295" s="6">
        <v>0.31</v>
      </c>
      <c r="W295" s="6">
        <v>7.0000000000000007E-2</v>
      </c>
      <c r="X295" s="6" t="s">
        <v>1209</v>
      </c>
      <c r="Y295" s="6">
        <v>5230944.62</v>
      </c>
      <c r="Z295" s="6">
        <v>2556684.7400000002</v>
      </c>
      <c r="AA295" s="6">
        <v>120</v>
      </c>
      <c r="AB295" s="6">
        <v>18</v>
      </c>
      <c r="AC295" s="6"/>
      <c r="AD295" s="6" t="s">
        <v>320</v>
      </c>
      <c r="AE295" s="6">
        <v>0.82</v>
      </c>
      <c r="AF295" s="6"/>
      <c r="AG295" s="6">
        <v>0.15</v>
      </c>
      <c r="AH295" s="6">
        <v>0.08</v>
      </c>
      <c r="AI295" s="6">
        <v>8</v>
      </c>
      <c r="AJ295" s="6">
        <v>4687</v>
      </c>
      <c r="AK295" s="6">
        <v>1409874.91</v>
      </c>
      <c r="AL295" s="6">
        <v>4381823.16</v>
      </c>
      <c r="AM295" s="6" t="s">
        <v>321</v>
      </c>
      <c r="AN295" s="6" t="s">
        <v>330</v>
      </c>
      <c r="AO295" s="6">
        <v>57.4</v>
      </c>
      <c r="AP295" s="6">
        <v>60</v>
      </c>
      <c r="AQ295" s="6" t="s">
        <v>4275</v>
      </c>
      <c r="AR295" s="6" t="s">
        <v>229</v>
      </c>
      <c r="AS295" s="6" t="s">
        <v>324</v>
      </c>
    </row>
    <row r="296" spans="1:45" x14ac:dyDescent="0.3">
      <c r="A296" s="7" t="s">
        <v>1210</v>
      </c>
      <c r="B296" s="7" t="s">
        <v>4772</v>
      </c>
      <c r="C296" s="7" t="s">
        <v>214</v>
      </c>
      <c r="D296" s="7" t="s">
        <v>180</v>
      </c>
      <c r="E296" s="7" t="s">
        <v>20</v>
      </c>
      <c r="F296" s="7" t="s">
        <v>35</v>
      </c>
      <c r="G296" s="7" t="s">
        <v>16</v>
      </c>
      <c r="H296" s="7" t="s">
        <v>212</v>
      </c>
      <c r="I296" s="7" t="s">
        <v>191</v>
      </c>
      <c r="J296" s="7" t="s">
        <v>136</v>
      </c>
      <c r="K296" s="7" t="s">
        <v>223</v>
      </c>
      <c r="L296" s="7" t="s">
        <v>1211</v>
      </c>
      <c r="M296" s="7" t="s">
        <v>4773</v>
      </c>
      <c r="N296" s="7" t="s">
        <v>3777</v>
      </c>
      <c r="O296" s="7" t="s">
        <v>4274</v>
      </c>
      <c r="P296" s="7">
        <v>4</v>
      </c>
      <c r="Q296" s="7">
        <v>1183848</v>
      </c>
      <c r="R296" s="7">
        <v>0.03</v>
      </c>
      <c r="S296" s="7">
        <v>0.16</v>
      </c>
      <c r="T296" s="7">
        <v>1332065.77</v>
      </c>
      <c r="U296" s="7">
        <v>1014035.79</v>
      </c>
      <c r="V296" s="7">
        <v>0.39</v>
      </c>
      <c r="W296" s="7">
        <v>0.19</v>
      </c>
      <c r="X296" s="7" t="s">
        <v>1212</v>
      </c>
      <c r="Y296" s="7">
        <v>365647.61</v>
      </c>
      <c r="Z296" s="7">
        <v>368112.07</v>
      </c>
      <c r="AA296" s="7">
        <v>45</v>
      </c>
      <c r="AB296" s="7">
        <v>7</v>
      </c>
      <c r="AC296" s="7" t="s">
        <v>376</v>
      </c>
      <c r="AD296" s="7" t="s">
        <v>406</v>
      </c>
      <c r="AE296" s="7">
        <v>0.25</v>
      </c>
      <c r="AF296" s="7" t="s">
        <v>4361</v>
      </c>
      <c r="AG296" s="7">
        <v>0.05</v>
      </c>
      <c r="AH296" s="7">
        <v>0.06</v>
      </c>
      <c r="AI296" s="7">
        <v>5</v>
      </c>
      <c r="AJ296" s="7">
        <v>2501</v>
      </c>
      <c r="AK296" s="7">
        <v>75880.800000000003</v>
      </c>
      <c r="AL296" s="7">
        <v>637688.18999999994</v>
      </c>
      <c r="AM296" s="7" t="s">
        <v>391</v>
      </c>
      <c r="AN296" s="7" t="s">
        <v>348</v>
      </c>
      <c r="AO296" s="7"/>
      <c r="AP296" s="7">
        <v>60</v>
      </c>
      <c r="AQ296" s="7" t="s">
        <v>4275</v>
      </c>
      <c r="AR296" s="7" t="s">
        <v>229</v>
      </c>
      <c r="AS296" s="7" t="s">
        <v>377</v>
      </c>
    </row>
    <row r="297" spans="1:45" x14ac:dyDescent="0.3">
      <c r="A297" s="6" t="s">
        <v>1213</v>
      </c>
      <c r="B297" s="6" t="s">
        <v>3778</v>
      </c>
      <c r="C297" s="6" t="s">
        <v>225</v>
      </c>
      <c r="D297" s="6" t="s">
        <v>238</v>
      </c>
      <c r="E297" s="6"/>
      <c r="F297" s="6" t="s">
        <v>19</v>
      </c>
      <c r="G297" s="6" t="s">
        <v>62</v>
      </c>
      <c r="H297" s="6" t="s">
        <v>263</v>
      </c>
      <c r="I297" s="6" t="s">
        <v>240</v>
      </c>
      <c r="J297" s="6" t="s">
        <v>130</v>
      </c>
      <c r="K297" s="6" t="s">
        <v>326</v>
      </c>
      <c r="L297" s="6" t="s">
        <v>1214</v>
      </c>
      <c r="M297" s="6" t="s">
        <v>3779</v>
      </c>
      <c r="N297" s="6" t="s">
        <v>3780</v>
      </c>
      <c r="O297" s="6" t="s">
        <v>4774</v>
      </c>
      <c r="P297" s="6">
        <v>6</v>
      </c>
      <c r="Q297" s="6">
        <v>36378372</v>
      </c>
      <c r="R297" s="6">
        <v>7.0000000000000007E-2</v>
      </c>
      <c r="S297" s="6">
        <v>0.15</v>
      </c>
      <c r="T297" s="6">
        <v>38906668.850000001</v>
      </c>
      <c r="U297" s="6">
        <v>30216961.780000001</v>
      </c>
      <c r="V297" s="6">
        <v>0.09</v>
      </c>
      <c r="W297" s="6">
        <v>0.19</v>
      </c>
      <c r="X297" s="6" t="s">
        <v>1215</v>
      </c>
      <c r="Y297" s="6">
        <v>10527194.380000001</v>
      </c>
      <c r="Z297" s="6">
        <v>3552484.51</v>
      </c>
      <c r="AA297" s="6">
        <v>90</v>
      </c>
      <c r="AB297" s="6">
        <v>82</v>
      </c>
      <c r="AC297" s="6" t="s">
        <v>329</v>
      </c>
      <c r="AD297" s="6" t="s">
        <v>320</v>
      </c>
      <c r="AE297" s="6">
        <v>0.49</v>
      </c>
      <c r="AF297" s="6" t="s">
        <v>4312</v>
      </c>
      <c r="AG297" s="6">
        <v>0.05</v>
      </c>
      <c r="AH297" s="6">
        <v>0.08</v>
      </c>
      <c r="AI297" s="6">
        <v>5</v>
      </c>
      <c r="AJ297" s="6">
        <v>4530</v>
      </c>
      <c r="AK297" s="6">
        <v>2362285.9300000002</v>
      </c>
      <c r="AL297" s="6">
        <v>17800000.370000001</v>
      </c>
      <c r="AM297" s="6" t="s">
        <v>321</v>
      </c>
      <c r="AN297" s="6" t="s">
        <v>321</v>
      </c>
      <c r="AO297" s="6">
        <v>71.2</v>
      </c>
      <c r="AP297" s="6">
        <v>60</v>
      </c>
      <c r="AQ297" s="6" t="s">
        <v>337</v>
      </c>
      <c r="AR297" s="6" t="s">
        <v>229</v>
      </c>
      <c r="AS297" s="6"/>
    </row>
    <row r="298" spans="1:45" x14ac:dyDescent="0.3">
      <c r="A298" s="7" t="s">
        <v>1216</v>
      </c>
      <c r="B298" s="7" t="s">
        <v>3648</v>
      </c>
      <c r="C298" s="7" t="s">
        <v>269</v>
      </c>
      <c r="D298" s="7"/>
      <c r="E298" s="7" t="s">
        <v>4265</v>
      </c>
      <c r="F298" s="7" t="s">
        <v>363</v>
      </c>
      <c r="G298" s="7" t="s">
        <v>38</v>
      </c>
      <c r="H298" s="7" t="s">
        <v>4340</v>
      </c>
      <c r="I298" s="7" t="s">
        <v>4291</v>
      </c>
      <c r="J298" s="6" t="s">
        <v>105</v>
      </c>
      <c r="K298" s="7" t="s">
        <v>221</v>
      </c>
      <c r="L298" s="7" t="s">
        <v>1217</v>
      </c>
      <c r="M298" s="7" t="s">
        <v>3781</v>
      </c>
      <c r="N298" s="7"/>
      <c r="O298" s="7" t="s">
        <v>4287</v>
      </c>
      <c r="P298" s="7">
        <v>28</v>
      </c>
      <c r="Q298" s="7">
        <v>19852822</v>
      </c>
      <c r="R298" s="7">
        <v>0.23</v>
      </c>
      <c r="S298" s="7">
        <v>0.17</v>
      </c>
      <c r="T298" s="7">
        <v>17885407.34</v>
      </c>
      <c r="U298" s="7">
        <v>13423760.77</v>
      </c>
      <c r="V298" s="7">
        <v>0.36</v>
      </c>
      <c r="W298" s="7">
        <v>7.0000000000000007E-2</v>
      </c>
      <c r="X298" s="7" t="s">
        <v>1218</v>
      </c>
      <c r="Y298" s="7">
        <v>14975326.93</v>
      </c>
      <c r="Z298" s="7">
        <v>12902873.84</v>
      </c>
      <c r="AA298" s="7">
        <v>60</v>
      </c>
      <c r="AB298" s="7">
        <v>157</v>
      </c>
      <c r="AC298" s="7" t="s">
        <v>347</v>
      </c>
      <c r="AD298" s="7" t="s">
        <v>381</v>
      </c>
      <c r="AE298" s="7">
        <v>0.4</v>
      </c>
      <c r="AF298" s="7" t="s">
        <v>155</v>
      </c>
      <c r="AG298" s="7">
        <v>0.15</v>
      </c>
      <c r="AH298" s="7">
        <v>0.03</v>
      </c>
      <c r="AI298" s="7">
        <v>8</v>
      </c>
      <c r="AJ298" s="7">
        <v>3490</v>
      </c>
      <c r="AK298" s="7"/>
      <c r="AL298" s="7">
        <v>2426562.2200000002</v>
      </c>
      <c r="AM298" s="7" t="s">
        <v>73</v>
      </c>
      <c r="AN298" s="7" t="s">
        <v>386</v>
      </c>
      <c r="AO298" s="7">
        <v>57.6</v>
      </c>
      <c r="AP298" s="7" t="s">
        <v>4275</v>
      </c>
      <c r="AQ298" s="7" t="s">
        <v>337</v>
      </c>
      <c r="AR298" s="7" t="s">
        <v>224</v>
      </c>
      <c r="AS298" s="7" t="s">
        <v>188</v>
      </c>
    </row>
    <row r="299" spans="1:45" x14ac:dyDescent="0.3">
      <c r="A299" s="6" t="s">
        <v>1219</v>
      </c>
      <c r="B299" s="6" t="s">
        <v>4775</v>
      </c>
      <c r="C299" s="6" t="s">
        <v>284</v>
      </c>
      <c r="D299" s="6" t="s">
        <v>180</v>
      </c>
      <c r="E299" s="6" t="s">
        <v>4270</v>
      </c>
      <c r="F299" s="6" t="s">
        <v>367</v>
      </c>
      <c r="G299" s="6" t="s">
        <v>23</v>
      </c>
      <c r="H299" s="6" t="s">
        <v>4280</v>
      </c>
      <c r="I299" s="6" t="s">
        <v>213</v>
      </c>
      <c r="J299" s="6" t="s">
        <v>127</v>
      </c>
      <c r="K299" s="6" t="s">
        <v>184</v>
      </c>
      <c r="L299" s="6" t="s">
        <v>1220</v>
      </c>
      <c r="M299" s="6" t="s">
        <v>4776</v>
      </c>
      <c r="N299" s="6"/>
      <c r="O299" s="6" t="s">
        <v>3783</v>
      </c>
      <c r="P299" s="6">
        <v>33</v>
      </c>
      <c r="Q299" s="6">
        <v>13928532</v>
      </c>
      <c r="R299" s="6">
        <v>0.25</v>
      </c>
      <c r="S299" s="6">
        <v>-0.02</v>
      </c>
      <c r="T299" s="6">
        <v>10237471.02</v>
      </c>
      <c r="U299" s="6">
        <v>7629699.25</v>
      </c>
      <c r="V299" s="6">
        <v>0.31</v>
      </c>
      <c r="W299" s="6">
        <v>0.17</v>
      </c>
      <c r="X299" s="6" t="s">
        <v>1221</v>
      </c>
      <c r="Y299" s="6">
        <v>2368359.33</v>
      </c>
      <c r="Z299" s="6">
        <v>2074141.75</v>
      </c>
      <c r="AA299" s="6">
        <v>30</v>
      </c>
      <c r="AB299" s="6">
        <v>88</v>
      </c>
      <c r="AC299" s="6" t="s">
        <v>329</v>
      </c>
      <c r="AD299" s="6" t="s">
        <v>320</v>
      </c>
      <c r="AE299" s="6">
        <v>0.23</v>
      </c>
      <c r="AF299" s="6"/>
      <c r="AG299" s="6">
        <v>0.05</v>
      </c>
      <c r="AH299" s="6">
        <v>0.01</v>
      </c>
      <c r="AI299" s="6">
        <v>8</v>
      </c>
      <c r="AJ299" s="6"/>
      <c r="AK299" s="6">
        <v>2341690.62</v>
      </c>
      <c r="AL299" s="6"/>
      <c r="AM299" s="6" t="s">
        <v>385</v>
      </c>
      <c r="AN299" s="6" t="s">
        <v>322</v>
      </c>
      <c r="AO299" s="6">
        <v>79.7</v>
      </c>
      <c r="AP299" s="6">
        <v>60</v>
      </c>
      <c r="AQ299" s="6" t="s">
        <v>387</v>
      </c>
      <c r="AR299" s="6" t="s">
        <v>192</v>
      </c>
      <c r="AS299" s="6" t="s">
        <v>361</v>
      </c>
    </row>
    <row r="300" spans="1:45" x14ac:dyDescent="0.3">
      <c r="A300" s="7" t="s">
        <v>1222</v>
      </c>
      <c r="B300" s="7" t="s">
        <v>4027</v>
      </c>
      <c r="C300" s="7" t="s">
        <v>243</v>
      </c>
      <c r="D300" s="7" t="s">
        <v>394</v>
      </c>
      <c r="E300" s="7" t="s">
        <v>20</v>
      </c>
      <c r="F300" s="7" t="s">
        <v>35</v>
      </c>
      <c r="G300" s="7" t="s">
        <v>50</v>
      </c>
      <c r="H300" s="7"/>
      <c r="I300" s="7" t="s">
        <v>4307</v>
      </c>
      <c r="J300" s="7" t="s">
        <v>136</v>
      </c>
      <c r="K300" s="7" t="s">
        <v>184</v>
      </c>
      <c r="L300" s="7" t="s">
        <v>1223</v>
      </c>
      <c r="M300" s="7" t="s">
        <v>3784</v>
      </c>
      <c r="N300" s="7" t="s">
        <v>3785</v>
      </c>
      <c r="O300" s="7" t="s">
        <v>4274</v>
      </c>
      <c r="P300" s="7">
        <v>33</v>
      </c>
      <c r="Q300" s="7">
        <v>15398423</v>
      </c>
      <c r="R300" s="7">
        <v>0.3</v>
      </c>
      <c r="S300" s="7">
        <v>0.11</v>
      </c>
      <c r="T300" s="7">
        <v>11964574.67</v>
      </c>
      <c r="U300" s="7">
        <v>8063153.6100000003</v>
      </c>
      <c r="V300" s="7">
        <v>0.36</v>
      </c>
      <c r="W300" s="7">
        <v>0.06</v>
      </c>
      <c r="X300" s="7" t="s">
        <v>1224</v>
      </c>
      <c r="Y300" s="7">
        <v>9945543.3000000007</v>
      </c>
      <c r="Z300" s="7">
        <v>7969086.1500000004</v>
      </c>
      <c r="AA300" s="7">
        <v>60</v>
      </c>
      <c r="AB300" s="7">
        <v>140</v>
      </c>
      <c r="AC300" s="7" t="s">
        <v>329</v>
      </c>
      <c r="AD300" s="7" t="s">
        <v>320</v>
      </c>
      <c r="AE300" s="7">
        <v>0.45</v>
      </c>
      <c r="AF300" s="7" t="s">
        <v>4319</v>
      </c>
      <c r="AG300" s="7">
        <v>0.15</v>
      </c>
      <c r="AH300" s="7">
        <v>0.06</v>
      </c>
      <c r="AI300" s="7">
        <v>7</v>
      </c>
      <c r="AJ300" s="7">
        <v>1870</v>
      </c>
      <c r="AK300" s="7">
        <v>1719285.66</v>
      </c>
      <c r="AL300" s="7">
        <v>5061033.7699999996</v>
      </c>
      <c r="AM300" s="7" t="s">
        <v>385</v>
      </c>
      <c r="AN300" s="7" t="s">
        <v>321</v>
      </c>
      <c r="AO300" s="7"/>
      <c r="AP300" s="7">
        <v>36</v>
      </c>
      <c r="AQ300" s="7" t="s">
        <v>392</v>
      </c>
      <c r="AR300" s="7" t="s">
        <v>186</v>
      </c>
      <c r="AS300" s="7"/>
    </row>
    <row r="301" spans="1:45" x14ac:dyDescent="0.3">
      <c r="A301" s="6" t="s">
        <v>1225</v>
      </c>
      <c r="B301" s="6" t="s">
        <v>4777</v>
      </c>
      <c r="C301" s="6" t="s">
        <v>273</v>
      </c>
      <c r="D301" s="6" t="s">
        <v>262</v>
      </c>
      <c r="E301" s="6" t="s">
        <v>20</v>
      </c>
      <c r="F301" s="6" t="s">
        <v>196</v>
      </c>
      <c r="G301" s="6"/>
      <c r="H301" s="6" t="s">
        <v>4280</v>
      </c>
      <c r="I301" s="6" t="s">
        <v>233</v>
      </c>
      <c r="J301" s="6" t="s">
        <v>136</v>
      </c>
      <c r="K301" s="6" t="s">
        <v>184</v>
      </c>
      <c r="L301" s="6" t="s">
        <v>1226</v>
      </c>
      <c r="M301" s="6" t="s">
        <v>4778</v>
      </c>
      <c r="N301" s="6" t="s">
        <v>3786</v>
      </c>
      <c r="O301" s="6" t="s">
        <v>4779</v>
      </c>
      <c r="P301" s="6">
        <v>53</v>
      </c>
      <c r="Q301" s="6">
        <v>25190560</v>
      </c>
      <c r="R301" s="6">
        <v>0.21</v>
      </c>
      <c r="S301" s="6">
        <v>0.04</v>
      </c>
      <c r="T301" s="6">
        <v>20696564.100000001</v>
      </c>
      <c r="U301" s="6">
        <v>17186460.280000001</v>
      </c>
      <c r="V301" s="6">
        <v>0.12</v>
      </c>
      <c r="W301" s="6">
        <v>0.13</v>
      </c>
      <c r="X301" s="6" t="s">
        <v>1227</v>
      </c>
      <c r="Y301" s="6">
        <v>1169906</v>
      </c>
      <c r="Z301" s="6">
        <v>374157.65</v>
      </c>
      <c r="AA301" s="6">
        <v>120</v>
      </c>
      <c r="AB301" s="6">
        <v>78</v>
      </c>
      <c r="AC301" s="6" t="s">
        <v>353</v>
      </c>
      <c r="AD301" s="6" t="s">
        <v>320</v>
      </c>
      <c r="AE301" s="6">
        <v>0.81</v>
      </c>
      <c r="AF301" s="6" t="s">
        <v>4361</v>
      </c>
      <c r="AG301" s="6">
        <v>0.1</v>
      </c>
      <c r="AH301" s="6">
        <v>0.06</v>
      </c>
      <c r="AI301" s="6">
        <v>8</v>
      </c>
      <c r="AJ301" s="6">
        <v>2124</v>
      </c>
      <c r="AK301" s="6">
        <v>4583330.67</v>
      </c>
      <c r="AL301" s="6">
        <v>9141988.8100000005</v>
      </c>
      <c r="AM301" s="6"/>
      <c r="AN301" s="6" t="s">
        <v>348</v>
      </c>
      <c r="AO301" s="6"/>
      <c r="AP301" s="6">
        <v>48</v>
      </c>
      <c r="AQ301" s="6" t="s">
        <v>323</v>
      </c>
      <c r="AR301" s="6" t="s">
        <v>206</v>
      </c>
      <c r="AS301" s="6" t="s">
        <v>377</v>
      </c>
    </row>
    <row r="302" spans="1:45" x14ac:dyDescent="0.3">
      <c r="A302" s="7" t="s">
        <v>1228</v>
      </c>
      <c r="B302" s="7" t="s">
        <v>4780</v>
      </c>
      <c r="C302" s="7" t="s">
        <v>208</v>
      </c>
      <c r="D302" s="7" t="s">
        <v>250</v>
      </c>
      <c r="E302" s="7" t="s">
        <v>113</v>
      </c>
      <c r="F302" s="7" t="s">
        <v>367</v>
      </c>
      <c r="G302" s="7" t="s">
        <v>54</v>
      </c>
      <c r="H302" s="7"/>
      <c r="I302" s="7" t="s">
        <v>4372</v>
      </c>
      <c r="J302" s="7" t="s">
        <v>127</v>
      </c>
      <c r="K302" s="7" t="s">
        <v>223</v>
      </c>
      <c r="L302" s="7" t="s">
        <v>1229</v>
      </c>
      <c r="M302" s="7" t="s">
        <v>4666</v>
      </c>
      <c r="N302" s="7" t="s">
        <v>3787</v>
      </c>
      <c r="O302" s="7" t="s">
        <v>4781</v>
      </c>
      <c r="P302" s="7">
        <v>40</v>
      </c>
      <c r="Q302" s="7">
        <v>15561360</v>
      </c>
      <c r="R302" s="7">
        <v>0.32</v>
      </c>
      <c r="S302" s="7">
        <v>-0.05</v>
      </c>
      <c r="T302" s="7">
        <v>10052638.560000001</v>
      </c>
      <c r="U302" s="7">
        <v>7226080.75</v>
      </c>
      <c r="V302" s="7">
        <v>0.4</v>
      </c>
      <c r="W302" s="7">
        <v>7.0000000000000007E-2</v>
      </c>
      <c r="X302" s="7" t="s">
        <v>1230</v>
      </c>
      <c r="Y302" s="7">
        <v>8465609.4399999995</v>
      </c>
      <c r="Z302" s="7">
        <v>5421346.7599999998</v>
      </c>
      <c r="AA302" s="7">
        <v>45</v>
      </c>
      <c r="AB302" s="7">
        <v>31</v>
      </c>
      <c r="AC302" s="7"/>
      <c r="AD302" s="7" t="s">
        <v>336</v>
      </c>
      <c r="AE302" s="7">
        <v>0.21</v>
      </c>
      <c r="AF302" s="7" t="s">
        <v>4294</v>
      </c>
      <c r="AG302" s="7">
        <v>0.1</v>
      </c>
      <c r="AH302" s="7">
        <v>0.03</v>
      </c>
      <c r="AI302" s="7">
        <v>14</v>
      </c>
      <c r="AJ302" s="7">
        <v>121</v>
      </c>
      <c r="AK302" s="7">
        <v>832713.7</v>
      </c>
      <c r="AL302" s="7">
        <v>3893500.8</v>
      </c>
      <c r="AM302" s="7" t="s">
        <v>355</v>
      </c>
      <c r="AN302" s="7"/>
      <c r="AO302" s="7"/>
      <c r="AP302" s="7">
        <v>24</v>
      </c>
      <c r="AQ302" s="7" t="s">
        <v>392</v>
      </c>
      <c r="AR302" s="7" t="s">
        <v>192</v>
      </c>
      <c r="AS302" s="7" t="s">
        <v>188</v>
      </c>
    </row>
    <row r="303" spans="1:45" x14ac:dyDescent="0.3">
      <c r="A303" s="6" t="s">
        <v>1231</v>
      </c>
      <c r="B303" s="6" t="s">
        <v>4649</v>
      </c>
      <c r="C303" s="6" t="s">
        <v>217</v>
      </c>
      <c r="D303" s="6" t="s">
        <v>281</v>
      </c>
      <c r="E303" s="6" t="s">
        <v>36</v>
      </c>
      <c r="F303" s="6" t="s">
        <v>339</v>
      </c>
      <c r="G303" s="6" t="s">
        <v>78</v>
      </c>
      <c r="H303" s="6" t="s">
        <v>4326</v>
      </c>
      <c r="I303" s="6" t="s">
        <v>191</v>
      </c>
      <c r="J303" s="6" t="s">
        <v>115</v>
      </c>
      <c r="K303" s="6" t="s">
        <v>199</v>
      </c>
      <c r="L303" s="6" t="s">
        <v>1232</v>
      </c>
      <c r="M303" s="6" t="s">
        <v>4782</v>
      </c>
      <c r="N303" s="6" t="s">
        <v>4646</v>
      </c>
      <c r="O303" s="6" t="s">
        <v>4783</v>
      </c>
      <c r="P303" s="6">
        <v>24</v>
      </c>
      <c r="Q303" s="6">
        <v>35684609</v>
      </c>
      <c r="R303" s="6">
        <v>0.1</v>
      </c>
      <c r="S303" s="6">
        <v>0.13</v>
      </c>
      <c r="T303" s="6">
        <v>36291247.350000001</v>
      </c>
      <c r="U303" s="6">
        <v>31245352.190000001</v>
      </c>
      <c r="V303" s="6">
        <v>0.08</v>
      </c>
      <c r="W303" s="6">
        <v>7.0000000000000007E-2</v>
      </c>
      <c r="X303" s="6" t="s">
        <v>1233</v>
      </c>
      <c r="Y303" s="6">
        <v>29099165.989999998</v>
      </c>
      <c r="Z303" s="6">
        <v>16694781.07</v>
      </c>
      <c r="AA303" s="6">
        <v>90</v>
      </c>
      <c r="AB303" s="6">
        <v>89</v>
      </c>
      <c r="AC303" s="6" t="s">
        <v>329</v>
      </c>
      <c r="AD303" s="6" t="s">
        <v>354</v>
      </c>
      <c r="AE303" s="6">
        <v>0.7</v>
      </c>
      <c r="AF303" s="6" t="s">
        <v>4276</v>
      </c>
      <c r="AG303" s="6">
        <v>0.15</v>
      </c>
      <c r="AH303" s="6">
        <v>0.04</v>
      </c>
      <c r="AI303" s="6">
        <v>1</v>
      </c>
      <c r="AJ303" s="6">
        <v>4034</v>
      </c>
      <c r="AK303" s="6">
        <v>5907551.21</v>
      </c>
      <c r="AL303" s="6">
        <v>4861093.37</v>
      </c>
      <c r="AM303" s="6"/>
      <c r="AN303" s="6" t="s">
        <v>322</v>
      </c>
      <c r="AO303" s="6">
        <v>85.6</v>
      </c>
      <c r="AP303" s="6">
        <v>48</v>
      </c>
      <c r="AQ303" s="6"/>
      <c r="AR303" s="6" t="s">
        <v>224</v>
      </c>
      <c r="AS303" s="6" t="s">
        <v>188</v>
      </c>
    </row>
    <row r="304" spans="1:45" x14ac:dyDescent="0.3">
      <c r="A304" s="7" t="s">
        <v>1234</v>
      </c>
      <c r="B304" s="7" t="s">
        <v>4511</v>
      </c>
      <c r="C304" s="7" t="s">
        <v>195</v>
      </c>
      <c r="D304" s="7" t="s">
        <v>220</v>
      </c>
      <c r="E304" s="7"/>
      <c r="F304" s="7" t="s">
        <v>35</v>
      </c>
      <c r="G304" s="7" t="s">
        <v>62</v>
      </c>
      <c r="H304" s="7" t="s">
        <v>4275</v>
      </c>
      <c r="I304" s="7" t="s">
        <v>233</v>
      </c>
      <c r="J304" s="7" t="s">
        <v>130</v>
      </c>
      <c r="K304" s="7" t="s">
        <v>204</v>
      </c>
      <c r="L304" s="7" t="s">
        <v>1235</v>
      </c>
      <c r="M304" s="7" t="s">
        <v>4784</v>
      </c>
      <c r="N304" s="7" t="s">
        <v>4785</v>
      </c>
      <c r="O304" s="7" t="s">
        <v>4274</v>
      </c>
      <c r="P304" s="7">
        <v>58</v>
      </c>
      <c r="Q304" s="7">
        <v>13059947</v>
      </c>
      <c r="R304" s="7">
        <v>0.3</v>
      </c>
      <c r="S304" s="7">
        <v>0.09</v>
      </c>
      <c r="T304" s="7">
        <v>9964739.5600000005</v>
      </c>
      <c r="U304" s="7">
        <v>7875240.8700000001</v>
      </c>
      <c r="V304" s="7">
        <v>7.0000000000000007E-2</v>
      </c>
      <c r="W304" s="7">
        <v>0.18</v>
      </c>
      <c r="X304" s="7" t="s">
        <v>1236</v>
      </c>
      <c r="Y304" s="7">
        <v>3712671.9</v>
      </c>
      <c r="Z304" s="7">
        <v>1617881.29</v>
      </c>
      <c r="AA304" s="7">
        <v>30</v>
      </c>
      <c r="AB304" s="7">
        <v>122</v>
      </c>
      <c r="AC304" s="7" t="s">
        <v>329</v>
      </c>
      <c r="AD304" s="7" t="s">
        <v>320</v>
      </c>
      <c r="AE304" s="7">
        <v>0.38</v>
      </c>
      <c r="AF304" s="7" t="s">
        <v>162</v>
      </c>
      <c r="AG304" s="7">
        <v>0.05</v>
      </c>
      <c r="AH304" s="7">
        <v>7.0000000000000007E-2</v>
      </c>
      <c r="AI304" s="7">
        <v>1</v>
      </c>
      <c r="AJ304" s="7">
        <v>2294</v>
      </c>
      <c r="AK304" s="7">
        <v>2300476.1800000002</v>
      </c>
      <c r="AL304" s="7">
        <v>2039394.61</v>
      </c>
      <c r="AM304" s="7" t="s">
        <v>355</v>
      </c>
      <c r="AN304" s="7" t="s">
        <v>330</v>
      </c>
      <c r="AO304" s="7">
        <v>64.3</v>
      </c>
      <c r="AP304" s="7">
        <v>60</v>
      </c>
      <c r="AQ304" s="7"/>
      <c r="AR304" s="7" t="s">
        <v>206</v>
      </c>
      <c r="AS304" s="7"/>
    </row>
    <row r="305" spans="1:45" x14ac:dyDescent="0.3">
      <c r="A305" s="6" t="s">
        <v>1237</v>
      </c>
      <c r="B305" s="6" t="s">
        <v>3789</v>
      </c>
      <c r="C305" s="6" t="s">
        <v>271</v>
      </c>
      <c r="D305" s="6" t="s">
        <v>248</v>
      </c>
      <c r="E305" s="6" t="s">
        <v>4306</v>
      </c>
      <c r="F305" s="6" t="s">
        <v>75</v>
      </c>
      <c r="G305" s="6" t="s">
        <v>38</v>
      </c>
      <c r="H305" s="6" t="s">
        <v>212</v>
      </c>
      <c r="I305" s="6" t="s">
        <v>4291</v>
      </c>
      <c r="J305" s="6" t="s">
        <v>119</v>
      </c>
      <c r="K305" s="6" t="s">
        <v>199</v>
      </c>
      <c r="L305" s="6" t="s">
        <v>1238</v>
      </c>
      <c r="M305" s="6" t="s">
        <v>4786</v>
      </c>
      <c r="N305" s="6" t="s">
        <v>1053</v>
      </c>
      <c r="O305" s="6" t="s">
        <v>4274</v>
      </c>
      <c r="P305" s="6">
        <v>46</v>
      </c>
      <c r="Q305" s="6">
        <v>30421567</v>
      </c>
      <c r="R305" s="6">
        <v>0.25</v>
      </c>
      <c r="S305" s="6">
        <v>0.09</v>
      </c>
      <c r="T305" s="6">
        <v>24869631.02</v>
      </c>
      <c r="U305" s="6">
        <v>17733356.289999999</v>
      </c>
      <c r="V305" s="6" t="s">
        <v>4374</v>
      </c>
      <c r="W305" s="6">
        <v>0.06</v>
      </c>
      <c r="X305" s="6" t="s">
        <v>1239</v>
      </c>
      <c r="Y305" s="6">
        <v>1572610.12</v>
      </c>
      <c r="Z305" s="6">
        <v>1335133.93</v>
      </c>
      <c r="AA305" s="6">
        <v>60</v>
      </c>
      <c r="AB305" s="6">
        <v>62</v>
      </c>
      <c r="AC305" s="6" t="s">
        <v>347</v>
      </c>
      <c r="AD305" s="6" t="s">
        <v>354</v>
      </c>
      <c r="AE305" s="6">
        <v>0.66</v>
      </c>
      <c r="AF305" s="6"/>
      <c r="AG305" s="6">
        <v>0.05</v>
      </c>
      <c r="AH305" s="6">
        <v>0.02</v>
      </c>
      <c r="AI305" s="6">
        <v>14</v>
      </c>
      <c r="AJ305" s="6">
        <v>1678</v>
      </c>
      <c r="AK305" s="6">
        <v>4207952.04</v>
      </c>
      <c r="AL305" s="6">
        <v>4105817.27</v>
      </c>
      <c r="AM305" s="6" t="s">
        <v>343</v>
      </c>
      <c r="AN305" s="6" t="s">
        <v>356</v>
      </c>
      <c r="AO305" s="6">
        <v>77</v>
      </c>
      <c r="AP305" s="6">
        <v>60</v>
      </c>
      <c r="AQ305" s="6"/>
      <c r="AR305" s="6" t="s">
        <v>192</v>
      </c>
      <c r="AS305" s="6" t="s">
        <v>188</v>
      </c>
    </row>
    <row r="306" spans="1:45" x14ac:dyDescent="0.3">
      <c r="A306" s="7" t="s">
        <v>1240</v>
      </c>
      <c r="B306" s="7" t="s">
        <v>4787</v>
      </c>
      <c r="C306" s="7" t="s">
        <v>208</v>
      </c>
      <c r="D306" s="7"/>
      <c r="E306" s="7" t="s">
        <v>4265</v>
      </c>
      <c r="F306" s="7" t="s">
        <v>350</v>
      </c>
      <c r="G306" s="7" t="s">
        <v>78</v>
      </c>
      <c r="H306" s="7" t="s">
        <v>263</v>
      </c>
      <c r="I306" s="7" t="s">
        <v>198</v>
      </c>
      <c r="J306" s="7" t="s">
        <v>105</v>
      </c>
      <c r="K306" s="7" t="s">
        <v>333</v>
      </c>
      <c r="L306" s="7" t="s">
        <v>1241</v>
      </c>
      <c r="M306" s="7" t="s">
        <v>3791</v>
      </c>
      <c r="N306" s="7"/>
      <c r="O306" s="7" t="s">
        <v>4274</v>
      </c>
      <c r="P306" s="7">
        <v>26</v>
      </c>
      <c r="Q306" s="7">
        <v>10743900</v>
      </c>
      <c r="R306" s="7">
        <v>0.33</v>
      </c>
      <c r="S306" s="7">
        <v>0.09</v>
      </c>
      <c r="T306" s="7">
        <v>7846270.1699999999</v>
      </c>
      <c r="U306" s="7">
        <v>4926532.92</v>
      </c>
      <c r="V306" s="7">
        <v>0.3</v>
      </c>
      <c r="W306" s="7">
        <v>0.18</v>
      </c>
      <c r="X306" s="7" t="s">
        <v>1242</v>
      </c>
      <c r="Y306" s="7">
        <v>6950968.5300000003</v>
      </c>
      <c r="Z306" s="7">
        <v>4960662.1399999997</v>
      </c>
      <c r="AA306" s="7">
        <v>120</v>
      </c>
      <c r="AB306" s="7">
        <v>13</v>
      </c>
      <c r="AC306" s="7" t="s">
        <v>329</v>
      </c>
      <c r="AD306" s="7" t="s">
        <v>455</v>
      </c>
      <c r="AE306" s="7">
        <v>0.72</v>
      </c>
      <c r="AF306" s="7" t="s">
        <v>159</v>
      </c>
      <c r="AG306" s="7">
        <v>0.15</v>
      </c>
      <c r="AH306" s="7">
        <v>0.09</v>
      </c>
      <c r="AI306" s="7">
        <v>5</v>
      </c>
      <c r="AJ306" s="7">
        <v>398</v>
      </c>
      <c r="AK306" s="7">
        <v>655662.77</v>
      </c>
      <c r="AL306" s="7">
        <v>3190087.45</v>
      </c>
      <c r="AM306" s="7" t="s">
        <v>73</v>
      </c>
      <c r="AN306" s="7" t="s">
        <v>386</v>
      </c>
      <c r="AO306" s="7">
        <v>82.5</v>
      </c>
      <c r="AP306" s="7">
        <v>24</v>
      </c>
      <c r="AQ306" s="7" t="s">
        <v>4275</v>
      </c>
      <c r="AR306" s="7" t="s">
        <v>192</v>
      </c>
      <c r="AS306" s="7" t="s">
        <v>361</v>
      </c>
    </row>
    <row r="307" spans="1:45" x14ac:dyDescent="0.3">
      <c r="A307" s="6" t="s">
        <v>1243</v>
      </c>
      <c r="B307" s="6" t="s">
        <v>3766</v>
      </c>
      <c r="C307" s="6" t="s">
        <v>257</v>
      </c>
      <c r="D307" s="6" t="s">
        <v>245</v>
      </c>
      <c r="E307" s="6" t="s">
        <v>4306</v>
      </c>
      <c r="F307" s="6" t="s">
        <v>75</v>
      </c>
      <c r="G307" s="6" t="s">
        <v>46</v>
      </c>
      <c r="H307" s="6" t="s">
        <v>182</v>
      </c>
      <c r="I307" s="6" t="s">
        <v>4272</v>
      </c>
      <c r="J307" s="7" t="s">
        <v>119</v>
      </c>
      <c r="K307" s="6" t="s">
        <v>210</v>
      </c>
      <c r="L307" s="6" t="s">
        <v>1244</v>
      </c>
      <c r="M307" s="6" t="s">
        <v>4788</v>
      </c>
      <c r="N307" s="6" t="s">
        <v>3792</v>
      </c>
      <c r="O307" s="6" t="s">
        <v>3684</v>
      </c>
      <c r="P307" s="6">
        <v>40</v>
      </c>
      <c r="Q307" s="6">
        <v>49413295</v>
      </c>
      <c r="R307" s="6">
        <v>0.27</v>
      </c>
      <c r="S307" s="6">
        <v>-0.05</v>
      </c>
      <c r="T307" s="6">
        <v>34268120.079999998</v>
      </c>
      <c r="U307" s="6">
        <v>26920491.239999998</v>
      </c>
      <c r="V307" s="6" t="s">
        <v>4374</v>
      </c>
      <c r="W307" s="6">
        <v>0.14000000000000001</v>
      </c>
      <c r="X307" s="6" t="s">
        <v>1245</v>
      </c>
      <c r="Y307" s="6">
        <v>26043973.969999999</v>
      </c>
      <c r="Z307" s="6">
        <v>16236390.59</v>
      </c>
      <c r="AA307" s="6">
        <v>45</v>
      </c>
      <c r="AB307" s="6">
        <v>1</v>
      </c>
      <c r="AC307" s="6" t="s">
        <v>342</v>
      </c>
      <c r="AD307" s="6" t="s">
        <v>320</v>
      </c>
      <c r="AE307" s="6">
        <v>0.4</v>
      </c>
      <c r="AF307" s="6" t="s">
        <v>153</v>
      </c>
      <c r="AG307" s="6">
        <v>0.1</v>
      </c>
      <c r="AH307" s="6">
        <v>0.09</v>
      </c>
      <c r="AI307" s="6">
        <v>12</v>
      </c>
      <c r="AJ307" s="6">
        <v>4548</v>
      </c>
      <c r="AK307" s="6">
        <v>4896504.5599999996</v>
      </c>
      <c r="AL307" s="6">
        <v>11950391.130000001</v>
      </c>
      <c r="AM307" s="6" t="s">
        <v>73</v>
      </c>
      <c r="AN307" s="6" t="s">
        <v>386</v>
      </c>
      <c r="AO307" s="6">
        <v>88</v>
      </c>
      <c r="AP307" s="6">
        <v>60</v>
      </c>
      <c r="AQ307" s="6" t="s">
        <v>392</v>
      </c>
      <c r="AR307" s="6" t="s">
        <v>206</v>
      </c>
      <c r="AS307" s="6" t="s">
        <v>324</v>
      </c>
    </row>
    <row r="308" spans="1:45" x14ac:dyDescent="0.3">
      <c r="A308" s="7" t="s">
        <v>1243</v>
      </c>
      <c r="B308" s="7" t="s">
        <v>3793</v>
      </c>
      <c r="C308" s="7" t="s">
        <v>211</v>
      </c>
      <c r="D308" s="7" t="s">
        <v>265</v>
      </c>
      <c r="E308" s="7" t="s">
        <v>41</v>
      </c>
      <c r="F308" s="7" t="s">
        <v>350</v>
      </c>
      <c r="G308" s="7" t="s">
        <v>78</v>
      </c>
      <c r="H308" s="7" t="s">
        <v>263</v>
      </c>
      <c r="I308" s="7" t="s">
        <v>4307</v>
      </c>
      <c r="J308" s="6" t="s">
        <v>105</v>
      </c>
      <c r="K308" s="7" t="s">
        <v>204</v>
      </c>
      <c r="L308" s="7" t="s">
        <v>3794</v>
      </c>
      <c r="M308" s="7" t="s">
        <v>4789</v>
      </c>
      <c r="N308" s="7" t="s">
        <v>4790</v>
      </c>
      <c r="O308" s="7" t="s">
        <v>4791</v>
      </c>
      <c r="P308" s="7">
        <v>7</v>
      </c>
      <c r="Q308" s="7">
        <v>42832856</v>
      </c>
      <c r="R308" s="7">
        <v>0.2</v>
      </c>
      <c r="S308" s="7">
        <v>7.0000000000000007E-2</v>
      </c>
      <c r="T308" s="7">
        <v>36664924.740000002</v>
      </c>
      <c r="U308" s="7">
        <v>25972042.140000001</v>
      </c>
      <c r="V308" s="7">
        <v>0.39</v>
      </c>
      <c r="W308" s="7">
        <v>7.0000000000000007E-2</v>
      </c>
      <c r="X308" s="7" t="s">
        <v>3797</v>
      </c>
      <c r="Y308" s="7">
        <v>32842809.120000001</v>
      </c>
      <c r="Z308" s="7">
        <v>27204666.719999999</v>
      </c>
      <c r="AA308" s="7">
        <v>90</v>
      </c>
      <c r="AB308" s="7">
        <v>158</v>
      </c>
      <c r="AC308" s="7" t="s">
        <v>353</v>
      </c>
      <c r="AD308" s="7" t="s">
        <v>406</v>
      </c>
      <c r="AE308" s="7">
        <v>0.12</v>
      </c>
      <c r="AF308" s="7" t="s">
        <v>4294</v>
      </c>
      <c r="AG308" s="7">
        <v>0.05</v>
      </c>
      <c r="AH308" s="7">
        <v>0.04</v>
      </c>
      <c r="AI308" s="7">
        <v>13</v>
      </c>
      <c r="AJ308" s="7">
        <v>4942</v>
      </c>
      <c r="AK308" s="7">
        <v>1362633.81</v>
      </c>
      <c r="AL308" s="7">
        <v>15358711.9</v>
      </c>
      <c r="AM308" s="7" t="s">
        <v>391</v>
      </c>
      <c r="AN308" s="7" t="s">
        <v>330</v>
      </c>
      <c r="AO308" s="7">
        <v>85.3</v>
      </c>
      <c r="AP308" s="7">
        <v>24</v>
      </c>
      <c r="AQ308" s="7" t="s">
        <v>387</v>
      </c>
      <c r="AR308" s="7" t="s">
        <v>224</v>
      </c>
      <c r="AS308" s="7" t="s">
        <v>357</v>
      </c>
    </row>
    <row r="309" spans="1:45" x14ac:dyDescent="0.3">
      <c r="A309" s="6" t="s">
        <v>1246</v>
      </c>
      <c r="B309" s="6" t="s">
        <v>4792</v>
      </c>
      <c r="C309" s="6" t="s">
        <v>285</v>
      </c>
      <c r="D309" s="6" t="s">
        <v>248</v>
      </c>
      <c r="E309" s="6" t="s">
        <v>113</v>
      </c>
      <c r="F309" s="6" t="s">
        <v>367</v>
      </c>
      <c r="G309" s="6" t="s">
        <v>46</v>
      </c>
      <c r="H309" s="6" t="s">
        <v>4326</v>
      </c>
      <c r="I309" s="6" t="s">
        <v>240</v>
      </c>
      <c r="J309" s="6" t="s">
        <v>111</v>
      </c>
      <c r="K309" s="6" t="s">
        <v>333</v>
      </c>
      <c r="L309" s="6" t="s">
        <v>1247</v>
      </c>
      <c r="M309" s="6" t="s">
        <v>4793</v>
      </c>
      <c r="N309" s="6" t="s">
        <v>3799</v>
      </c>
      <c r="O309" s="6" t="s">
        <v>4794</v>
      </c>
      <c r="P309" s="6">
        <v>6</v>
      </c>
      <c r="Q309" s="6">
        <v>9656529</v>
      </c>
      <c r="R309" s="6">
        <v>0.22</v>
      </c>
      <c r="S309" s="6">
        <v>7.0000000000000007E-2</v>
      </c>
      <c r="T309" s="6">
        <v>8059339.0999999996</v>
      </c>
      <c r="U309" s="6">
        <v>5346417.5599999996</v>
      </c>
      <c r="V309" s="6">
        <v>0.35</v>
      </c>
      <c r="W309" s="6">
        <v>0.12</v>
      </c>
      <c r="X309" s="6" t="s">
        <v>1248</v>
      </c>
      <c r="Y309" s="6" t="s">
        <v>158</v>
      </c>
      <c r="Z309" s="6">
        <v>1406573.02</v>
      </c>
      <c r="AA309" s="6">
        <v>30</v>
      </c>
      <c r="AB309" s="6">
        <v>68</v>
      </c>
      <c r="AC309" s="6" t="s">
        <v>329</v>
      </c>
      <c r="AD309" s="6" t="s">
        <v>455</v>
      </c>
      <c r="AE309" s="6">
        <v>0.73</v>
      </c>
      <c r="AF309" s="6" t="s">
        <v>4276</v>
      </c>
      <c r="AG309" s="6">
        <v>0.1</v>
      </c>
      <c r="AH309" s="6">
        <v>0.03</v>
      </c>
      <c r="AI309" s="6">
        <v>4</v>
      </c>
      <c r="AJ309" s="6">
        <v>2303</v>
      </c>
      <c r="AK309" s="6"/>
      <c r="AL309" s="6">
        <v>2482826.5699999998</v>
      </c>
      <c r="AM309" s="6" t="s">
        <v>385</v>
      </c>
      <c r="AN309" s="6" t="s">
        <v>322</v>
      </c>
      <c r="AO309" s="6">
        <v>96</v>
      </c>
      <c r="AP309" s="6">
        <v>60</v>
      </c>
      <c r="AQ309" s="6"/>
      <c r="AR309" s="6" t="s">
        <v>224</v>
      </c>
      <c r="AS309" s="6" t="s">
        <v>377</v>
      </c>
    </row>
    <row r="310" spans="1:45" x14ac:dyDescent="0.3">
      <c r="A310" s="7" t="s">
        <v>1249</v>
      </c>
      <c r="B310" s="7" t="s">
        <v>4109</v>
      </c>
      <c r="C310" s="7" t="s">
        <v>244</v>
      </c>
      <c r="D310" s="7" t="s">
        <v>238</v>
      </c>
      <c r="E310" s="7" t="s">
        <v>41</v>
      </c>
      <c r="F310" s="7" t="s">
        <v>350</v>
      </c>
      <c r="G310" s="7" t="s">
        <v>46</v>
      </c>
      <c r="H310" s="7" t="s">
        <v>182</v>
      </c>
      <c r="I310" s="7" t="s">
        <v>4307</v>
      </c>
      <c r="J310" s="6" t="s">
        <v>105</v>
      </c>
      <c r="K310" s="7" t="s">
        <v>333</v>
      </c>
      <c r="L310" s="7" t="s">
        <v>1250</v>
      </c>
      <c r="M310" s="7" t="s">
        <v>3800</v>
      </c>
      <c r="N310" s="7"/>
      <c r="O310" s="7" t="s">
        <v>4274</v>
      </c>
      <c r="P310" s="7" t="s">
        <v>4275</v>
      </c>
      <c r="Q310" s="7">
        <v>5064586</v>
      </c>
      <c r="R310" s="7">
        <v>0.14000000000000001</v>
      </c>
      <c r="S310" s="7">
        <v>0.18</v>
      </c>
      <c r="T310" s="7">
        <v>5139541.87</v>
      </c>
      <c r="U310" s="7">
        <v>3567731.36</v>
      </c>
      <c r="V310" s="7" t="s">
        <v>4374</v>
      </c>
      <c r="W310" s="7">
        <v>0.19</v>
      </c>
      <c r="X310" s="7" t="s">
        <v>1251</v>
      </c>
      <c r="Y310" s="7">
        <v>4294429.45</v>
      </c>
      <c r="Z310" s="7">
        <v>4019040.75</v>
      </c>
      <c r="AA310" s="7">
        <v>60</v>
      </c>
      <c r="AB310" s="7">
        <v>2</v>
      </c>
      <c r="AC310" s="7" t="s">
        <v>376</v>
      </c>
      <c r="AD310" s="7" t="s">
        <v>226</v>
      </c>
      <c r="AE310" s="7">
        <v>0.5</v>
      </c>
      <c r="AF310" s="7" t="s">
        <v>159</v>
      </c>
      <c r="AG310" s="7">
        <v>0.05</v>
      </c>
      <c r="AH310" s="7">
        <v>0.08</v>
      </c>
      <c r="AI310" s="7">
        <v>1</v>
      </c>
      <c r="AJ310" s="7">
        <v>2568</v>
      </c>
      <c r="AK310" s="7">
        <v>489606.25</v>
      </c>
      <c r="AL310" s="7">
        <v>2180662.73</v>
      </c>
      <c r="AM310" s="7" t="s">
        <v>73</v>
      </c>
      <c r="AN310" s="7" t="s">
        <v>386</v>
      </c>
      <c r="AO310" s="7">
        <v>91.5</v>
      </c>
      <c r="AP310" s="7">
        <v>60</v>
      </c>
      <c r="AQ310" s="7" t="s">
        <v>4275</v>
      </c>
      <c r="AR310" s="7" t="s">
        <v>229</v>
      </c>
      <c r="AS310" s="7" t="s">
        <v>324</v>
      </c>
    </row>
    <row r="311" spans="1:45" x14ac:dyDescent="0.3">
      <c r="A311" s="6" t="s">
        <v>1252</v>
      </c>
      <c r="B311" s="6" t="s">
        <v>3333</v>
      </c>
      <c r="C311" s="6" t="s">
        <v>249</v>
      </c>
      <c r="D311" s="6" t="s">
        <v>281</v>
      </c>
      <c r="E311" s="6" t="s">
        <v>4270</v>
      </c>
      <c r="F311" s="6" t="s">
        <v>181</v>
      </c>
      <c r="G311" s="6" t="s">
        <v>73</v>
      </c>
      <c r="H311" s="6" t="s">
        <v>4266</v>
      </c>
      <c r="I311" s="6" t="s">
        <v>203</v>
      </c>
      <c r="J311" s="6" t="s">
        <v>111</v>
      </c>
      <c r="K311" s="6" t="s">
        <v>199</v>
      </c>
      <c r="L311" s="6" t="s">
        <v>1253</v>
      </c>
      <c r="M311" s="6" t="s">
        <v>4795</v>
      </c>
      <c r="N311" s="6" t="s">
        <v>4796</v>
      </c>
      <c r="O311" s="6" t="s">
        <v>3801</v>
      </c>
      <c r="P311" s="6">
        <v>28</v>
      </c>
      <c r="Q311" s="6">
        <v>9025155</v>
      </c>
      <c r="R311" s="6">
        <v>0.21</v>
      </c>
      <c r="S311" s="6">
        <v>0.02</v>
      </c>
      <c r="T311" s="6">
        <v>7272469.9000000004</v>
      </c>
      <c r="U311" s="6">
        <v>6499436.0099999998</v>
      </c>
      <c r="V311" s="6">
        <v>0.31</v>
      </c>
      <c r="W311" s="6">
        <v>0.12</v>
      </c>
      <c r="X311" s="6" t="s">
        <v>1254</v>
      </c>
      <c r="Y311" s="6">
        <v>3282682.26</v>
      </c>
      <c r="Z311" s="6">
        <v>1288300.69</v>
      </c>
      <c r="AA311" s="6">
        <v>30</v>
      </c>
      <c r="AB311" s="6">
        <v>160</v>
      </c>
      <c r="AC311" s="6" t="s">
        <v>342</v>
      </c>
      <c r="AD311" s="6" t="s">
        <v>455</v>
      </c>
      <c r="AE311" s="6">
        <v>0.8</v>
      </c>
      <c r="AF311" s="6" t="s">
        <v>162</v>
      </c>
      <c r="AG311" s="6">
        <v>0.15</v>
      </c>
      <c r="AH311" s="6">
        <v>0.09</v>
      </c>
      <c r="AI311" s="6">
        <v>15</v>
      </c>
      <c r="AJ311" s="6">
        <v>4492</v>
      </c>
      <c r="AK311" s="6">
        <v>441305.48</v>
      </c>
      <c r="AL311" s="6">
        <v>1840298.74</v>
      </c>
      <c r="AM311" s="6" t="s">
        <v>73</v>
      </c>
      <c r="AN311" s="6" t="s">
        <v>348</v>
      </c>
      <c r="AO311" s="6">
        <v>99.5</v>
      </c>
      <c r="AP311" s="6">
        <v>36</v>
      </c>
      <c r="AQ311" s="6" t="s">
        <v>323</v>
      </c>
      <c r="AR311" s="6" t="s">
        <v>229</v>
      </c>
      <c r="AS311" s="6" t="s">
        <v>361</v>
      </c>
    </row>
    <row r="312" spans="1:45" x14ac:dyDescent="0.3">
      <c r="A312" s="7" t="s">
        <v>1255</v>
      </c>
      <c r="B312" s="7" t="s">
        <v>4765</v>
      </c>
      <c r="C312" s="7" t="s">
        <v>282</v>
      </c>
      <c r="D312" s="7" t="s">
        <v>232</v>
      </c>
      <c r="E312" s="7" t="s">
        <v>4306</v>
      </c>
      <c r="F312" s="7"/>
      <c r="G312" s="7" t="s">
        <v>62</v>
      </c>
      <c r="H312" s="7" t="s">
        <v>182</v>
      </c>
      <c r="I312" s="7" t="s">
        <v>4291</v>
      </c>
      <c r="J312" s="7" t="s">
        <v>133</v>
      </c>
      <c r="K312" s="7" t="s">
        <v>210</v>
      </c>
      <c r="L312" s="7" t="s">
        <v>1256</v>
      </c>
      <c r="M312" s="7" t="s">
        <v>3802</v>
      </c>
      <c r="N312" s="7"/>
      <c r="O312" s="7" t="s">
        <v>3785</v>
      </c>
      <c r="P312" s="7">
        <v>21</v>
      </c>
      <c r="Q312" s="7">
        <v>30018716</v>
      </c>
      <c r="R312" s="7">
        <v>0.33</v>
      </c>
      <c r="S312" s="7">
        <v>0.13</v>
      </c>
      <c r="T312" s="7">
        <v>22727169.879999999</v>
      </c>
      <c r="U312" s="7">
        <v>16671641.91</v>
      </c>
      <c r="V312" s="7">
        <v>0.28999999999999998</v>
      </c>
      <c r="W312" s="7">
        <v>0.08</v>
      </c>
      <c r="X312" s="7" t="s">
        <v>1257</v>
      </c>
      <c r="Y312" s="7">
        <v>8737517.5999999996</v>
      </c>
      <c r="Z312" s="7">
        <v>5759671.2300000004</v>
      </c>
      <c r="AA312" s="7">
        <v>60</v>
      </c>
      <c r="AB312" s="7">
        <v>91</v>
      </c>
      <c r="AC312" s="7" t="s">
        <v>347</v>
      </c>
      <c r="AD312" s="7" t="s">
        <v>406</v>
      </c>
      <c r="AE312" s="7">
        <v>0.13</v>
      </c>
      <c r="AF312" s="7" t="s">
        <v>4276</v>
      </c>
      <c r="AG312" s="7">
        <v>0.1</v>
      </c>
      <c r="AH312" s="7">
        <v>0.02</v>
      </c>
      <c r="AI312" s="7">
        <v>5</v>
      </c>
      <c r="AJ312" s="7">
        <v>2591</v>
      </c>
      <c r="AK312" s="7">
        <v>5327215.26</v>
      </c>
      <c r="AL312" s="7">
        <v>3028693.82</v>
      </c>
      <c r="AM312" s="7" t="s">
        <v>355</v>
      </c>
      <c r="AN312" s="7" t="s">
        <v>356</v>
      </c>
      <c r="AO312" s="7"/>
      <c r="AP312" s="7">
        <v>12</v>
      </c>
      <c r="AQ312" s="7" t="s">
        <v>387</v>
      </c>
      <c r="AR312" s="7" t="s">
        <v>192</v>
      </c>
      <c r="AS312" s="7" t="s">
        <v>361</v>
      </c>
    </row>
    <row r="313" spans="1:45" x14ac:dyDescent="0.3">
      <c r="A313" s="6" t="s">
        <v>1258</v>
      </c>
      <c r="B313" s="6" t="s">
        <v>4613</v>
      </c>
      <c r="C313" s="6" t="s">
        <v>214</v>
      </c>
      <c r="D313" s="6" t="s">
        <v>202</v>
      </c>
      <c r="E313" s="6"/>
      <c r="F313" s="6" t="s">
        <v>35</v>
      </c>
      <c r="G313" s="6" t="s">
        <v>66</v>
      </c>
      <c r="H313" s="6" t="s">
        <v>4271</v>
      </c>
      <c r="I313" s="6" t="s">
        <v>240</v>
      </c>
      <c r="J313" s="6" t="s">
        <v>130</v>
      </c>
      <c r="K313" s="6" t="s">
        <v>223</v>
      </c>
      <c r="L313" s="6" t="s">
        <v>1259</v>
      </c>
      <c r="M313" s="6" t="s">
        <v>4797</v>
      </c>
      <c r="N313" s="6" t="s">
        <v>4798</v>
      </c>
      <c r="O313" s="6" t="s">
        <v>4550</v>
      </c>
      <c r="P313" s="6" t="s">
        <v>4275</v>
      </c>
      <c r="Q313" s="6">
        <v>10797071</v>
      </c>
      <c r="R313" s="6">
        <v>0.3</v>
      </c>
      <c r="S313" s="6">
        <v>0.14000000000000001</v>
      </c>
      <c r="T313" s="6">
        <v>8616062.6600000001</v>
      </c>
      <c r="U313" s="6">
        <v>7644324.0499999998</v>
      </c>
      <c r="V313" s="6">
        <v>0.39</v>
      </c>
      <c r="W313" s="6">
        <v>0.17</v>
      </c>
      <c r="X313" s="6" t="s">
        <v>1260</v>
      </c>
      <c r="Y313" s="6">
        <v>5554694.9100000001</v>
      </c>
      <c r="Z313" s="6">
        <v>1892035.31</v>
      </c>
      <c r="AA313" s="6">
        <v>60</v>
      </c>
      <c r="AB313" s="6">
        <v>29</v>
      </c>
      <c r="AC313" s="6" t="s">
        <v>347</v>
      </c>
      <c r="AD313" s="6" t="s">
        <v>381</v>
      </c>
      <c r="AE313" s="6">
        <v>0.37</v>
      </c>
      <c r="AF313" s="6" t="s">
        <v>4294</v>
      </c>
      <c r="AG313" s="6">
        <v>0.15</v>
      </c>
      <c r="AH313" s="6">
        <v>0.09</v>
      </c>
      <c r="AI313" s="6">
        <v>11</v>
      </c>
      <c r="AJ313" s="6">
        <v>267</v>
      </c>
      <c r="AK313" s="6">
        <v>1021295.47</v>
      </c>
      <c r="AL313" s="6">
        <v>3269725.8</v>
      </c>
      <c r="AM313" s="6" t="s">
        <v>355</v>
      </c>
      <c r="AN313" s="6" t="s">
        <v>321</v>
      </c>
      <c r="AO313" s="6">
        <v>94.9</v>
      </c>
      <c r="AP313" s="6">
        <v>12</v>
      </c>
      <c r="AQ313" s="6" t="s">
        <v>4275</v>
      </c>
      <c r="AR313" s="6" t="s">
        <v>186</v>
      </c>
      <c r="AS313" s="6"/>
    </row>
    <row r="314" spans="1:45" x14ac:dyDescent="0.3">
      <c r="A314" s="7" t="s">
        <v>1261</v>
      </c>
      <c r="B314" s="7" t="s">
        <v>4799</v>
      </c>
      <c r="C314" s="7" t="s">
        <v>269</v>
      </c>
      <c r="D314" s="7" t="s">
        <v>248</v>
      </c>
      <c r="E314" s="7" t="s">
        <v>4325</v>
      </c>
      <c r="F314" s="7" t="s">
        <v>19</v>
      </c>
      <c r="G314" s="7" t="s">
        <v>16</v>
      </c>
      <c r="H314" s="7" t="s">
        <v>4280</v>
      </c>
      <c r="I314" s="7" t="s">
        <v>246</v>
      </c>
      <c r="J314" s="7" t="s">
        <v>115</v>
      </c>
      <c r="K314" s="7" t="s">
        <v>221</v>
      </c>
      <c r="L314" s="7" t="s">
        <v>1262</v>
      </c>
      <c r="M314" s="7" t="s">
        <v>4800</v>
      </c>
      <c r="N314" s="7" t="s">
        <v>4801</v>
      </c>
      <c r="O314" s="7" t="s">
        <v>4802</v>
      </c>
      <c r="P314" s="7">
        <v>47</v>
      </c>
      <c r="Q314" s="7">
        <v>41579289</v>
      </c>
      <c r="R314" s="7">
        <v>0.31</v>
      </c>
      <c r="S314" s="7">
        <v>0.19</v>
      </c>
      <c r="T314" s="7">
        <v>34140754.200000003</v>
      </c>
      <c r="U314" s="7">
        <v>24324966.170000002</v>
      </c>
      <c r="V314" s="7">
        <v>0.05</v>
      </c>
      <c r="W314" s="7">
        <v>0.12</v>
      </c>
      <c r="X314" s="7" t="s">
        <v>1263</v>
      </c>
      <c r="Y314" s="7">
        <v>12130143.27</v>
      </c>
      <c r="Z314" s="7">
        <v>11013832.33</v>
      </c>
      <c r="AA314" s="7">
        <v>45</v>
      </c>
      <c r="AB314" s="7">
        <v>96</v>
      </c>
      <c r="AC314" s="7" t="s">
        <v>329</v>
      </c>
      <c r="AD314" s="7" t="s">
        <v>320</v>
      </c>
      <c r="AE314" s="7">
        <v>0.69</v>
      </c>
      <c r="AF314" s="7" t="s">
        <v>4312</v>
      </c>
      <c r="AG314" s="7">
        <v>0.1</v>
      </c>
      <c r="AH314" s="7">
        <v>0.02</v>
      </c>
      <c r="AI314" s="7">
        <v>11</v>
      </c>
      <c r="AJ314" s="7">
        <v>2860</v>
      </c>
      <c r="AK314" s="7">
        <v>1255084.56</v>
      </c>
      <c r="AL314" s="7">
        <v>8596408.9600000009</v>
      </c>
      <c r="AM314" s="7" t="s">
        <v>321</v>
      </c>
      <c r="AN314" s="7" t="s">
        <v>330</v>
      </c>
      <c r="AO314" s="7">
        <v>92.3</v>
      </c>
      <c r="AP314" s="7">
        <v>48</v>
      </c>
      <c r="AQ314" s="7" t="s">
        <v>4275</v>
      </c>
      <c r="AR314" s="7" t="s">
        <v>192</v>
      </c>
      <c r="AS314" s="7" t="s">
        <v>361</v>
      </c>
    </row>
    <row r="315" spans="1:45" x14ac:dyDescent="0.3">
      <c r="A315" s="6" t="s">
        <v>1264</v>
      </c>
      <c r="B315" s="6" t="s">
        <v>4683</v>
      </c>
      <c r="C315" s="6" t="s">
        <v>284</v>
      </c>
      <c r="D315" s="6"/>
      <c r="E315" s="6" t="s">
        <v>36</v>
      </c>
      <c r="F315" s="6" t="s">
        <v>19</v>
      </c>
      <c r="G315" s="6"/>
      <c r="H315" s="6" t="s">
        <v>4280</v>
      </c>
      <c r="I315" s="6"/>
      <c r="J315" s="6" t="s">
        <v>115</v>
      </c>
      <c r="K315" s="6" t="s">
        <v>210</v>
      </c>
      <c r="L315" s="6" t="s">
        <v>1265</v>
      </c>
      <c r="M315" s="6" t="s">
        <v>3805</v>
      </c>
      <c r="N315" s="6" t="s">
        <v>3640</v>
      </c>
      <c r="O315" s="6" t="s">
        <v>4803</v>
      </c>
      <c r="P315" s="6">
        <v>24</v>
      </c>
      <c r="Q315" s="6">
        <v>12733933</v>
      </c>
      <c r="R315" s="6">
        <v>0.23</v>
      </c>
      <c r="S315" s="6">
        <v>0.09</v>
      </c>
      <c r="T315" s="6">
        <v>10687589.970000001</v>
      </c>
      <c r="U315" s="6">
        <v>9373645.7400000002</v>
      </c>
      <c r="V315" s="6">
        <v>0.31</v>
      </c>
      <c r="W315" s="6">
        <v>0.2</v>
      </c>
      <c r="X315" s="6" t="s">
        <v>1266</v>
      </c>
      <c r="Y315" s="6">
        <v>7612060.8399999999</v>
      </c>
      <c r="Z315" s="6">
        <v>3616247.35</v>
      </c>
      <c r="AA315" s="6">
        <v>45</v>
      </c>
      <c r="AB315" s="6">
        <v>79</v>
      </c>
      <c r="AC315" s="6" t="s">
        <v>329</v>
      </c>
      <c r="AD315" s="6" t="s">
        <v>354</v>
      </c>
      <c r="AE315" s="6" t="s">
        <v>4467</v>
      </c>
      <c r="AF315" s="6" t="s">
        <v>4361</v>
      </c>
      <c r="AG315" s="6">
        <v>0.05</v>
      </c>
      <c r="AH315" s="6">
        <v>0.02</v>
      </c>
      <c r="AI315" s="6">
        <v>1</v>
      </c>
      <c r="AJ315" s="6">
        <v>1410</v>
      </c>
      <c r="AK315" s="6">
        <v>1672898.96</v>
      </c>
      <c r="AL315" s="6">
        <v>1784772.36</v>
      </c>
      <c r="AM315" s="6"/>
      <c r="AN315" s="6" t="s">
        <v>348</v>
      </c>
      <c r="AO315" s="6">
        <v>77.2</v>
      </c>
      <c r="AP315" s="6" t="s">
        <v>4275</v>
      </c>
      <c r="AQ315" s="6" t="s">
        <v>323</v>
      </c>
      <c r="AR315" s="6" t="s">
        <v>186</v>
      </c>
      <c r="AS315" s="6" t="s">
        <v>188</v>
      </c>
    </row>
    <row r="316" spans="1:45" x14ac:dyDescent="0.3">
      <c r="A316" s="7" t="s">
        <v>1267</v>
      </c>
      <c r="B316" s="7" t="s">
        <v>3568</v>
      </c>
      <c r="C316" s="7" t="s">
        <v>214</v>
      </c>
      <c r="D316" s="7" t="s">
        <v>209</v>
      </c>
      <c r="E316" s="7"/>
      <c r="F316" s="7" t="s">
        <v>339</v>
      </c>
      <c r="G316" s="7" t="s">
        <v>70</v>
      </c>
      <c r="H316" s="7" t="s">
        <v>4275</v>
      </c>
      <c r="I316" s="7" t="s">
        <v>4291</v>
      </c>
      <c r="J316" s="7" t="s">
        <v>130</v>
      </c>
      <c r="K316" s="7" t="s">
        <v>210</v>
      </c>
      <c r="L316" s="7" t="s">
        <v>1268</v>
      </c>
      <c r="M316" s="7" t="s">
        <v>438</v>
      </c>
      <c r="N316" s="7" t="s">
        <v>4479</v>
      </c>
      <c r="O316" s="7" t="s">
        <v>3806</v>
      </c>
      <c r="P316" s="7">
        <v>35</v>
      </c>
      <c r="Q316" s="7">
        <v>35140951</v>
      </c>
      <c r="R316" s="7">
        <v>7.0000000000000007E-2</v>
      </c>
      <c r="S316" s="7">
        <v>0.01</v>
      </c>
      <c r="T316" s="7">
        <v>33007895.27</v>
      </c>
      <c r="U316" s="7">
        <v>25107758.030000001</v>
      </c>
      <c r="V316" s="7">
        <v>0.24</v>
      </c>
      <c r="W316" s="7">
        <v>0.16</v>
      </c>
      <c r="X316" s="7" t="s">
        <v>1269</v>
      </c>
      <c r="Y316" s="7">
        <v>29238653.059999999</v>
      </c>
      <c r="Z316" s="7">
        <v>29587835.850000001</v>
      </c>
      <c r="AA316" s="7">
        <v>120</v>
      </c>
      <c r="AB316" s="7">
        <v>33</v>
      </c>
      <c r="AC316" s="7" t="s">
        <v>329</v>
      </c>
      <c r="AD316" s="7" t="s">
        <v>354</v>
      </c>
      <c r="AE316" s="7">
        <v>0.05</v>
      </c>
      <c r="AF316" s="7" t="s">
        <v>153</v>
      </c>
      <c r="AG316" s="7">
        <v>0.1</v>
      </c>
      <c r="AH316" s="7">
        <v>0.02</v>
      </c>
      <c r="AI316" s="7">
        <v>11</v>
      </c>
      <c r="AJ316" s="7">
        <v>3137</v>
      </c>
      <c r="AK316" s="7">
        <v>997667.78</v>
      </c>
      <c r="AL316" s="7"/>
      <c r="AM316" s="7" t="s">
        <v>385</v>
      </c>
      <c r="AN316" s="7" t="s">
        <v>386</v>
      </c>
      <c r="AO316" s="7">
        <v>73.2</v>
      </c>
      <c r="AP316" s="7">
        <v>36</v>
      </c>
      <c r="AQ316" s="7" t="s">
        <v>392</v>
      </c>
      <c r="AR316" s="7" t="s">
        <v>206</v>
      </c>
      <c r="AS316" s="7"/>
    </row>
    <row r="317" spans="1:45" x14ac:dyDescent="0.3">
      <c r="A317" s="6" t="s">
        <v>1270</v>
      </c>
      <c r="B317" s="6" t="s">
        <v>3807</v>
      </c>
      <c r="C317" s="6" t="s">
        <v>219</v>
      </c>
      <c r="D317" s="6" t="s">
        <v>262</v>
      </c>
      <c r="E317" s="6" t="s">
        <v>4376</v>
      </c>
      <c r="F317" s="6" t="s">
        <v>31</v>
      </c>
      <c r="G317" s="6" t="s">
        <v>54</v>
      </c>
      <c r="H317" s="6" t="s">
        <v>236</v>
      </c>
      <c r="I317" s="6" t="s">
        <v>198</v>
      </c>
      <c r="J317" s="6" t="s">
        <v>136</v>
      </c>
      <c r="K317" s="6" t="s">
        <v>199</v>
      </c>
      <c r="L317" s="6" t="s">
        <v>1271</v>
      </c>
      <c r="M317" s="6" t="s">
        <v>4804</v>
      </c>
      <c r="N317" s="6"/>
      <c r="O317" s="6" t="s">
        <v>4805</v>
      </c>
      <c r="P317" s="6">
        <v>50</v>
      </c>
      <c r="Q317" s="6">
        <v>34326220</v>
      </c>
      <c r="R317" s="6">
        <v>0.32</v>
      </c>
      <c r="S317" s="6">
        <v>7.0000000000000007E-2</v>
      </c>
      <c r="T317" s="6">
        <v>24975757.670000002</v>
      </c>
      <c r="U317" s="6">
        <v>20588311.149999999</v>
      </c>
      <c r="V317" s="6">
        <v>0.39</v>
      </c>
      <c r="W317" s="6">
        <v>0.19</v>
      </c>
      <c r="X317" s="6" t="s">
        <v>1272</v>
      </c>
      <c r="Y317" s="6">
        <v>4908273.63</v>
      </c>
      <c r="Z317" s="6">
        <v>3471384.46</v>
      </c>
      <c r="AA317" s="6">
        <v>60</v>
      </c>
      <c r="AB317" s="6">
        <v>80</v>
      </c>
      <c r="AC317" s="6" t="s">
        <v>329</v>
      </c>
      <c r="AD317" s="6" t="s">
        <v>406</v>
      </c>
      <c r="AE317" s="6">
        <v>0.86</v>
      </c>
      <c r="AF317" s="6" t="s">
        <v>153</v>
      </c>
      <c r="AG317" s="6">
        <v>0.15</v>
      </c>
      <c r="AH317" s="6">
        <v>0.02</v>
      </c>
      <c r="AI317" s="6">
        <v>4</v>
      </c>
      <c r="AJ317" s="6">
        <v>116</v>
      </c>
      <c r="AK317" s="6">
        <v>4141732.12</v>
      </c>
      <c r="AL317" s="6">
        <v>5264871.95</v>
      </c>
      <c r="AM317" s="6" t="s">
        <v>343</v>
      </c>
      <c r="AN317" s="6" t="s">
        <v>348</v>
      </c>
      <c r="AO317" s="6">
        <v>59.8</v>
      </c>
      <c r="AP317" s="6">
        <v>24</v>
      </c>
      <c r="AQ317" s="6"/>
      <c r="AR317" s="6" t="s">
        <v>224</v>
      </c>
      <c r="AS317" s="6" t="s">
        <v>377</v>
      </c>
    </row>
    <row r="318" spans="1:45" x14ac:dyDescent="0.3">
      <c r="A318" s="7" t="s">
        <v>1273</v>
      </c>
      <c r="B318" s="7" t="s">
        <v>4806</v>
      </c>
      <c r="C318" s="7" t="s">
        <v>260</v>
      </c>
      <c r="D318" s="7" t="s">
        <v>242</v>
      </c>
      <c r="E318" s="7" t="s">
        <v>113</v>
      </c>
      <c r="F318" s="7" t="s">
        <v>181</v>
      </c>
      <c r="G318" s="7" t="s">
        <v>16</v>
      </c>
      <c r="H318" s="7" t="s">
        <v>4326</v>
      </c>
      <c r="I318" s="7"/>
      <c r="J318" s="7" t="s">
        <v>127</v>
      </c>
      <c r="K318" s="7" t="s">
        <v>210</v>
      </c>
      <c r="L318" s="7" t="s">
        <v>1274</v>
      </c>
      <c r="M318" s="7" t="s">
        <v>3494</v>
      </c>
      <c r="N318" s="7" t="s">
        <v>3808</v>
      </c>
      <c r="O318" s="7" t="s">
        <v>3809</v>
      </c>
      <c r="P318" s="7">
        <v>27</v>
      </c>
      <c r="Q318" s="7">
        <v>7128011</v>
      </c>
      <c r="R318" s="7">
        <v>0.09</v>
      </c>
      <c r="S318" s="7">
        <v>0.13</v>
      </c>
      <c r="T318" s="7">
        <v>7329733.71</v>
      </c>
      <c r="U318" s="7">
        <v>4487724.68</v>
      </c>
      <c r="V318" s="7">
        <v>0.25</v>
      </c>
      <c r="W318" s="7">
        <v>0.19</v>
      </c>
      <c r="X318" s="7" t="s">
        <v>1275</v>
      </c>
      <c r="Y318" s="7">
        <v>624599.65</v>
      </c>
      <c r="Z318" s="7">
        <v>575554.13</v>
      </c>
      <c r="AA318" s="7">
        <v>45</v>
      </c>
      <c r="AB318" s="7">
        <v>129</v>
      </c>
      <c r="AC318" s="7" t="s">
        <v>347</v>
      </c>
      <c r="AD318" s="7" t="s">
        <v>354</v>
      </c>
      <c r="AE318" s="7">
        <v>0.14000000000000001</v>
      </c>
      <c r="AF318" s="7" t="s">
        <v>153</v>
      </c>
      <c r="AG318" s="7">
        <v>0.1</v>
      </c>
      <c r="AH318" s="7">
        <v>0.09</v>
      </c>
      <c r="AI318" s="7">
        <v>13</v>
      </c>
      <c r="AJ318" s="7">
        <v>4443</v>
      </c>
      <c r="AK318" s="7">
        <v>259344.98</v>
      </c>
      <c r="AL318" s="7">
        <v>1208533.4099999999</v>
      </c>
      <c r="AM318" s="7"/>
      <c r="AN318" s="7" t="s">
        <v>322</v>
      </c>
      <c r="AO318" s="7">
        <v>89.3</v>
      </c>
      <c r="AP318" s="7">
        <v>24</v>
      </c>
      <c r="AQ318" s="7" t="s">
        <v>4275</v>
      </c>
      <c r="AR318" s="7" t="s">
        <v>206</v>
      </c>
      <c r="AS318" s="7"/>
    </row>
    <row r="319" spans="1:45" x14ac:dyDescent="0.3">
      <c r="A319" s="6" t="s">
        <v>1276</v>
      </c>
      <c r="B319" s="6" t="s">
        <v>4807</v>
      </c>
      <c r="C319" s="6" t="s">
        <v>243</v>
      </c>
      <c r="D319" s="6" t="s">
        <v>180</v>
      </c>
      <c r="E319" s="6" t="s">
        <v>4265</v>
      </c>
      <c r="F319" s="6" t="s">
        <v>350</v>
      </c>
      <c r="G319" s="6" t="s">
        <v>50</v>
      </c>
      <c r="H319" s="6" t="s">
        <v>197</v>
      </c>
      <c r="I319" s="6" t="s">
        <v>213</v>
      </c>
      <c r="J319" s="6" t="s">
        <v>105</v>
      </c>
      <c r="K319" s="6" t="s">
        <v>221</v>
      </c>
      <c r="L319" s="6" t="s">
        <v>1277</v>
      </c>
      <c r="M319" s="6" t="s">
        <v>3810</v>
      </c>
      <c r="N319" s="6" t="s">
        <v>3811</v>
      </c>
      <c r="O319" s="6" t="s">
        <v>4274</v>
      </c>
      <c r="P319" s="6">
        <v>57</v>
      </c>
      <c r="Q319" s="6">
        <v>28230301</v>
      </c>
      <c r="R319" s="6">
        <v>0.3</v>
      </c>
      <c r="S319" s="6">
        <v>0.18</v>
      </c>
      <c r="T319" s="6">
        <v>23318228.629999999</v>
      </c>
      <c r="U319" s="6">
        <v>14933154.27</v>
      </c>
      <c r="V319" s="6">
        <v>0.09</v>
      </c>
      <c r="W319" s="6">
        <v>0.09</v>
      </c>
      <c r="X319" s="6" t="s">
        <v>1278</v>
      </c>
      <c r="Y319" s="6">
        <v>10293339.779999999</v>
      </c>
      <c r="Z319" s="6">
        <v>9289886.7300000004</v>
      </c>
      <c r="AA319" s="6">
        <v>30</v>
      </c>
      <c r="AB319" s="6">
        <v>99</v>
      </c>
      <c r="AC319" s="6" t="s">
        <v>376</v>
      </c>
      <c r="AD319" s="6" t="s">
        <v>381</v>
      </c>
      <c r="AE319" s="6">
        <v>0.27</v>
      </c>
      <c r="AF319" s="6" t="s">
        <v>153</v>
      </c>
      <c r="AG319" s="6">
        <v>0.1</v>
      </c>
      <c r="AH319" s="6">
        <v>0.09</v>
      </c>
      <c r="AI319" s="6">
        <v>2</v>
      </c>
      <c r="AJ319" s="6">
        <v>4554</v>
      </c>
      <c r="AK319" s="6">
        <v>1895950.66</v>
      </c>
      <c r="AL319" s="6">
        <v>8666712.1699999999</v>
      </c>
      <c r="AM319" s="6"/>
      <c r="AN319" s="6" t="s">
        <v>322</v>
      </c>
      <c r="AO319" s="6">
        <v>89.3</v>
      </c>
      <c r="AP319" s="6">
        <v>12</v>
      </c>
      <c r="AQ319" s="6"/>
      <c r="AR319" s="6" t="s">
        <v>206</v>
      </c>
      <c r="AS319" s="6" t="s">
        <v>324</v>
      </c>
    </row>
    <row r="320" spans="1:45" x14ac:dyDescent="0.3">
      <c r="A320" s="7" t="s">
        <v>1279</v>
      </c>
      <c r="B320" s="7" t="s">
        <v>3795</v>
      </c>
      <c r="C320" s="7" t="s">
        <v>268</v>
      </c>
      <c r="D320" s="7" t="s">
        <v>190</v>
      </c>
      <c r="E320" s="7"/>
      <c r="F320" s="7"/>
      <c r="G320" s="7" t="s">
        <v>28</v>
      </c>
      <c r="H320" s="7"/>
      <c r="I320" s="7" t="s">
        <v>240</v>
      </c>
      <c r="J320" s="7" t="s">
        <v>130</v>
      </c>
      <c r="K320" s="7" t="s">
        <v>221</v>
      </c>
      <c r="L320" s="7" t="s">
        <v>1280</v>
      </c>
      <c r="M320" s="7" t="s">
        <v>3592</v>
      </c>
      <c r="N320" s="7" t="s">
        <v>1281</v>
      </c>
      <c r="O320" s="7" t="s">
        <v>4808</v>
      </c>
      <c r="P320" s="7">
        <v>32</v>
      </c>
      <c r="Q320" s="7">
        <v>10099826</v>
      </c>
      <c r="R320" s="7">
        <v>0.23</v>
      </c>
      <c r="S320" s="7">
        <v>0.13</v>
      </c>
      <c r="T320" s="7">
        <v>8787858.5999999996</v>
      </c>
      <c r="U320" s="7">
        <v>6301960.5099999998</v>
      </c>
      <c r="V320" s="7">
        <v>0.28999999999999998</v>
      </c>
      <c r="W320" s="7">
        <v>0.12</v>
      </c>
      <c r="X320" s="7" t="s">
        <v>1282</v>
      </c>
      <c r="Y320" s="7">
        <v>7217678.2199999997</v>
      </c>
      <c r="Z320" s="7">
        <v>6271964.7800000003</v>
      </c>
      <c r="AA320" s="7">
        <v>120</v>
      </c>
      <c r="AB320" s="7">
        <v>147</v>
      </c>
      <c r="AC320" s="7" t="s">
        <v>342</v>
      </c>
      <c r="AD320" s="7" t="s">
        <v>354</v>
      </c>
      <c r="AE320" s="7">
        <v>0.69</v>
      </c>
      <c r="AF320" s="7" t="s">
        <v>4294</v>
      </c>
      <c r="AG320" s="7">
        <v>0.1</v>
      </c>
      <c r="AH320" s="7">
        <v>0.03</v>
      </c>
      <c r="AI320" s="7">
        <v>10</v>
      </c>
      <c r="AJ320" s="7">
        <v>2758</v>
      </c>
      <c r="AK320" s="7">
        <v>904387.53</v>
      </c>
      <c r="AL320" s="7">
        <v>2181915.71</v>
      </c>
      <c r="AM320" s="7" t="s">
        <v>385</v>
      </c>
      <c r="AN320" s="7"/>
      <c r="AO320" s="7">
        <v>79.3</v>
      </c>
      <c r="AP320" s="7">
        <v>36</v>
      </c>
      <c r="AQ320" s="7" t="s">
        <v>4275</v>
      </c>
      <c r="AR320" s="7" t="s">
        <v>224</v>
      </c>
      <c r="AS320" s="7" t="s">
        <v>377</v>
      </c>
    </row>
    <row r="321" spans="1:45" x14ac:dyDescent="0.3">
      <c r="A321" s="6" t="s">
        <v>1283</v>
      </c>
      <c r="B321" s="6" t="s">
        <v>3688</v>
      </c>
      <c r="C321" s="6" t="s">
        <v>252</v>
      </c>
      <c r="D321" s="6" t="s">
        <v>394</v>
      </c>
      <c r="E321" s="6" t="s">
        <v>4376</v>
      </c>
      <c r="F321" s="6" t="s">
        <v>196</v>
      </c>
      <c r="G321" s="6" t="s">
        <v>46</v>
      </c>
      <c r="H321" s="6" t="s">
        <v>236</v>
      </c>
      <c r="I321" s="6" t="s">
        <v>4289</v>
      </c>
      <c r="J321" s="6" t="s">
        <v>136</v>
      </c>
      <c r="K321" s="6" t="s">
        <v>333</v>
      </c>
      <c r="L321" s="6" t="s">
        <v>1284</v>
      </c>
      <c r="M321" s="6" t="s">
        <v>3812</v>
      </c>
      <c r="N321" s="6"/>
      <c r="O321" s="6" t="s">
        <v>3366</v>
      </c>
      <c r="P321" s="6">
        <v>27</v>
      </c>
      <c r="Q321" s="6">
        <v>8687470</v>
      </c>
      <c r="R321" s="6">
        <v>0.04</v>
      </c>
      <c r="S321" s="6">
        <v>0.04</v>
      </c>
      <c r="T321" s="6">
        <v>8673570.0500000007</v>
      </c>
      <c r="U321" s="6">
        <v>7321285.1799999997</v>
      </c>
      <c r="V321" s="6">
        <v>0.28000000000000003</v>
      </c>
      <c r="W321" s="6">
        <v>0.09</v>
      </c>
      <c r="X321" s="6" t="s">
        <v>1285</v>
      </c>
      <c r="Y321" s="6">
        <v>3161067.21</v>
      </c>
      <c r="Z321" s="6">
        <v>2302487.0299999998</v>
      </c>
      <c r="AA321" s="6">
        <v>30</v>
      </c>
      <c r="AB321" s="6">
        <v>147</v>
      </c>
      <c r="AC321" s="6" t="s">
        <v>329</v>
      </c>
      <c r="AD321" s="6" t="s">
        <v>381</v>
      </c>
      <c r="AE321" s="6">
        <v>0.36</v>
      </c>
      <c r="AF321" s="6" t="s">
        <v>4303</v>
      </c>
      <c r="AG321" s="6">
        <v>0.15</v>
      </c>
      <c r="AH321" s="6">
        <v>0.09</v>
      </c>
      <c r="AI321" s="6">
        <v>9</v>
      </c>
      <c r="AJ321" s="6">
        <v>2604</v>
      </c>
      <c r="AK321" s="6">
        <v>599369.04</v>
      </c>
      <c r="AL321" s="6">
        <v>2438331.9900000002</v>
      </c>
      <c r="AM321" s="6"/>
      <c r="AN321" s="6" t="s">
        <v>348</v>
      </c>
      <c r="AO321" s="6">
        <v>62.4</v>
      </c>
      <c r="AP321" s="6">
        <v>48</v>
      </c>
      <c r="AQ321" s="6" t="s">
        <v>323</v>
      </c>
      <c r="AR321" s="6" t="s">
        <v>192</v>
      </c>
      <c r="AS321" s="6"/>
    </row>
    <row r="322" spans="1:45" x14ac:dyDescent="0.3">
      <c r="A322" s="7" t="s">
        <v>1286</v>
      </c>
      <c r="B322" s="7" t="s">
        <v>3813</v>
      </c>
      <c r="C322" s="7" t="s">
        <v>237</v>
      </c>
      <c r="D322" s="7" t="s">
        <v>242</v>
      </c>
      <c r="E322" s="7" t="s">
        <v>113</v>
      </c>
      <c r="F322" s="7" t="s">
        <v>181</v>
      </c>
      <c r="G322" s="7" t="s">
        <v>66</v>
      </c>
      <c r="H322" s="7" t="s">
        <v>212</v>
      </c>
      <c r="I322" s="7" t="s">
        <v>4272</v>
      </c>
      <c r="J322" s="7" t="s">
        <v>111</v>
      </c>
      <c r="K322" s="7" t="s">
        <v>221</v>
      </c>
      <c r="L322" s="7" t="s">
        <v>1287</v>
      </c>
      <c r="M322" s="7" t="s">
        <v>4716</v>
      </c>
      <c r="N322" s="7" t="s">
        <v>4809</v>
      </c>
      <c r="O322" s="7" t="s">
        <v>4462</v>
      </c>
      <c r="P322" s="7">
        <v>32</v>
      </c>
      <c r="Q322" s="7">
        <v>35823414</v>
      </c>
      <c r="R322" s="7">
        <v>0.28999999999999998</v>
      </c>
      <c r="S322" s="7">
        <v>0.18</v>
      </c>
      <c r="T322" s="7">
        <v>30012856.25</v>
      </c>
      <c r="U322" s="7">
        <v>23205682.789999999</v>
      </c>
      <c r="V322" s="7">
        <v>0.16</v>
      </c>
      <c r="W322" s="7">
        <v>0.08</v>
      </c>
      <c r="X322" s="7" t="s">
        <v>1288</v>
      </c>
      <c r="Y322" s="7">
        <v>5125458.6100000003</v>
      </c>
      <c r="Z322" s="7">
        <v>2030695.44</v>
      </c>
      <c r="AA322" s="7">
        <v>60</v>
      </c>
      <c r="AB322" s="7">
        <v>141</v>
      </c>
      <c r="AC322" s="7" t="s">
        <v>353</v>
      </c>
      <c r="AD322" s="7" t="s">
        <v>336</v>
      </c>
      <c r="AE322" s="7">
        <v>0.47</v>
      </c>
      <c r="AF322" s="7" t="s">
        <v>159</v>
      </c>
      <c r="AG322" s="7">
        <v>0.15</v>
      </c>
      <c r="AH322" s="7">
        <v>0.04</v>
      </c>
      <c r="AI322" s="7">
        <v>5</v>
      </c>
      <c r="AJ322" s="7">
        <v>2935</v>
      </c>
      <c r="AK322" s="7">
        <v>6216995.75</v>
      </c>
      <c r="AL322" s="7">
        <v>3756190.66</v>
      </c>
      <c r="AM322" s="7" t="s">
        <v>385</v>
      </c>
      <c r="AN322" s="7" t="s">
        <v>330</v>
      </c>
      <c r="AO322" s="7"/>
      <c r="AP322" s="7">
        <v>36</v>
      </c>
      <c r="AQ322" s="7" t="s">
        <v>323</v>
      </c>
      <c r="AR322" s="7" t="s">
        <v>229</v>
      </c>
      <c r="AS322" s="7"/>
    </row>
    <row r="323" spans="1:45" x14ac:dyDescent="0.3">
      <c r="A323" s="6" t="s">
        <v>1289</v>
      </c>
      <c r="B323" s="6" t="s">
        <v>3814</v>
      </c>
      <c r="C323" s="6" t="s">
        <v>230</v>
      </c>
      <c r="D323" s="6" t="s">
        <v>562</v>
      </c>
      <c r="E323" s="6"/>
      <c r="F323" s="6" t="s">
        <v>339</v>
      </c>
      <c r="G323" s="6" t="s">
        <v>73</v>
      </c>
      <c r="H323" s="6" t="s">
        <v>4280</v>
      </c>
      <c r="I323" s="6" t="s">
        <v>4291</v>
      </c>
      <c r="J323" s="6" t="s">
        <v>130</v>
      </c>
      <c r="K323" s="6" t="s">
        <v>326</v>
      </c>
      <c r="L323" s="6" t="s">
        <v>1290</v>
      </c>
      <c r="M323" s="6" t="s">
        <v>4810</v>
      </c>
      <c r="N323" s="6" t="s">
        <v>1291</v>
      </c>
      <c r="O323" s="6" t="s">
        <v>3815</v>
      </c>
      <c r="P323" s="6">
        <v>42</v>
      </c>
      <c r="Q323" s="6">
        <v>12157551</v>
      </c>
      <c r="R323" s="6">
        <v>0.26</v>
      </c>
      <c r="S323" s="6">
        <v>-0.03</v>
      </c>
      <c r="T323" s="6">
        <v>8726690.1099999994</v>
      </c>
      <c r="U323" s="6">
        <v>7574552.29</v>
      </c>
      <c r="V323" s="6">
        <v>0.12</v>
      </c>
      <c r="W323" s="6">
        <v>0.09</v>
      </c>
      <c r="X323" s="6" t="s">
        <v>1292</v>
      </c>
      <c r="Y323" s="6">
        <v>1818313.16</v>
      </c>
      <c r="Z323" s="6">
        <v>1219163.99</v>
      </c>
      <c r="AA323" s="6">
        <v>45</v>
      </c>
      <c r="AB323" s="6">
        <v>31</v>
      </c>
      <c r="AC323" s="6" t="s">
        <v>353</v>
      </c>
      <c r="AD323" s="6" t="s">
        <v>320</v>
      </c>
      <c r="AE323" s="6">
        <v>0.45</v>
      </c>
      <c r="AF323" s="6" t="s">
        <v>4361</v>
      </c>
      <c r="AG323" s="6">
        <v>0.15</v>
      </c>
      <c r="AH323" s="6">
        <v>0.04</v>
      </c>
      <c r="AI323" s="6">
        <v>3</v>
      </c>
      <c r="AJ323" s="6">
        <v>4287</v>
      </c>
      <c r="AK323" s="6">
        <v>524390.79</v>
      </c>
      <c r="AL323" s="6">
        <v>3849741.29</v>
      </c>
      <c r="AM323" s="6" t="s">
        <v>385</v>
      </c>
      <c r="AN323" s="6" t="s">
        <v>322</v>
      </c>
      <c r="AO323" s="6">
        <v>84.7</v>
      </c>
      <c r="AP323" s="6">
        <v>24</v>
      </c>
      <c r="AQ323" s="6" t="s">
        <v>387</v>
      </c>
      <c r="AR323" s="6" t="s">
        <v>186</v>
      </c>
      <c r="AS323" s="6" t="s">
        <v>377</v>
      </c>
    </row>
    <row r="324" spans="1:45" x14ac:dyDescent="0.3">
      <c r="A324" s="7" t="s">
        <v>1293</v>
      </c>
      <c r="B324" s="7" t="s">
        <v>3816</v>
      </c>
      <c r="C324" s="7" t="s">
        <v>217</v>
      </c>
      <c r="D324" s="7"/>
      <c r="E324" s="7"/>
      <c r="F324" s="7" t="s">
        <v>228</v>
      </c>
      <c r="G324" s="7" t="s">
        <v>28</v>
      </c>
      <c r="H324" s="7" t="s">
        <v>212</v>
      </c>
      <c r="I324" s="7"/>
      <c r="J324" s="7" t="s">
        <v>130</v>
      </c>
      <c r="K324" s="7" t="s">
        <v>221</v>
      </c>
      <c r="L324" s="7" t="s">
        <v>1294</v>
      </c>
      <c r="M324" s="7" t="s">
        <v>3358</v>
      </c>
      <c r="N324" s="7" t="s">
        <v>1295</v>
      </c>
      <c r="O324" s="7" t="s">
        <v>3817</v>
      </c>
      <c r="P324" s="7">
        <v>51</v>
      </c>
      <c r="Q324" s="7">
        <v>31710459</v>
      </c>
      <c r="R324" s="7">
        <v>0.15</v>
      </c>
      <c r="S324" s="7">
        <v>0.18</v>
      </c>
      <c r="T324" s="7">
        <v>31805590.379999999</v>
      </c>
      <c r="U324" s="7">
        <v>27284705.170000002</v>
      </c>
      <c r="V324" s="7">
        <v>0.22</v>
      </c>
      <c r="W324" s="7">
        <v>0.1</v>
      </c>
      <c r="X324" s="7" t="s">
        <v>1296</v>
      </c>
      <c r="Y324" s="7">
        <v>16492566.76</v>
      </c>
      <c r="Z324" s="7">
        <v>11005354.01</v>
      </c>
      <c r="AA324" s="7">
        <v>120</v>
      </c>
      <c r="AB324" s="7">
        <v>48</v>
      </c>
      <c r="AC324" s="7" t="s">
        <v>353</v>
      </c>
      <c r="AD324" s="7" t="s">
        <v>381</v>
      </c>
      <c r="AE324" s="7">
        <v>0.42</v>
      </c>
      <c r="AF324" s="7" t="s">
        <v>162</v>
      </c>
      <c r="AG324" s="7">
        <v>0.1</v>
      </c>
      <c r="AH324" s="7">
        <v>0.08</v>
      </c>
      <c r="AI324" s="7">
        <v>3</v>
      </c>
      <c r="AJ324" s="7">
        <v>4174</v>
      </c>
      <c r="AK324" s="7"/>
      <c r="AL324" s="7">
        <v>10908403.98</v>
      </c>
      <c r="AM324" s="7" t="s">
        <v>343</v>
      </c>
      <c r="AN324" s="7"/>
      <c r="AO324" s="7">
        <v>57.3</v>
      </c>
      <c r="AP324" s="7">
        <v>24</v>
      </c>
      <c r="AQ324" s="7"/>
      <c r="AR324" s="7" t="s">
        <v>224</v>
      </c>
      <c r="AS324" s="7" t="s">
        <v>324</v>
      </c>
    </row>
    <row r="325" spans="1:45" x14ac:dyDescent="0.3">
      <c r="A325" s="6" t="s">
        <v>1297</v>
      </c>
      <c r="B325" s="6" t="s">
        <v>4632</v>
      </c>
      <c r="C325" s="6" t="s">
        <v>201</v>
      </c>
      <c r="D325" s="6" t="s">
        <v>262</v>
      </c>
      <c r="E325" s="6" t="s">
        <v>113</v>
      </c>
      <c r="F325" s="6" t="s">
        <v>367</v>
      </c>
      <c r="G325" s="6" t="s">
        <v>66</v>
      </c>
      <c r="H325" s="6" t="s">
        <v>4275</v>
      </c>
      <c r="I325" s="6" t="s">
        <v>4272</v>
      </c>
      <c r="J325" s="6" t="s">
        <v>123</v>
      </c>
      <c r="K325" s="6" t="s">
        <v>333</v>
      </c>
      <c r="L325" s="6" t="s">
        <v>1298</v>
      </c>
      <c r="M325" s="6" t="s">
        <v>4811</v>
      </c>
      <c r="N325" s="6" t="s">
        <v>4588</v>
      </c>
      <c r="O325" s="6" t="s">
        <v>4530</v>
      </c>
      <c r="P325" s="6">
        <v>59</v>
      </c>
      <c r="Q325" s="6">
        <v>49474849</v>
      </c>
      <c r="R325" s="6">
        <v>0.34</v>
      </c>
      <c r="S325" s="6">
        <v>0.05</v>
      </c>
      <c r="T325" s="6">
        <v>34286070.359999999</v>
      </c>
      <c r="U325" s="6">
        <v>22831967.27</v>
      </c>
      <c r="V325" s="6">
        <v>0.19</v>
      </c>
      <c r="W325" s="6">
        <v>0.06</v>
      </c>
      <c r="X325" s="6" t="s">
        <v>1299</v>
      </c>
      <c r="Y325" s="6">
        <v>12702059.859999999</v>
      </c>
      <c r="Z325" s="6">
        <v>12153868.279999999</v>
      </c>
      <c r="AA325" s="6">
        <v>120</v>
      </c>
      <c r="AB325" s="6">
        <v>87</v>
      </c>
      <c r="AC325" s="6" t="s">
        <v>329</v>
      </c>
      <c r="AD325" s="6" t="s">
        <v>354</v>
      </c>
      <c r="AE325" s="6">
        <v>0.25</v>
      </c>
      <c r="AF325" s="6" t="s">
        <v>4294</v>
      </c>
      <c r="AG325" s="6">
        <v>0.15</v>
      </c>
      <c r="AH325" s="6">
        <v>0.01</v>
      </c>
      <c r="AI325" s="6">
        <v>12</v>
      </c>
      <c r="AJ325" s="6">
        <v>528</v>
      </c>
      <c r="AK325" s="6">
        <v>2868895.02</v>
      </c>
      <c r="AL325" s="6">
        <v>8386813.3799999999</v>
      </c>
      <c r="AM325" s="6" t="s">
        <v>385</v>
      </c>
      <c r="AN325" s="6"/>
      <c r="AO325" s="6">
        <v>70</v>
      </c>
      <c r="AP325" s="6">
        <v>12</v>
      </c>
      <c r="AQ325" s="6" t="s">
        <v>323</v>
      </c>
      <c r="AR325" s="6" t="s">
        <v>186</v>
      </c>
      <c r="AS325" s="6" t="s">
        <v>361</v>
      </c>
    </row>
    <row r="326" spans="1:45" x14ac:dyDescent="0.3">
      <c r="A326" s="7" t="s">
        <v>1300</v>
      </c>
      <c r="B326" s="7" t="s">
        <v>4812</v>
      </c>
      <c r="C326" s="7" t="s">
        <v>179</v>
      </c>
      <c r="D326" s="7" t="s">
        <v>202</v>
      </c>
      <c r="E326" s="7" t="s">
        <v>20</v>
      </c>
      <c r="F326" s="7" t="s">
        <v>31</v>
      </c>
      <c r="G326" s="7" t="s">
        <v>62</v>
      </c>
      <c r="H326" s="7" t="s">
        <v>197</v>
      </c>
      <c r="I326" s="7" t="s">
        <v>246</v>
      </c>
      <c r="J326" s="7" t="s">
        <v>136</v>
      </c>
      <c r="K326" s="7" t="s">
        <v>210</v>
      </c>
      <c r="L326" s="7" t="s">
        <v>1301</v>
      </c>
      <c r="M326" s="7" t="s">
        <v>4813</v>
      </c>
      <c r="N326" s="7"/>
      <c r="O326" s="7" t="s">
        <v>3585</v>
      </c>
      <c r="P326" s="7">
        <v>15</v>
      </c>
      <c r="Q326" s="7">
        <v>5400478</v>
      </c>
      <c r="R326" s="7">
        <v>0.2</v>
      </c>
      <c r="S326" s="7">
        <v>0.18</v>
      </c>
      <c r="T326" s="7">
        <v>5098051.2300000004</v>
      </c>
      <c r="U326" s="7">
        <v>4208794.74</v>
      </c>
      <c r="V326" s="7">
        <v>0.38</v>
      </c>
      <c r="W326" s="7">
        <v>0.11</v>
      </c>
      <c r="X326" s="7" t="s">
        <v>1302</v>
      </c>
      <c r="Y326" s="7" t="s">
        <v>158</v>
      </c>
      <c r="Z326" s="7">
        <v>1116772.1299999999</v>
      </c>
      <c r="AA326" s="7">
        <v>30</v>
      </c>
      <c r="AB326" s="7">
        <v>146</v>
      </c>
      <c r="AC326" s="7" t="s">
        <v>329</v>
      </c>
      <c r="AD326" s="7" t="s">
        <v>354</v>
      </c>
      <c r="AE326" s="7">
        <v>0.93</v>
      </c>
      <c r="AF326" s="7" t="s">
        <v>4319</v>
      </c>
      <c r="AG326" s="7">
        <v>0.05</v>
      </c>
      <c r="AH326" s="7">
        <v>0.06</v>
      </c>
      <c r="AI326" s="7">
        <v>12</v>
      </c>
      <c r="AJ326" s="7">
        <v>617</v>
      </c>
      <c r="AK326" s="7">
        <v>677155.71</v>
      </c>
      <c r="AL326" s="7">
        <v>672744.8</v>
      </c>
      <c r="AM326" s="7" t="s">
        <v>73</v>
      </c>
      <c r="AN326" s="7" t="s">
        <v>348</v>
      </c>
      <c r="AO326" s="7">
        <v>72.7</v>
      </c>
      <c r="AP326" s="7">
        <v>24</v>
      </c>
      <c r="AQ326" s="7"/>
      <c r="AR326" s="7" t="s">
        <v>186</v>
      </c>
      <c r="AS326" s="7"/>
    </row>
    <row r="327" spans="1:45" x14ac:dyDescent="0.3">
      <c r="A327" s="6" t="s">
        <v>1303</v>
      </c>
      <c r="B327" s="6" t="s">
        <v>4806</v>
      </c>
      <c r="C327" s="6" t="s">
        <v>266</v>
      </c>
      <c r="D327" s="6"/>
      <c r="E327" s="6" t="s">
        <v>36</v>
      </c>
      <c r="F327" s="6" t="s">
        <v>339</v>
      </c>
      <c r="G327" s="6" t="s">
        <v>23</v>
      </c>
      <c r="H327" s="6" t="s">
        <v>4326</v>
      </c>
      <c r="I327" s="6" t="s">
        <v>4289</v>
      </c>
      <c r="J327" s="6" t="s">
        <v>115</v>
      </c>
      <c r="K327" s="6" t="s">
        <v>184</v>
      </c>
      <c r="L327" s="6" t="s">
        <v>1304</v>
      </c>
      <c r="M327" s="6" t="s">
        <v>3302</v>
      </c>
      <c r="N327" s="6" t="s">
        <v>4640</v>
      </c>
      <c r="O327" s="6" t="s">
        <v>3819</v>
      </c>
      <c r="P327" s="6">
        <v>21</v>
      </c>
      <c r="Q327" s="6">
        <v>38906756</v>
      </c>
      <c r="R327" s="6">
        <v>0.34</v>
      </c>
      <c r="S327" s="6">
        <v>0.08</v>
      </c>
      <c r="T327" s="6">
        <v>27732735.68</v>
      </c>
      <c r="U327" s="6">
        <v>20434268.43</v>
      </c>
      <c r="V327" s="6">
        <v>0.22</v>
      </c>
      <c r="W327" s="6">
        <v>0.16</v>
      </c>
      <c r="X327" s="6" t="s">
        <v>1305</v>
      </c>
      <c r="Y327" s="6">
        <v>12587366.640000001</v>
      </c>
      <c r="Z327" s="6">
        <v>9261246.8900000006</v>
      </c>
      <c r="AA327" s="6">
        <v>60</v>
      </c>
      <c r="AB327" s="6">
        <v>61</v>
      </c>
      <c r="AC327" s="6" t="s">
        <v>342</v>
      </c>
      <c r="AD327" s="6" t="s">
        <v>406</v>
      </c>
      <c r="AE327" s="6">
        <v>0.84</v>
      </c>
      <c r="AF327" s="6" t="s">
        <v>4303</v>
      </c>
      <c r="AG327" s="6">
        <v>0.05</v>
      </c>
      <c r="AH327" s="6">
        <v>0.09</v>
      </c>
      <c r="AI327" s="6">
        <v>9</v>
      </c>
      <c r="AJ327" s="6">
        <v>3575</v>
      </c>
      <c r="AK327" s="6">
        <v>2453822.7200000002</v>
      </c>
      <c r="AL327" s="6">
        <v>7766707.1100000003</v>
      </c>
      <c r="AM327" s="6" t="s">
        <v>355</v>
      </c>
      <c r="AN327" s="6" t="s">
        <v>321</v>
      </c>
      <c r="AO327" s="6">
        <v>98.4</v>
      </c>
      <c r="AP327" s="6">
        <v>12</v>
      </c>
      <c r="AQ327" s="6" t="s">
        <v>337</v>
      </c>
      <c r="AR327" s="6" t="s">
        <v>186</v>
      </c>
      <c r="AS327" s="6" t="s">
        <v>377</v>
      </c>
    </row>
    <row r="328" spans="1:45" x14ac:dyDescent="0.3">
      <c r="A328" s="7" t="s">
        <v>1306</v>
      </c>
      <c r="B328" s="7" t="s">
        <v>4814</v>
      </c>
      <c r="C328" s="7" t="s">
        <v>244</v>
      </c>
      <c r="D328" s="7" t="s">
        <v>274</v>
      </c>
      <c r="E328" s="7" t="s">
        <v>4325</v>
      </c>
      <c r="F328" s="7" t="s">
        <v>19</v>
      </c>
      <c r="G328" s="7" t="s">
        <v>23</v>
      </c>
      <c r="H328" s="7" t="s">
        <v>4326</v>
      </c>
      <c r="I328" s="7" t="s">
        <v>4307</v>
      </c>
      <c r="J328" s="7" t="s">
        <v>115</v>
      </c>
      <c r="K328" s="7" t="s">
        <v>223</v>
      </c>
      <c r="L328" s="7" t="s">
        <v>1307</v>
      </c>
      <c r="M328" s="7" t="s">
        <v>3820</v>
      </c>
      <c r="N328" s="7" t="s">
        <v>3821</v>
      </c>
      <c r="O328" s="7" t="s">
        <v>4815</v>
      </c>
      <c r="P328" s="7">
        <v>8</v>
      </c>
      <c r="Q328" s="7">
        <v>1747100</v>
      </c>
      <c r="R328" s="7">
        <v>0.15</v>
      </c>
      <c r="S328" s="7">
        <v>0.04</v>
      </c>
      <c r="T328" s="7">
        <v>1544436.4</v>
      </c>
      <c r="U328" s="7">
        <v>1211184.8</v>
      </c>
      <c r="V328" s="7">
        <v>0.27</v>
      </c>
      <c r="W328" s="7">
        <v>0.13</v>
      </c>
      <c r="X328" s="7" t="s">
        <v>1308</v>
      </c>
      <c r="Y328" s="7">
        <v>994890.18</v>
      </c>
      <c r="Z328" s="7">
        <v>672752.52</v>
      </c>
      <c r="AA328" s="7">
        <v>30</v>
      </c>
      <c r="AB328" s="7">
        <v>151</v>
      </c>
      <c r="AC328" s="7" t="s">
        <v>353</v>
      </c>
      <c r="AD328" s="7" t="s">
        <v>354</v>
      </c>
      <c r="AE328" s="7">
        <v>0.74</v>
      </c>
      <c r="AF328" s="7" t="s">
        <v>4361</v>
      </c>
      <c r="AG328" s="7">
        <v>0.1</v>
      </c>
      <c r="AH328" s="7">
        <v>0.06</v>
      </c>
      <c r="AI328" s="7">
        <v>5</v>
      </c>
      <c r="AJ328" s="7">
        <v>2041</v>
      </c>
      <c r="AK328" s="7">
        <v>148256.23000000001</v>
      </c>
      <c r="AL328" s="7">
        <v>711136.71</v>
      </c>
      <c r="AM328" s="7" t="s">
        <v>391</v>
      </c>
      <c r="AN328" s="7" t="s">
        <v>348</v>
      </c>
      <c r="AO328" s="7">
        <v>80.599999999999994</v>
      </c>
      <c r="AP328" s="7">
        <v>24</v>
      </c>
      <c r="AQ328" s="7" t="s">
        <v>337</v>
      </c>
      <c r="AR328" s="7" t="s">
        <v>206</v>
      </c>
      <c r="AS328" s="7" t="s">
        <v>324</v>
      </c>
    </row>
    <row r="329" spans="1:45" x14ac:dyDescent="0.3">
      <c r="A329" s="6" t="s">
        <v>1309</v>
      </c>
      <c r="B329" s="6" t="s">
        <v>3822</v>
      </c>
      <c r="C329" s="6" t="s">
        <v>266</v>
      </c>
      <c r="D329" s="6" t="s">
        <v>215</v>
      </c>
      <c r="E329" s="6" t="s">
        <v>4265</v>
      </c>
      <c r="F329" s="6" t="s">
        <v>350</v>
      </c>
      <c r="G329" s="6" t="s">
        <v>57</v>
      </c>
      <c r="H329" s="6" t="s">
        <v>4275</v>
      </c>
      <c r="I329" s="6" t="s">
        <v>4372</v>
      </c>
      <c r="J329" s="6" t="s">
        <v>105</v>
      </c>
      <c r="K329" s="6" t="s">
        <v>199</v>
      </c>
      <c r="L329" s="6" t="s">
        <v>1310</v>
      </c>
      <c r="M329" s="6" t="s">
        <v>4816</v>
      </c>
      <c r="N329" s="6"/>
      <c r="O329" s="6" t="s">
        <v>4817</v>
      </c>
      <c r="P329" s="6">
        <v>47</v>
      </c>
      <c r="Q329" s="6">
        <v>39733044</v>
      </c>
      <c r="R329" s="6">
        <v>0.09</v>
      </c>
      <c r="S329" s="6">
        <v>0.1</v>
      </c>
      <c r="T329" s="6">
        <v>39772777.039999999</v>
      </c>
      <c r="U329" s="6">
        <v>34130069.18</v>
      </c>
      <c r="V329" s="6">
        <v>0.22</v>
      </c>
      <c r="W329" s="6">
        <v>0.1</v>
      </c>
      <c r="X329" s="6" t="s">
        <v>1311</v>
      </c>
      <c r="Y329" s="6">
        <v>30176237.710000001</v>
      </c>
      <c r="Z329" s="6">
        <v>31860071.469999999</v>
      </c>
      <c r="AA329" s="6">
        <v>60</v>
      </c>
      <c r="AB329" s="6">
        <v>71</v>
      </c>
      <c r="AC329" s="6" t="s">
        <v>353</v>
      </c>
      <c r="AD329" s="6" t="s">
        <v>336</v>
      </c>
      <c r="AE329" s="6">
        <v>0.59</v>
      </c>
      <c r="AF329" s="6" t="s">
        <v>4361</v>
      </c>
      <c r="AG329" s="6">
        <v>0.1</v>
      </c>
      <c r="AH329" s="6">
        <v>0.03</v>
      </c>
      <c r="AI329" s="6">
        <v>8</v>
      </c>
      <c r="AJ329" s="6">
        <v>4807</v>
      </c>
      <c r="AK329" s="6">
        <v>7910072.8799999999</v>
      </c>
      <c r="AL329" s="6"/>
      <c r="AM329" s="6" t="s">
        <v>355</v>
      </c>
      <c r="AN329" s="6"/>
      <c r="AO329" s="6">
        <v>59.6</v>
      </c>
      <c r="AP329" s="6" t="s">
        <v>4275</v>
      </c>
      <c r="AQ329" s="6" t="s">
        <v>337</v>
      </c>
      <c r="AR329" s="6" t="s">
        <v>206</v>
      </c>
      <c r="AS329" s="6" t="s">
        <v>377</v>
      </c>
    </row>
    <row r="330" spans="1:45" x14ac:dyDescent="0.3">
      <c r="A330" s="7" t="s">
        <v>1312</v>
      </c>
      <c r="B330" s="7" t="s">
        <v>3823</v>
      </c>
      <c r="C330" s="7" t="s">
        <v>179</v>
      </c>
      <c r="D330" s="7" t="s">
        <v>202</v>
      </c>
      <c r="E330" s="7" t="s">
        <v>4265</v>
      </c>
      <c r="F330" s="7" t="s">
        <v>350</v>
      </c>
      <c r="G330" s="7" t="s">
        <v>78</v>
      </c>
      <c r="H330" s="7" t="s">
        <v>197</v>
      </c>
      <c r="I330" s="7" t="s">
        <v>4291</v>
      </c>
      <c r="J330" s="6" t="s">
        <v>105</v>
      </c>
      <c r="K330" s="7" t="s">
        <v>210</v>
      </c>
      <c r="L330" s="7" t="s">
        <v>1313</v>
      </c>
      <c r="M330" s="7" t="s">
        <v>4818</v>
      </c>
      <c r="N330" s="7" t="s">
        <v>4819</v>
      </c>
      <c r="O330" s="7" t="s">
        <v>3824</v>
      </c>
      <c r="P330" s="7">
        <v>7</v>
      </c>
      <c r="Q330" s="7">
        <v>38222106</v>
      </c>
      <c r="R330" s="7">
        <v>0.03</v>
      </c>
      <c r="S330" s="7">
        <v>-0.04</v>
      </c>
      <c r="T330" s="7">
        <v>35592425.109999999</v>
      </c>
      <c r="U330" s="7">
        <v>27143207.890000001</v>
      </c>
      <c r="V330" s="7">
        <v>0.36</v>
      </c>
      <c r="W330" s="7">
        <v>0.09</v>
      </c>
      <c r="X330" s="7" t="s">
        <v>1314</v>
      </c>
      <c r="Y330" s="7">
        <v>28924292.030000001</v>
      </c>
      <c r="Z330" s="7">
        <v>28915999.030000001</v>
      </c>
      <c r="AA330" s="7">
        <v>30</v>
      </c>
      <c r="AB330" s="7">
        <v>35</v>
      </c>
      <c r="AC330" s="7" t="s">
        <v>329</v>
      </c>
      <c r="AD330" s="7" t="s">
        <v>226</v>
      </c>
      <c r="AE330" s="7">
        <v>0.78</v>
      </c>
      <c r="AF330" s="7"/>
      <c r="AG330" s="7">
        <v>0.05</v>
      </c>
      <c r="AH330" s="7">
        <v>0.08</v>
      </c>
      <c r="AI330" s="7">
        <v>14</v>
      </c>
      <c r="AJ330" s="7">
        <v>1606</v>
      </c>
      <c r="AK330" s="7">
        <v>3108417.14</v>
      </c>
      <c r="AL330" s="7">
        <v>6519283.3899999997</v>
      </c>
      <c r="AM330" s="7" t="s">
        <v>321</v>
      </c>
      <c r="AN330" s="7" t="s">
        <v>322</v>
      </c>
      <c r="AO330" s="7">
        <v>70.400000000000006</v>
      </c>
      <c r="AP330" s="7">
        <v>36</v>
      </c>
      <c r="AQ330" s="7" t="s">
        <v>387</v>
      </c>
      <c r="AR330" s="7" t="s">
        <v>206</v>
      </c>
      <c r="AS330" s="7" t="s">
        <v>324</v>
      </c>
    </row>
    <row r="331" spans="1:45" x14ac:dyDescent="0.3">
      <c r="A331" s="6" t="s">
        <v>1315</v>
      </c>
      <c r="B331" s="6" t="s">
        <v>4820</v>
      </c>
      <c r="C331" s="6" t="s">
        <v>237</v>
      </c>
      <c r="D331" s="6" t="s">
        <v>242</v>
      </c>
      <c r="E331" s="6" t="s">
        <v>4270</v>
      </c>
      <c r="F331" s="6" t="s">
        <v>367</v>
      </c>
      <c r="G331" s="6" t="s">
        <v>66</v>
      </c>
      <c r="H331" s="6" t="s">
        <v>263</v>
      </c>
      <c r="I331" s="6" t="s">
        <v>4372</v>
      </c>
      <c r="J331" s="6" t="s">
        <v>111</v>
      </c>
      <c r="K331" s="6" t="s">
        <v>223</v>
      </c>
      <c r="L331" s="6" t="s">
        <v>1316</v>
      </c>
      <c r="M331" s="6" t="s">
        <v>3825</v>
      </c>
      <c r="N331" s="6"/>
      <c r="O331" s="6" t="s">
        <v>3614</v>
      </c>
      <c r="P331" s="6">
        <v>14</v>
      </c>
      <c r="Q331" s="6">
        <v>2392415</v>
      </c>
      <c r="R331" s="6">
        <v>0.2</v>
      </c>
      <c r="S331" s="6">
        <v>0.18</v>
      </c>
      <c r="T331" s="6">
        <v>2258439.7599999998</v>
      </c>
      <c r="U331" s="6">
        <v>1583239.06</v>
      </c>
      <c r="V331" s="6">
        <v>0.37</v>
      </c>
      <c r="W331" s="6">
        <v>7.0000000000000007E-2</v>
      </c>
      <c r="X331" s="6" t="s">
        <v>1317</v>
      </c>
      <c r="Y331" s="6">
        <v>1935730.58</v>
      </c>
      <c r="Z331" s="6">
        <v>1066653.47</v>
      </c>
      <c r="AA331" s="6">
        <v>45</v>
      </c>
      <c r="AB331" s="6">
        <v>146</v>
      </c>
      <c r="AC331" s="6" t="s">
        <v>347</v>
      </c>
      <c r="AD331" s="6" t="s">
        <v>455</v>
      </c>
      <c r="AE331" s="6">
        <v>0.86</v>
      </c>
      <c r="AF331" s="6" t="s">
        <v>4361</v>
      </c>
      <c r="AG331" s="6">
        <v>0.1</v>
      </c>
      <c r="AH331" s="6">
        <v>0.08</v>
      </c>
      <c r="AI331" s="6">
        <v>1</v>
      </c>
      <c r="AJ331" s="6">
        <v>1111</v>
      </c>
      <c r="AK331" s="6">
        <v>343129.02</v>
      </c>
      <c r="AL331" s="6">
        <v>410504.11</v>
      </c>
      <c r="AM331" s="6" t="s">
        <v>321</v>
      </c>
      <c r="AN331" s="6" t="s">
        <v>322</v>
      </c>
      <c r="AO331" s="6">
        <v>99.7</v>
      </c>
      <c r="AP331" s="6" t="s">
        <v>4275</v>
      </c>
      <c r="AQ331" s="6" t="s">
        <v>387</v>
      </c>
      <c r="AR331" s="6" t="s">
        <v>192</v>
      </c>
      <c r="AS331" s="6" t="s">
        <v>377</v>
      </c>
    </row>
    <row r="332" spans="1:45" x14ac:dyDescent="0.3">
      <c r="A332" s="7" t="s">
        <v>1318</v>
      </c>
      <c r="B332" s="7" t="s">
        <v>4821</v>
      </c>
      <c r="C332" s="7" t="s">
        <v>234</v>
      </c>
      <c r="D332" s="7" t="s">
        <v>209</v>
      </c>
      <c r="E332" s="7" t="s">
        <v>4376</v>
      </c>
      <c r="F332" s="7" t="s">
        <v>196</v>
      </c>
      <c r="G332" s="7" t="s">
        <v>16</v>
      </c>
      <c r="H332" s="7" t="s">
        <v>236</v>
      </c>
      <c r="I332" s="7" t="s">
        <v>240</v>
      </c>
      <c r="J332" s="7" t="s">
        <v>136</v>
      </c>
      <c r="K332" s="7" t="s">
        <v>221</v>
      </c>
      <c r="L332" s="7" t="s">
        <v>1319</v>
      </c>
      <c r="M332" s="7" t="s">
        <v>3826</v>
      </c>
      <c r="N332" s="7"/>
      <c r="O332" s="7" t="s">
        <v>3747</v>
      </c>
      <c r="P332" s="7">
        <v>54</v>
      </c>
      <c r="Q332" s="7">
        <v>28907580</v>
      </c>
      <c r="R332" s="7">
        <v>0.28000000000000003</v>
      </c>
      <c r="S332" s="7">
        <v>0.04</v>
      </c>
      <c r="T332" s="7">
        <v>21645995.899999999</v>
      </c>
      <c r="U332" s="7">
        <v>17802092.800000001</v>
      </c>
      <c r="V332" s="7">
        <v>0.32</v>
      </c>
      <c r="W332" s="7">
        <v>0.06</v>
      </c>
      <c r="X332" s="7" t="s">
        <v>1320</v>
      </c>
      <c r="Y332" s="7">
        <v>16092008.359999999</v>
      </c>
      <c r="Z332" s="7">
        <v>10460315.119999999</v>
      </c>
      <c r="AA332" s="7">
        <v>90</v>
      </c>
      <c r="AB332" s="7">
        <v>37</v>
      </c>
      <c r="AC332" s="7" t="s">
        <v>342</v>
      </c>
      <c r="AD332" s="7" t="s">
        <v>406</v>
      </c>
      <c r="AE332" s="7">
        <v>0.78</v>
      </c>
      <c r="AF332" s="7" t="s">
        <v>4361</v>
      </c>
      <c r="AG332" s="7">
        <v>0.15</v>
      </c>
      <c r="AH332" s="7">
        <v>0.06</v>
      </c>
      <c r="AI332" s="7">
        <v>10</v>
      </c>
      <c r="AJ332" s="7">
        <v>489</v>
      </c>
      <c r="AK332" s="7">
        <v>4807468.1100000003</v>
      </c>
      <c r="AL332" s="7">
        <v>9362546.6999999993</v>
      </c>
      <c r="AM332" s="7" t="s">
        <v>321</v>
      </c>
      <c r="AN332" s="7" t="s">
        <v>356</v>
      </c>
      <c r="AO332" s="7">
        <v>58.2</v>
      </c>
      <c r="AP332" s="7">
        <v>60</v>
      </c>
      <c r="AQ332" s="7" t="s">
        <v>387</v>
      </c>
      <c r="AR332" s="7" t="s">
        <v>186</v>
      </c>
      <c r="AS332" s="7" t="s">
        <v>188</v>
      </c>
    </row>
    <row r="333" spans="1:45" x14ac:dyDescent="0.3">
      <c r="A333" s="6" t="s">
        <v>1321</v>
      </c>
      <c r="B333" s="6" t="s">
        <v>3535</v>
      </c>
      <c r="C333" s="6" t="s">
        <v>271</v>
      </c>
      <c r="D333" s="6" t="s">
        <v>562</v>
      </c>
      <c r="E333" s="6" t="s">
        <v>113</v>
      </c>
      <c r="F333" s="6"/>
      <c r="G333" s="6" t="s">
        <v>54</v>
      </c>
      <c r="H333" s="6" t="s">
        <v>4326</v>
      </c>
      <c r="I333" s="6" t="s">
        <v>191</v>
      </c>
      <c r="J333" s="6" t="s">
        <v>127</v>
      </c>
      <c r="K333" s="6" t="s">
        <v>204</v>
      </c>
      <c r="L333" s="6" t="s">
        <v>1322</v>
      </c>
      <c r="M333" s="6" t="s">
        <v>906</v>
      </c>
      <c r="N333" s="6"/>
      <c r="O333" s="6" t="s">
        <v>4274</v>
      </c>
      <c r="P333" s="6">
        <v>7</v>
      </c>
      <c r="Q333" s="6">
        <v>7304872</v>
      </c>
      <c r="R333" s="6">
        <v>0.22</v>
      </c>
      <c r="S333" s="6">
        <v>0.16</v>
      </c>
      <c r="T333" s="6">
        <v>6609448.1900000004</v>
      </c>
      <c r="U333" s="6">
        <v>4163416.36</v>
      </c>
      <c r="V333" s="6">
        <v>0.39</v>
      </c>
      <c r="W333" s="6">
        <v>7.0000000000000007E-2</v>
      </c>
      <c r="X333" s="6" t="s">
        <v>1323</v>
      </c>
      <c r="Y333" s="6">
        <v>5587349.3200000003</v>
      </c>
      <c r="Z333" s="6">
        <v>2493641.7599999998</v>
      </c>
      <c r="AA333" s="6">
        <v>60</v>
      </c>
      <c r="AB333" s="6">
        <v>13</v>
      </c>
      <c r="AC333" s="6" t="s">
        <v>342</v>
      </c>
      <c r="AD333" s="6" t="s">
        <v>336</v>
      </c>
      <c r="AE333" s="6">
        <v>0.41</v>
      </c>
      <c r="AF333" s="6" t="s">
        <v>4276</v>
      </c>
      <c r="AG333" s="6">
        <v>0.15</v>
      </c>
      <c r="AH333" s="6">
        <v>0.06</v>
      </c>
      <c r="AI333" s="6">
        <v>14</v>
      </c>
      <c r="AJ333" s="6">
        <v>419</v>
      </c>
      <c r="AK333" s="6">
        <v>1486443.37</v>
      </c>
      <c r="AL333" s="6">
        <v>1862316.73</v>
      </c>
      <c r="AM333" s="6" t="s">
        <v>385</v>
      </c>
      <c r="AN333" s="6" t="s">
        <v>330</v>
      </c>
      <c r="AO333" s="6">
        <v>52.1</v>
      </c>
      <c r="AP333" s="6" t="s">
        <v>4275</v>
      </c>
      <c r="AQ333" s="6"/>
      <c r="AR333" s="6" t="s">
        <v>186</v>
      </c>
      <c r="AS333" s="6" t="s">
        <v>357</v>
      </c>
    </row>
    <row r="334" spans="1:45" x14ac:dyDescent="0.3">
      <c r="A334" s="7" t="s">
        <v>1324</v>
      </c>
      <c r="B334" s="7" t="s">
        <v>3631</v>
      </c>
      <c r="C334" s="7" t="s">
        <v>222</v>
      </c>
      <c r="D334" s="7" t="s">
        <v>232</v>
      </c>
      <c r="E334" s="7" t="s">
        <v>36</v>
      </c>
      <c r="F334" s="7" t="s">
        <v>339</v>
      </c>
      <c r="G334" s="7" t="s">
        <v>33</v>
      </c>
      <c r="H334" s="7" t="s">
        <v>216</v>
      </c>
      <c r="I334" s="7" t="s">
        <v>4291</v>
      </c>
      <c r="J334" s="7" t="s">
        <v>115</v>
      </c>
      <c r="K334" s="7" t="s">
        <v>326</v>
      </c>
      <c r="L334" s="7" t="s">
        <v>1325</v>
      </c>
      <c r="M334" s="7" t="s">
        <v>4822</v>
      </c>
      <c r="N334" s="7" t="s">
        <v>4823</v>
      </c>
      <c r="O334" s="7" t="s">
        <v>4824</v>
      </c>
      <c r="P334" s="7">
        <v>59</v>
      </c>
      <c r="Q334" s="7">
        <v>39643701</v>
      </c>
      <c r="R334" s="7">
        <v>0.34</v>
      </c>
      <c r="S334" s="7">
        <v>0.1</v>
      </c>
      <c r="T334" s="7">
        <v>28781326.93</v>
      </c>
      <c r="U334" s="7">
        <v>17428719.75</v>
      </c>
      <c r="V334" s="7">
        <v>0.23</v>
      </c>
      <c r="W334" s="7">
        <v>0.13</v>
      </c>
      <c r="X334" s="7" t="s">
        <v>1326</v>
      </c>
      <c r="Y334" s="7">
        <v>18428055.859999999</v>
      </c>
      <c r="Z334" s="7">
        <v>8155561.6399999997</v>
      </c>
      <c r="AA334" s="7">
        <v>60</v>
      </c>
      <c r="AB334" s="7">
        <v>29</v>
      </c>
      <c r="AC334" s="7" t="s">
        <v>329</v>
      </c>
      <c r="AD334" s="7" t="s">
        <v>381</v>
      </c>
      <c r="AE334" s="7">
        <v>0.51</v>
      </c>
      <c r="AF334" s="7" t="s">
        <v>4294</v>
      </c>
      <c r="AG334" s="7">
        <v>0.05</v>
      </c>
      <c r="AH334" s="7">
        <v>0.03</v>
      </c>
      <c r="AI334" s="7">
        <v>15</v>
      </c>
      <c r="AJ334" s="7">
        <v>3075</v>
      </c>
      <c r="AK334" s="7">
        <v>3074718.56</v>
      </c>
      <c r="AL334" s="7">
        <v>6900160.4500000002</v>
      </c>
      <c r="AM334" s="7"/>
      <c r="AN334" s="7" t="s">
        <v>348</v>
      </c>
      <c r="AO334" s="7">
        <v>50.6</v>
      </c>
      <c r="AP334" s="7">
        <v>36</v>
      </c>
      <c r="AQ334" s="7" t="s">
        <v>387</v>
      </c>
      <c r="AR334" s="7" t="s">
        <v>224</v>
      </c>
      <c r="AS334" s="7" t="s">
        <v>361</v>
      </c>
    </row>
    <row r="335" spans="1:45" x14ac:dyDescent="0.3">
      <c r="A335" s="6" t="s">
        <v>468</v>
      </c>
      <c r="B335" s="6" t="s">
        <v>3827</v>
      </c>
      <c r="C335" s="6" t="s">
        <v>268</v>
      </c>
      <c r="D335" s="6" t="s">
        <v>190</v>
      </c>
      <c r="E335" s="6" t="s">
        <v>4376</v>
      </c>
      <c r="F335" s="6" t="s">
        <v>196</v>
      </c>
      <c r="G335" s="6" t="s">
        <v>28</v>
      </c>
      <c r="H335" s="6" t="s">
        <v>236</v>
      </c>
      <c r="I335" s="6" t="s">
        <v>213</v>
      </c>
      <c r="J335" s="6" t="s">
        <v>136</v>
      </c>
      <c r="K335" s="6" t="s">
        <v>204</v>
      </c>
      <c r="L335" s="6" t="s">
        <v>3828</v>
      </c>
      <c r="M335" s="6" t="s">
        <v>4427</v>
      </c>
      <c r="N335" s="6"/>
      <c r="O335" s="6" t="s">
        <v>4825</v>
      </c>
      <c r="P335" s="6" t="s">
        <v>4275</v>
      </c>
      <c r="Q335" s="6">
        <v>28864791</v>
      </c>
      <c r="R335" s="6">
        <v>0.23</v>
      </c>
      <c r="S335" s="6">
        <v>0</v>
      </c>
      <c r="T335" s="6">
        <v>22225889.07</v>
      </c>
      <c r="U335" s="6">
        <v>15441245.09</v>
      </c>
      <c r="V335" s="6">
        <v>0.25</v>
      </c>
      <c r="W335" s="6">
        <v>0.08</v>
      </c>
      <c r="X335" s="6" t="s">
        <v>3829</v>
      </c>
      <c r="Y335" s="6">
        <v>19013900.25</v>
      </c>
      <c r="Z335" s="6">
        <v>14796353.43</v>
      </c>
      <c r="AA335" s="6">
        <v>60</v>
      </c>
      <c r="AB335" s="6">
        <v>107</v>
      </c>
      <c r="AC335" s="6"/>
      <c r="AD335" s="6" t="s">
        <v>406</v>
      </c>
      <c r="AE335" s="6">
        <v>0.27</v>
      </c>
      <c r="AF335" s="6" t="s">
        <v>4312</v>
      </c>
      <c r="AG335" s="6">
        <v>0.05</v>
      </c>
      <c r="AH335" s="6">
        <v>0.05</v>
      </c>
      <c r="AI335" s="6">
        <v>15</v>
      </c>
      <c r="AJ335" s="6">
        <v>2440</v>
      </c>
      <c r="AK335" s="6">
        <v>5321094.13</v>
      </c>
      <c r="AL335" s="6"/>
      <c r="AM335" s="6" t="s">
        <v>391</v>
      </c>
      <c r="AN335" s="6" t="s">
        <v>322</v>
      </c>
      <c r="AO335" s="6">
        <v>86</v>
      </c>
      <c r="AP335" s="6">
        <v>36</v>
      </c>
      <c r="AQ335" s="6" t="s">
        <v>323</v>
      </c>
      <c r="AR335" s="6" t="s">
        <v>192</v>
      </c>
      <c r="AS335" s="6" t="s">
        <v>188</v>
      </c>
    </row>
    <row r="336" spans="1:45" x14ac:dyDescent="0.3">
      <c r="A336" s="7" t="s">
        <v>1327</v>
      </c>
      <c r="B336" s="7" t="s">
        <v>3830</v>
      </c>
      <c r="C336" s="7" t="s">
        <v>251</v>
      </c>
      <c r="D336" s="7" t="s">
        <v>238</v>
      </c>
      <c r="E336" s="7" t="s">
        <v>4306</v>
      </c>
      <c r="F336" s="7" t="s">
        <v>75</v>
      </c>
      <c r="G336" s="7" t="s">
        <v>23</v>
      </c>
      <c r="H336" s="7" t="s">
        <v>236</v>
      </c>
      <c r="I336" s="7"/>
      <c r="J336" s="7" t="s">
        <v>133</v>
      </c>
      <c r="K336" s="7" t="s">
        <v>204</v>
      </c>
      <c r="L336" s="7" t="s">
        <v>1328</v>
      </c>
      <c r="M336" s="7" t="s">
        <v>3831</v>
      </c>
      <c r="N336" s="7" t="s">
        <v>4826</v>
      </c>
      <c r="O336" s="7" t="s">
        <v>3338</v>
      </c>
      <c r="P336" s="7">
        <v>19</v>
      </c>
      <c r="Q336" s="7">
        <v>13941393</v>
      </c>
      <c r="R336" s="7">
        <v>0.26</v>
      </c>
      <c r="S336" s="7">
        <v>0.01</v>
      </c>
      <c r="T336" s="7">
        <v>10419797.130000001</v>
      </c>
      <c r="U336" s="7">
        <v>6434707.0899999999</v>
      </c>
      <c r="V336" s="7">
        <v>0.16</v>
      </c>
      <c r="W336" s="7">
        <v>7.0000000000000007E-2</v>
      </c>
      <c r="X336" s="7" t="s">
        <v>1329</v>
      </c>
      <c r="Y336" s="7">
        <v>5288706.6900000004</v>
      </c>
      <c r="Z336" s="7">
        <v>5188573.54</v>
      </c>
      <c r="AA336" s="7">
        <v>30</v>
      </c>
      <c r="AB336" s="7">
        <v>70</v>
      </c>
      <c r="AC336" s="7"/>
      <c r="AD336" s="7" t="s">
        <v>320</v>
      </c>
      <c r="AE336" s="7">
        <v>0.59</v>
      </c>
      <c r="AF336" s="7" t="s">
        <v>159</v>
      </c>
      <c r="AG336" s="7">
        <v>0.05</v>
      </c>
      <c r="AH336" s="7">
        <v>7.0000000000000007E-2</v>
      </c>
      <c r="AI336" s="7">
        <v>5</v>
      </c>
      <c r="AJ336" s="7">
        <v>4088</v>
      </c>
      <c r="AK336" s="7">
        <v>1465190.22</v>
      </c>
      <c r="AL336" s="7">
        <v>2349365.75</v>
      </c>
      <c r="AM336" s="7" t="s">
        <v>73</v>
      </c>
      <c r="AN336" s="7"/>
      <c r="AO336" s="7">
        <v>52.1</v>
      </c>
      <c r="AP336" s="7">
        <v>48</v>
      </c>
      <c r="AQ336" s="7"/>
      <c r="AR336" s="7" t="s">
        <v>229</v>
      </c>
      <c r="AS336" s="7" t="s">
        <v>361</v>
      </c>
    </row>
    <row r="337" spans="1:45" x14ac:dyDescent="0.3">
      <c r="A337" s="6" t="s">
        <v>1330</v>
      </c>
      <c r="B337" s="6" t="s">
        <v>4827</v>
      </c>
      <c r="C337" s="6" t="s">
        <v>266</v>
      </c>
      <c r="D337" s="6" t="s">
        <v>202</v>
      </c>
      <c r="E337" s="6" t="s">
        <v>4306</v>
      </c>
      <c r="F337" s="6"/>
      <c r="G337" s="6" t="s">
        <v>38</v>
      </c>
      <c r="H337" s="6" t="s">
        <v>236</v>
      </c>
      <c r="I337" s="6" t="s">
        <v>4307</v>
      </c>
      <c r="J337" s="7" t="s">
        <v>119</v>
      </c>
      <c r="K337" s="6" t="s">
        <v>333</v>
      </c>
      <c r="L337" s="6" t="s">
        <v>1331</v>
      </c>
      <c r="M337" s="6" t="s">
        <v>3833</v>
      </c>
      <c r="N337" s="6" t="s">
        <v>4828</v>
      </c>
      <c r="O337" s="6" t="s">
        <v>3834</v>
      </c>
      <c r="P337" s="6">
        <v>35</v>
      </c>
      <c r="Q337" s="6">
        <v>8877255</v>
      </c>
      <c r="R337" s="6">
        <v>0.08</v>
      </c>
      <c r="S337" s="6">
        <v>0.11</v>
      </c>
      <c r="T337" s="6">
        <v>9065452.8100000005</v>
      </c>
      <c r="U337" s="6">
        <v>5740862.0700000003</v>
      </c>
      <c r="V337" s="6">
        <v>7.0000000000000007E-2</v>
      </c>
      <c r="W337" s="6">
        <v>0.18</v>
      </c>
      <c r="X337" s="6" t="s">
        <v>1332</v>
      </c>
      <c r="Y337" s="6">
        <v>1314709.1499999999</v>
      </c>
      <c r="Z337" s="6">
        <v>542616.6</v>
      </c>
      <c r="AA337" s="6">
        <v>90</v>
      </c>
      <c r="AB337" s="6">
        <v>38</v>
      </c>
      <c r="AC337" s="6" t="s">
        <v>376</v>
      </c>
      <c r="AD337" s="6" t="s">
        <v>406</v>
      </c>
      <c r="AE337" s="6">
        <v>0.22</v>
      </c>
      <c r="AF337" s="6" t="s">
        <v>155</v>
      </c>
      <c r="AG337" s="6">
        <v>0.05</v>
      </c>
      <c r="AH337" s="6">
        <v>0.03</v>
      </c>
      <c r="AI337" s="6">
        <v>9</v>
      </c>
      <c r="AJ337" s="6"/>
      <c r="AK337" s="6"/>
      <c r="AL337" s="6">
        <v>3618913.32</v>
      </c>
      <c r="AM337" s="6" t="s">
        <v>385</v>
      </c>
      <c r="AN337" s="6" t="s">
        <v>330</v>
      </c>
      <c r="AO337" s="6">
        <v>86.9</v>
      </c>
      <c r="AP337" s="6">
        <v>24</v>
      </c>
      <c r="AQ337" s="6" t="s">
        <v>323</v>
      </c>
      <c r="AR337" s="6" t="s">
        <v>224</v>
      </c>
      <c r="AS337" s="6" t="s">
        <v>361</v>
      </c>
    </row>
    <row r="338" spans="1:45" x14ac:dyDescent="0.3">
      <c r="A338" s="7" t="s">
        <v>1333</v>
      </c>
      <c r="B338" s="7" t="s">
        <v>594</v>
      </c>
      <c r="C338" s="7" t="s">
        <v>260</v>
      </c>
      <c r="D338" s="7" t="s">
        <v>209</v>
      </c>
      <c r="E338" s="7" t="s">
        <v>4306</v>
      </c>
      <c r="F338" s="7" t="s">
        <v>75</v>
      </c>
      <c r="G338" s="7" t="s">
        <v>73</v>
      </c>
      <c r="H338" s="7" t="s">
        <v>4271</v>
      </c>
      <c r="I338" s="7" t="s">
        <v>198</v>
      </c>
      <c r="J338" s="7" t="s">
        <v>119</v>
      </c>
      <c r="K338" s="7" t="s">
        <v>221</v>
      </c>
      <c r="L338" s="7" t="s">
        <v>1334</v>
      </c>
      <c r="M338" s="7" t="s">
        <v>3836</v>
      </c>
      <c r="N338" s="7" t="s">
        <v>4829</v>
      </c>
      <c r="O338" s="7" t="s">
        <v>3837</v>
      </c>
      <c r="P338" s="7">
        <v>8</v>
      </c>
      <c r="Q338" s="7">
        <v>16592802</v>
      </c>
      <c r="R338" s="7">
        <v>0.31</v>
      </c>
      <c r="S338" s="7">
        <v>0.17</v>
      </c>
      <c r="T338" s="7">
        <v>13395369.050000001</v>
      </c>
      <c r="U338" s="7">
        <v>10589038.18</v>
      </c>
      <c r="V338" s="7">
        <v>0.39</v>
      </c>
      <c r="W338" s="7">
        <v>0.19</v>
      </c>
      <c r="X338" s="7" t="s">
        <v>1335</v>
      </c>
      <c r="Y338" s="7">
        <v>6930205.5499999998</v>
      </c>
      <c r="Z338" s="7">
        <v>2089656.56</v>
      </c>
      <c r="AA338" s="7">
        <v>60</v>
      </c>
      <c r="AB338" s="7">
        <v>142</v>
      </c>
      <c r="AC338" s="7" t="s">
        <v>329</v>
      </c>
      <c r="AD338" s="7" t="s">
        <v>336</v>
      </c>
      <c r="AE338" s="7">
        <v>0.7</v>
      </c>
      <c r="AF338" s="7" t="s">
        <v>153</v>
      </c>
      <c r="AG338" s="7">
        <v>0.1</v>
      </c>
      <c r="AH338" s="7">
        <v>0.09</v>
      </c>
      <c r="AI338" s="7">
        <v>5</v>
      </c>
      <c r="AJ338" s="7">
        <v>4533</v>
      </c>
      <c r="AK338" s="7">
        <v>2661705.92</v>
      </c>
      <c r="AL338" s="7"/>
      <c r="AM338" s="7" t="s">
        <v>321</v>
      </c>
      <c r="AN338" s="7"/>
      <c r="AO338" s="7">
        <v>70.099999999999994</v>
      </c>
      <c r="AP338" s="7" t="s">
        <v>4275</v>
      </c>
      <c r="AQ338" s="7" t="s">
        <v>392</v>
      </c>
      <c r="AR338" s="7" t="s">
        <v>192</v>
      </c>
      <c r="AS338" s="7" t="s">
        <v>357</v>
      </c>
    </row>
    <row r="339" spans="1:45" x14ac:dyDescent="0.3">
      <c r="A339" s="6" t="s">
        <v>1336</v>
      </c>
      <c r="B339" s="6" t="s">
        <v>4830</v>
      </c>
      <c r="C339" s="6" t="s">
        <v>257</v>
      </c>
      <c r="D339" s="6" t="s">
        <v>562</v>
      </c>
      <c r="E339" s="6" t="s">
        <v>41</v>
      </c>
      <c r="F339" s="6" t="s">
        <v>350</v>
      </c>
      <c r="G339" s="6" t="s">
        <v>70</v>
      </c>
      <c r="H339" s="6"/>
      <c r="I339" s="6" t="s">
        <v>198</v>
      </c>
      <c r="J339" s="6" t="s">
        <v>130</v>
      </c>
      <c r="K339" s="6" t="s">
        <v>210</v>
      </c>
      <c r="L339" s="6" t="s">
        <v>1337</v>
      </c>
      <c r="M339" s="6" t="s">
        <v>4831</v>
      </c>
      <c r="N339" s="6" t="s">
        <v>3838</v>
      </c>
      <c r="O339" s="6" t="s">
        <v>3839</v>
      </c>
      <c r="P339" s="6">
        <v>35</v>
      </c>
      <c r="Q339" s="6">
        <v>36476653</v>
      </c>
      <c r="R339" s="6">
        <v>0.3</v>
      </c>
      <c r="S339" s="6">
        <v>0.13</v>
      </c>
      <c r="T339" s="6">
        <v>28853032.52</v>
      </c>
      <c r="U339" s="6">
        <v>20361671.239999998</v>
      </c>
      <c r="V339" s="6">
        <v>0.25</v>
      </c>
      <c r="W339" s="6">
        <v>0.13</v>
      </c>
      <c r="X339" s="6" t="s">
        <v>1338</v>
      </c>
      <c r="Y339" s="6">
        <v>6931505.0300000003</v>
      </c>
      <c r="Z339" s="6">
        <v>7057444.9400000004</v>
      </c>
      <c r="AA339" s="6">
        <v>90</v>
      </c>
      <c r="AB339" s="6">
        <v>154</v>
      </c>
      <c r="AC339" s="6" t="s">
        <v>376</v>
      </c>
      <c r="AD339" s="6" t="s">
        <v>320</v>
      </c>
      <c r="AE339" s="6">
        <v>0.73</v>
      </c>
      <c r="AF339" s="6" t="s">
        <v>4303</v>
      </c>
      <c r="AG339" s="6">
        <v>0.05</v>
      </c>
      <c r="AH339" s="6">
        <v>0.06</v>
      </c>
      <c r="AI339" s="6">
        <v>10</v>
      </c>
      <c r="AJ339" s="6">
        <v>146</v>
      </c>
      <c r="AK339" s="6">
        <v>6031408.7199999997</v>
      </c>
      <c r="AL339" s="6">
        <v>7395485.0700000003</v>
      </c>
      <c r="AM339" s="6" t="s">
        <v>343</v>
      </c>
      <c r="AN339" s="6" t="s">
        <v>322</v>
      </c>
      <c r="AO339" s="6">
        <v>64.900000000000006</v>
      </c>
      <c r="AP339" s="6">
        <v>48</v>
      </c>
      <c r="AQ339" s="6" t="s">
        <v>4275</v>
      </c>
      <c r="AR339" s="6" t="s">
        <v>192</v>
      </c>
      <c r="AS339" s="6"/>
    </row>
    <row r="340" spans="1:45" x14ac:dyDescent="0.3">
      <c r="A340" s="7" t="s">
        <v>1339</v>
      </c>
      <c r="B340" s="7" t="s">
        <v>3709</v>
      </c>
      <c r="C340" s="7" t="s">
        <v>239</v>
      </c>
      <c r="D340" s="7" t="s">
        <v>242</v>
      </c>
      <c r="E340" s="7" t="s">
        <v>52</v>
      </c>
      <c r="F340" s="7" t="s">
        <v>75</v>
      </c>
      <c r="G340" s="7" t="s">
        <v>73</v>
      </c>
      <c r="H340" s="7" t="s">
        <v>4340</v>
      </c>
      <c r="I340" s="7" t="s">
        <v>4272</v>
      </c>
      <c r="J340" s="7" t="s">
        <v>119</v>
      </c>
      <c r="K340" s="7" t="s">
        <v>199</v>
      </c>
      <c r="L340" s="7" t="s">
        <v>1340</v>
      </c>
      <c r="M340" s="7" t="s">
        <v>4832</v>
      </c>
      <c r="N340" s="7" t="s">
        <v>3840</v>
      </c>
      <c r="O340" s="7" t="s">
        <v>4274</v>
      </c>
      <c r="P340" s="7" t="s">
        <v>4275</v>
      </c>
      <c r="Q340" s="7">
        <v>21921312</v>
      </c>
      <c r="R340" s="7">
        <v>0.16</v>
      </c>
      <c r="S340" s="7">
        <v>0.03</v>
      </c>
      <c r="T340" s="7">
        <v>18966319.140000001</v>
      </c>
      <c r="U340" s="7">
        <v>13981691.619999999</v>
      </c>
      <c r="V340" s="7">
        <v>0.22</v>
      </c>
      <c r="W340" s="7">
        <v>0.13</v>
      </c>
      <c r="X340" s="7" t="s">
        <v>1341</v>
      </c>
      <c r="Y340" s="7">
        <v>9125555.9100000001</v>
      </c>
      <c r="Z340" s="7">
        <v>6866100.4000000004</v>
      </c>
      <c r="AA340" s="7">
        <v>45</v>
      </c>
      <c r="AB340" s="7">
        <v>88</v>
      </c>
      <c r="AC340" s="7" t="s">
        <v>342</v>
      </c>
      <c r="AD340" s="7" t="s">
        <v>381</v>
      </c>
      <c r="AE340" s="7">
        <v>0.36</v>
      </c>
      <c r="AF340" s="7" t="s">
        <v>155</v>
      </c>
      <c r="AG340" s="7">
        <v>0.15</v>
      </c>
      <c r="AH340" s="7">
        <v>0.03</v>
      </c>
      <c r="AI340" s="7">
        <v>13</v>
      </c>
      <c r="AJ340" s="7">
        <v>1595</v>
      </c>
      <c r="AK340" s="7">
        <v>3877777.97</v>
      </c>
      <c r="AL340" s="7">
        <v>2750454.35</v>
      </c>
      <c r="AM340" s="7" t="s">
        <v>321</v>
      </c>
      <c r="AN340" s="7" t="s">
        <v>356</v>
      </c>
      <c r="AO340" s="7">
        <v>78.5</v>
      </c>
      <c r="AP340" s="7">
        <v>36</v>
      </c>
      <c r="AQ340" s="7" t="s">
        <v>337</v>
      </c>
      <c r="AR340" s="7" t="s">
        <v>206</v>
      </c>
      <c r="AS340" s="7" t="s">
        <v>357</v>
      </c>
    </row>
    <row r="341" spans="1:45" x14ac:dyDescent="0.3">
      <c r="A341" s="6" t="s">
        <v>1342</v>
      </c>
      <c r="B341" s="6" t="s">
        <v>3841</v>
      </c>
      <c r="C341" s="6" t="s">
        <v>254</v>
      </c>
      <c r="D341" s="6" t="s">
        <v>562</v>
      </c>
      <c r="E341" s="6" t="s">
        <v>4270</v>
      </c>
      <c r="F341" s="6" t="s">
        <v>367</v>
      </c>
      <c r="G341" s="6" t="s">
        <v>28</v>
      </c>
      <c r="H341" s="6" t="s">
        <v>263</v>
      </c>
      <c r="I341" s="6"/>
      <c r="J341" s="6" t="s">
        <v>111</v>
      </c>
      <c r="K341" s="6" t="s">
        <v>199</v>
      </c>
      <c r="L341" s="6" t="s">
        <v>1343</v>
      </c>
      <c r="M341" s="6" t="s">
        <v>4498</v>
      </c>
      <c r="N341" s="6" t="s">
        <v>4833</v>
      </c>
      <c r="O341" s="6" t="s">
        <v>4274</v>
      </c>
      <c r="P341" s="6">
        <v>39</v>
      </c>
      <c r="Q341" s="6">
        <v>35983652</v>
      </c>
      <c r="R341" s="6">
        <v>0.05</v>
      </c>
      <c r="S341" s="6">
        <v>0.05</v>
      </c>
      <c r="T341" s="6">
        <v>35893692.869999997</v>
      </c>
      <c r="U341" s="6">
        <v>30957599.73</v>
      </c>
      <c r="V341" s="6">
        <v>0.17</v>
      </c>
      <c r="W341" s="6">
        <v>0.1</v>
      </c>
      <c r="X341" s="6" t="s">
        <v>1344</v>
      </c>
      <c r="Y341" s="6">
        <v>25482543.25</v>
      </c>
      <c r="Z341" s="6">
        <v>18524875.09</v>
      </c>
      <c r="AA341" s="6">
        <v>60</v>
      </c>
      <c r="AB341" s="6">
        <v>75</v>
      </c>
      <c r="AC341" s="6" t="s">
        <v>353</v>
      </c>
      <c r="AD341" s="6" t="s">
        <v>381</v>
      </c>
      <c r="AE341" s="6">
        <v>0.35</v>
      </c>
      <c r="AF341" s="6" t="s">
        <v>153</v>
      </c>
      <c r="AG341" s="6">
        <v>0.15</v>
      </c>
      <c r="AH341" s="6">
        <v>0.02</v>
      </c>
      <c r="AI341" s="6">
        <v>12</v>
      </c>
      <c r="AJ341" s="6">
        <v>878</v>
      </c>
      <c r="AK341" s="6">
        <v>4152133.19</v>
      </c>
      <c r="AL341" s="6">
        <v>3798541.77</v>
      </c>
      <c r="AM341" s="6" t="s">
        <v>355</v>
      </c>
      <c r="AN341" s="6"/>
      <c r="AO341" s="6">
        <v>61.8</v>
      </c>
      <c r="AP341" s="6">
        <v>48</v>
      </c>
      <c r="AQ341" s="6" t="s">
        <v>323</v>
      </c>
      <c r="AR341" s="6" t="s">
        <v>186</v>
      </c>
      <c r="AS341" s="6" t="s">
        <v>357</v>
      </c>
    </row>
    <row r="342" spans="1:45" x14ac:dyDescent="0.3">
      <c r="A342" s="7" t="s">
        <v>1345</v>
      </c>
      <c r="B342" s="7" t="s">
        <v>4834</v>
      </c>
      <c r="C342" s="7" t="s">
        <v>257</v>
      </c>
      <c r="D342" s="7" t="s">
        <v>232</v>
      </c>
      <c r="E342" s="7" t="s">
        <v>4376</v>
      </c>
      <c r="F342" s="7" t="s">
        <v>196</v>
      </c>
      <c r="G342" s="7" t="s">
        <v>57</v>
      </c>
      <c r="H342" s="7" t="s">
        <v>212</v>
      </c>
      <c r="I342" s="7" t="s">
        <v>4289</v>
      </c>
      <c r="J342" s="7" t="s">
        <v>136</v>
      </c>
      <c r="K342" s="7" t="s">
        <v>210</v>
      </c>
      <c r="L342" s="7" t="s">
        <v>1346</v>
      </c>
      <c r="M342" s="7" t="s">
        <v>4835</v>
      </c>
      <c r="N342" s="7"/>
      <c r="O342" s="7" t="s">
        <v>4651</v>
      </c>
      <c r="P342" s="7">
        <v>51</v>
      </c>
      <c r="Q342" s="7">
        <v>26397779</v>
      </c>
      <c r="R342" s="7">
        <v>0.27</v>
      </c>
      <c r="S342" s="7">
        <v>0.05</v>
      </c>
      <c r="T342" s="7">
        <v>20233897.600000001</v>
      </c>
      <c r="U342" s="7">
        <v>14400634.289999999</v>
      </c>
      <c r="V342" s="7">
        <v>7.0000000000000007E-2</v>
      </c>
      <c r="W342" s="7">
        <v>0.09</v>
      </c>
      <c r="X342" s="7" t="s">
        <v>1347</v>
      </c>
      <c r="Y342" s="7">
        <v>11196382.57</v>
      </c>
      <c r="Z342" s="7">
        <v>11146569.939999999</v>
      </c>
      <c r="AA342" s="7">
        <v>120</v>
      </c>
      <c r="AB342" s="7">
        <v>92</v>
      </c>
      <c r="AC342" s="7" t="s">
        <v>329</v>
      </c>
      <c r="AD342" s="7" t="s">
        <v>455</v>
      </c>
      <c r="AE342" s="7">
        <v>0.66</v>
      </c>
      <c r="AF342" s="7" t="s">
        <v>4312</v>
      </c>
      <c r="AG342" s="7">
        <v>0.05</v>
      </c>
      <c r="AH342" s="7">
        <v>0.09</v>
      </c>
      <c r="AI342" s="7">
        <v>11</v>
      </c>
      <c r="AJ342" s="7">
        <v>3232</v>
      </c>
      <c r="AK342" s="7">
        <v>3500686.56</v>
      </c>
      <c r="AL342" s="7">
        <v>6544663.0199999996</v>
      </c>
      <c r="AM342" s="7" t="s">
        <v>73</v>
      </c>
      <c r="AN342" s="7" t="s">
        <v>386</v>
      </c>
      <c r="AO342" s="7">
        <v>98.4</v>
      </c>
      <c r="AP342" s="7">
        <v>36</v>
      </c>
      <c r="AQ342" s="7" t="s">
        <v>387</v>
      </c>
      <c r="AR342" s="7" t="s">
        <v>186</v>
      </c>
      <c r="AS342" s="7" t="s">
        <v>357</v>
      </c>
    </row>
    <row r="343" spans="1:45" x14ac:dyDescent="0.3">
      <c r="A343" s="6" t="s">
        <v>1348</v>
      </c>
      <c r="B343" s="6" t="s">
        <v>4342</v>
      </c>
      <c r="C343" s="6" t="s">
        <v>264</v>
      </c>
      <c r="D343" s="6"/>
      <c r="E343" s="6" t="s">
        <v>4376</v>
      </c>
      <c r="F343" s="6" t="s">
        <v>196</v>
      </c>
      <c r="G343" s="6" t="s">
        <v>80</v>
      </c>
      <c r="H343" s="6" t="s">
        <v>4326</v>
      </c>
      <c r="I343" s="6" t="s">
        <v>4372</v>
      </c>
      <c r="J343" s="6" t="s">
        <v>136</v>
      </c>
      <c r="K343" s="6" t="s">
        <v>223</v>
      </c>
      <c r="L343" s="6" t="s">
        <v>1349</v>
      </c>
      <c r="M343" s="6" t="s">
        <v>4836</v>
      </c>
      <c r="N343" s="6" t="s">
        <v>3843</v>
      </c>
      <c r="O343" s="6" t="s">
        <v>4274</v>
      </c>
      <c r="P343" s="6">
        <v>17</v>
      </c>
      <c r="Q343" s="6">
        <v>41222429</v>
      </c>
      <c r="R343" s="6">
        <v>0.21</v>
      </c>
      <c r="S343" s="6">
        <v>0.17</v>
      </c>
      <c r="T343" s="6">
        <v>38101891.119999997</v>
      </c>
      <c r="U343" s="6">
        <v>26433642.079999998</v>
      </c>
      <c r="V343" s="6">
        <v>0.08</v>
      </c>
      <c r="W343" s="6">
        <v>7.0000000000000007E-2</v>
      </c>
      <c r="X343" s="6" t="s">
        <v>1350</v>
      </c>
      <c r="Y343" s="6">
        <v>6339696.1500000004</v>
      </c>
      <c r="Z343" s="6">
        <v>6631012.2800000003</v>
      </c>
      <c r="AA343" s="6">
        <v>45</v>
      </c>
      <c r="AB343" s="6">
        <v>48</v>
      </c>
      <c r="AC343" s="6" t="s">
        <v>329</v>
      </c>
      <c r="AD343" s="6" t="s">
        <v>354</v>
      </c>
      <c r="AE343" s="6">
        <v>0.93</v>
      </c>
      <c r="AF343" s="6" t="s">
        <v>4361</v>
      </c>
      <c r="AG343" s="6">
        <v>0.05</v>
      </c>
      <c r="AH343" s="6">
        <v>0.02</v>
      </c>
      <c r="AI343" s="6">
        <v>0</v>
      </c>
      <c r="AJ343" s="6"/>
      <c r="AK343" s="6">
        <v>1881354.56</v>
      </c>
      <c r="AL343" s="6">
        <v>5203264.04</v>
      </c>
      <c r="AM343" s="6" t="s">
        <v>321</v>
      </c>
      <c r="AN343" s="6" t="s">
        <v>386</v>
      </c>
      <c r="AO343" s="6">
        <v>60.9</v>
      </c>
      <c r="AP343" s="6">
        <v>48</v>
      </c>
      <c r="AQ343" s="6" t="s">
        <v>392</v>
      </c>
      <c r="AR343" s="6" t="s">
        <v>224</v>
      </c>
      <c r="AS343" s="6" t="s">
        <v>188</v>
      </c>
    </row>
    <row r="344" spans="1:45" x14ac:dyDescent="0.3">
      <c r="A344" s="7" t="s">
        <v>1351</v>
      </c>
      <c r="B344" s="7" t="s">
        <v>3844</v>
      </c>
      <c r="C344" s="7" t="s">
        <v>264</v>
      </c>
      <c r="D344" s="7" t="s">
        <v>215</v>
      </c>
      <c r="E344" s="7" t="s">
        <v>36</v>
      </c>
      <c r="F344" s="7" t="s">
        <v>339</v>
      </c>
      <c r="G344" s="7" t="s">
        <v>46</v>
      </c>
      <c r="H344" s="7" t="s">
        <v>236</v>
      </c>
      <c r="I344" s="7" t="s">
        <v>4272</v>
      </c>
      <c r="J344" s="7" t="s">
        <v>115</v>
      </c>
      <c r="K344" s="7" t="s">
        <v>184</v>
      </c>
      <c r="L344" s="7" t="s">
        <v>1352</v>
      </c>
      <c r="M344" s="7" t="s">
        <v>4608</v>
      </c>
      <c r="N344" s="7" t="s">
        <v>1353</v>
      </c>
      <c r="O344" s="7" t="s">
        <v>4837</v>
      </c>
      <c r="P344" s="7">
        <v>26</v>
      </c>
      <c r="Q344" s="7">
        <v>18366365</v>
      </c>
      <c r="R344" s="7">
        <v>0.19</v>
      </c>
      <c r="S344" s="7">
        <v>0.09</v>
      </c>
      <c r="T344" s="7">
        <v>16215663.66</v>
      </c>
      <c r="U344" s="7">
        <v>11464256.960000001</v>
      </c>
      <c r="V344" s="7">
        <v>0.2</v>
      </c>
      <c r="W344" s="7">
        <v>0.13</v>
      </c>
      <c r="X344" s="7" t="s">
        <v>1354</v>
      </c>
      <c r="Y344" s="7">
        <v>4206726.7699999996</v>
      </c>
      <c r="Z344" s="7">
        <v>2428139.69</v>
      </c>
      <c r="AA344" s="7">
        <v>60</v>
      </c>
      <c r="AB344" s="7">
        <v>173</v>
      </c>
      <c r="AC344" s="7" t="s">
        <v>329</v>
      </c>
      <c r="AD344" s="7" t="s">
        <v>455</v>
      </c>
      <c r="AE344" s="7">
        <v>0.35</v>
      </c>
      <c r="AF344" s="7" t="s">
        <v>4276</v>
      </c>
      <c r="AG344" s="7">
        <v>0.1</v>
      </c>
      <c r="AH344" s="7">
        <v>0.03</v>
      </c>
      <c r="AI344" s="7">
        <v>9</v>
      </c>
      <c r="AJ344" s="7">
        <v>4688</v>
      </c>
      <c r="AK344" s="7">
        <v>1293851.3500000001</v>
      </c>
      <c r="AL344" s="7">
        <v>5533008.6900000004</v>
      </c>
      <c r="AM344" s="7" t="s">
        <v>355</v>
      </c>
      <c r="AN344" s="7" t="s">
        <v>356</v>
      </c>
      <c r="AO344" s="7">
        <v>64.8</v>
      </c>
      <c r="AP344" s="7" t="s">
        <v>4275</v>
      </c>
      <c r="AQ344" s="7" t="s">
        <v>323</v>
      </c>
      <c r="AR344" s="7" t="s">
        <v>206</v>
      </c>
      <c r="AS344" s="7" t="s">
        <v>357</v>
      </c>
    </row>
    <row r="345" spans="1:45" x14ac:dyDescent="0.3">
      <c r="A345" s="6" t="s">
        <v>1355</v>
      </c>
      <c r="B345" s="6" t="s">
        <v>4838</v>
      </c>
      <c r="C345" s="6" t="s">
        <v>230</v>
      </c>
      <c r="D345" s="6" t="s">
        <v>202</v>
      </c>
      <c r="E345" s="6" t="s">
        <v>113</v>
      </c>
      <c r="F345" s="6" t="s">
        <v>181</v>
      </c>
      <c r="G345" s="6" t="s">
        <v>28</v>
      </c>
      <c r="H345" s="6" t="s">
        <v>4275</v>
      </c>
      <c r="I345" s="6" t="s">
        <v>4291</v>
      </c>
      <c r="J345" s="6" t="s">
        <v>123</v>
      </c>
      <c r="K345" s="6" t="s">
        <v>204</v>
      </c>
      <c r="L345" s="6" t="s">
        <v>1356</v>
      </c>
      <c r="M345" s="6" t="s">
        <v>1594</v>
      </c>
      <c r="N345" s="6" t="s">
        <v>4667</v>
      </c>
      <c r="O345" s="6" t="s">
        <v>4839</v>
      </c>
      <c r="P345" s="6">
        <v>33</v>
      </c>
      <c r="Q345" s="6" t="s">
        <v>4275</v>
      </c>
      <c r="R345" s="6">
        <v>0.04</v>
      </c>
      <c r="S345" s="6">
        <v>0.15</v>
      </c>
      <c r="T345" s="6">
        <v>31433062.609999999</v>
      </c>
      <c r="U345" s="6">
        <v>26255241.280000001</v>
      </c>
      <c r="V345" s="6">
        <v>0.23</v>
      </c>
      <c r="W345" s="6">
        <v>0.18</v>
      </c>
      <c r="X345" s="6" t="s">
        <v>1357</v>
      </c>
      <c r="Y345" s="6">
        <v>19963883.440000001</v>
      </c>
      <c r="Z345" s="6">
        <v>9816575.7100000009</v>
      </c>
      <c r="AA345" s="6">
        <v>120</v>
      </c>
      <c r="AB345" s="6">
        <v>154</v>
      </c>
      <c r="AC345" s="6" t="s">
        <v>347</v>
      </c>
      <c r="AD345" s="6" t="s">
        <v>336</v>
      </c>
      <c r="AE345" s="6">
        <v>0.97</v>
      </c>
      <c r="AF345" s="6" t="s">
        <v>152</v>
      </c>
      <c r="AG345" s="6">
        <v>0.1</v>
      </c>
      <c r="AH345" s="6">
        <v>0.09</v>
      </c>
      <c r="AI345" s="6">
        <v>15</v>
      </c>
      <c r="AJ345" s="6">
        <v>727</v>
      </c>
      <c r="AK345" s="6">
        <v>3829157.11</v>
      </c>
      <c r="AL345" s="6">
        <v>5187527.55</v>
      </c>
      <c r="AM345" s="6"/>
      <c r="AN345" s="6" t="s">
        <v>386</v>
      </c>
      <c r="AO345" s="6">
        <v>73.900000000000006</v>
      </c>
      <c r="AP345" s="6">
        <v>60</v>
      </c>
      <c r="AQ345" s="6" t="s">
        <v>392</v>
      </c>
      <c r="AR345" s="6" t="s">
        <v>206</v>
      </c>
      <c r="AS345" s="6"/>
    </row>
    <row r="346" spans="1:45" x14ac:dyDescent="0.3">
      <c r="A346" s="7" t="s">
        <v>1358</v>
      </c>
      <c r="B346" s="7" t="s">
        <v>4840</v>
      </c>
      <c r="C346" s="7" t="s">
        <v>234</v>
      </c>
      <c r="D346" s="7" t="s">
        <v>262</v>
      </c>
      <c r="E346" s="7" t="s">
        <v>36</v>
      </c>
      <c r="F346" s="7" t="s">
        <v>19</v>
      </c>
      <c r="G346" s="7"/>
      <c r="H346" s="7" t="s">
        <v>182</v>
      </c>
      <c r="I346" s="7" t="s">
        <v>4291</v>
      </c>
      <c r="J346" s="7" t="s">
        <v>115</v>
      </c>
      <c r="K346" s="7" t="s">
        <v>326</v>
      </c>
      <c r="L346" s="7" t="s">
        <v>1359</v>
      </c>
      <c r="M346" s="7" t="s">
        <v>4841</v>
      </c>
      <c r="N346" s="7" t="s">
        <v>4394</v>
      </c>
      <c r="O346" s="7" t="s">
        <v>4842</v>
      </c>
      <c r="P346" s="7">
        <v>60</v>
      </c>
      <c r="Q346" s="7">
        <v>38827309</v>
      </c>
      <c r="R346" s="7">
        <v>0.1</v>
      </c>
      <c r="S346" s="7">
        <v>0.04</v>
      </c>
      <c r="T346" s="7">
        <v>36342361.219999999</v>
      </c>
      <c r="U346" s="7">
        <v>28511369.100000001</v>
      </c>
      <c r="V346" s="7">
        <v>0.18</v>
      </c>
      <c r="W346" s="7">
        <v>0.08</v>
      </c>
      <c r="X346" s="7" t="s">
        <v>1360</v>
      </c>
      <c r="Y346" s="7">
        <v>26340462.32</v>
      </c>
      <c r="Z346" s="7">
        <v>13422954.720000001</v>
      </c>
      <c r="AA346" s="7">
        <v>60</v>
      </c>
      <c r="AB346" s="7">
        <v>14</v>
      </c>
      <c r="AC346" s="7" t="s">
        <v>342</v>
      </c>
      <c r="AD346" s="7" t="s">
        <v>381</v>
      </c>
      <c r="AE346" s="7">
        <v>0.62</v>
      </c>
      <c r="AF346" s="7" t="s">
        <v>4312</v>
      </c>
      <c r="AG346" s="7">
        <v>0.15</v>
      </c>
      <c r="AH346" s="7">
        <v>0.06</v>
      </c>
      <c r="AI346" s="7">
        <v>0</v>
      </c>
      <c r="AJ346" s="7">
        <v>4269</v>
      </c>
      <c r="AK346" s="7">
        <v>5059290.1500000004</v>
      </c>
      <c r="AL346" s="7">
        <v>12244988.199999999</v>
      </c>
      <c r="AM346" s="7" t="s">
        <v>385</v>
      </c>
      <c r="AN346" s="7" t="s">
        <v>386</v>
      </c>
      <c r="AO346" s="7">
        <v>94.5</v>
      </c>
      <c r="AP346" s="7">
        <v>12</v>
      </c>
      <c r="AQ346" s="7"/>
      <c r="AR346" s="7" t="s">
        <v>192</v>
      </c>
      <c r="AS346" s="7" t="s">
        <v>324</v>
      </c>
    </row>
    <row r="347" spans="1:45" x14ac:dyDescent="0.3">
      <c r="A347" s="6" t="s">
        <v>1361</v>
      </c>
      <c r="B347" s="6" t="s">
        <v>4843</v>
      </c>
      <c r="C347" s="6" t="s">
        <v>267</v>
      </c>
      <c r="D347" s="6" t="s">
        <v>209</v>
      </c>
      <c r="E347" s="6" t="s">
        <v>4270</v>
      </c>
      <c r="F347" s="6" t="s">
        <v>367</v>
      </c>
      <c r="G347" s="6" t="s">
        <v>73</v>
      </c>
      <c r="H347" s="6" t="s">
        <v>263</v>
      </c>
      <c r="I347" s="6" t="s">
        <v>4289</v>
      </c>
      <c r="J347" s="6" t="s">
        <v>127</v>
      </c>
      <c r="K347" s="6" t="s">
        <v>184</v>
      </c>
      <c r="L347" s="6" t="s">
        <v>1362</v>
      </c>
      <c r="M347" s="6" t="s">
        <v>4844</v>
      </c>
      <c r="N347" s="6" t="s">
        <v>3809</v>
      </c>
      <c r="O347" s="6" t="s">
        <v>4845</v>
      </c>
      <c r="P347" s="6">
        <v>34</v>
      </c>
      <c r="Q347" s="6">
        <v>9438138</v>
      </c>
      <c r="R347" s="6">
        <v>0.11</v>
      </c>
      <c r="S347" s="6">
        <v>0.09</v>
      </c>
      <c r="T347" s="6">
        <v>9155937.6699999999</v>
      </c>
      <c r="U347" s="6">
        <v>5712718.3099999996</v>
      </c>
      <c r="V347" s="6">
        <v>0.17</v>
      </c>
      <c r="W347" s="6">
        <v>0.05</v>
      </c>
      <c r="X347" s="6" t="s">
        <v>1363</v>
      </c>
      <c r="Y347" s="6">
        <v>5433161.6900000004</v>
      </c>
      <c r="Z347" s="6">
        <v>5573571.5999999996</v>
      </c>
      <c r="AA347" s="6">
        <v>90</v>
      </c>
      <c r="AB347" s="6">
        <v>21</v>
      </c>
      <c r="AC347" s="6" t="s">
        <v>353</v>
      </c>
      <c r="AD347" s="6" t="s">
        <v>336</v>
      </c>
      <c r="AE347" s="6">
        <v>0.48</v>
      </c>
      <c r="AF347" s="6" t="s">
        <v>155</v>
      </c>
      <c r="AG347" s="6">
        <v>0.1</v>
      </c>
      <c r="AH347" s="6">
        <v>0.08</v>
      </c>
      <c r="AI347" s="6">
        <v>9</v>
      </c>
      <c r="AJ347" s="6">
        <v>4702</v>
      </c>
      <c r="AK347" s="6">
        <v>534638.18999999994</v>
      </c>
      <c r="AL347" s="6">
        <v>2629623.11</v>
      </c>
      <c r="AM347" s="6"/>
      <c r="AN347" s="6"/>
      <c r="AO347" s="6"/>
      <c r="AP347" s="6" t="s">
        <v>4275</v>
      </c>
      <c r="AQ347" s="6" t="s">
        <v>387</v>
      </c>
      <c r="AR347" s="6" t="s">
        <v>186</v>
      </c>
      <c r="AS347" s="6" t="s">
        <v>324</v>
      </c>
    </row>
    <row r="348" spans="1:45" x14ac:dyDescent="0.3">
      <c r="A348" s="7" t="s">
        <v>1364</v>
      </c>
      <c r="B348" s="7" t="s">
        <v>4846</v>
      </c>
      <c r="C348" s="7" t="s">
        <v>268</v>
      </c>
      <c r="D348" s="7" t="s">
        <v>274</v>
      </c>
      <c r="E348" s="7" t="s">
        <v>4325</v>
      </c>
      <c r="F348" s="7" t="s">
        <v>19</v>
      </c>
      <c r="G348" s="7" t="s">
        <v>70</v>
      </c>
      <c r="H348" s="7"/>
      <c r="I348" s="7" t="s">
        <v>203</v>
      </c>
      <c r="J348" s="7" t="s">
        <v>115</v>
      </c>
      <c r="K348" s="7" t="s">
        <v>223</v>
      </c>
      <c r="L348" s="7" t="s">
        <v>1365</v>
      </c>
      <c r="M348" s="7" t="s">
        <v>4847</v>
      </c>
      <c r="N348" s="7" t="s">
        <v>4848</v>
      </c>
      <c r="O348" s="7" t="s">
        <v>3479</v>
      </c>
      <c r="P348" s="7">
        <v>48</v>
      </c>
      <c r="Q348" s="7">
        <v>42344643</v>
      </c>
      <c r="R348" s="7">
        <v>0.28999999999999998</v>
      </c>
      <c r="S348" s="7">
        <v>0.03</v>
      </c>
      <c r="T348" s="7">
        <v>30966637.43</v>
      </c>
      <c r="U348" s="7">
        <v>21212831.600000001</v>
      </c>
      <c r="V348" s="7">
        <v>0.1</v>
      </c>
      <c r="W348" s="7">
        <v>0.08</v>
      </c>
      <c r="X348" s="7" t="s">
        <v>1366</v>
      </c>
      <c r="Y348" s="7">
        <v>14830036.609999999</v>
      </c>
      <c r="Z348" s="7">
        <v>13357212.039999999</v>
      </c>
      <c r="AA348" s="7">
        <v>90</v>
      </c>
      <c r="AB348" s="7">
        <v>4</v>
      </c>
      <c r="AC348" s="7" t="s">
        <v>376</v>
      </c>
      <c r="AD348" s="7" t="s">
        <v>455</v>
      </c>
      <c r="AE348" s="7">
        <v>0.77</v>
      </c>
      <c r="AF348" s="7" t="s">
        <v>152</v>
      </c>
      <c r="AG348" s="7">
        <v>0.15</v>
      </c>
      <c r="AH348" s="7">
        <v>0.04</v>
      </c>
      <c r="AI348" s="7">
        <v>4</v>
      </c>
      <c r="AJ348" s="7">
        <v>3303</v>
      </c>
      <c r="AK348" s="7">
        <v>3752236.24</v>
      </c>
      <c r="AL348" s="7">
        <v>7415629.6900000004</v>
      </c>
      <c r="AM348" s="7" t="s">
        <v>391</v>
      </c>
      <c r="AN348" s="7" t="s">
        <v>330</v>
      </c>
      <c r="AO348" s="7">
        <v>53.5</v>
      </c>
      <c r="AP348" s="7">
        <v>48</v>
      </c>
      <c r="AQ348" s="7" t="s">
        <v>392</v>
      </c>
      <c r="AR348" s="7" t="s">
        <v>192</v>
      </c>
      <c r="AS348" s="7"/>
    </row>
    <row r="349" spans="1:45" x14ac:dyDescent="0.3">
      <c r="A349" s="6" t="s">
        <v>1367</v>
      </c>
      <c r="B349" s="6" t="s">
        <v>4277</v>
      </c>
      <c r="C349" s="6" t="s">
        <v>249</v>
      </c>
      <c r="D349" s="6" t="s">
        <v>190</v>
      </c>
      <c r="E349" s="6" t="s">
        <v>4270</v>
      </c>
      <c r="F349" s="6" t="s">
        <v>181</v>
      </c>
      <c r="G349" s="6" t="s">
        <v>78</v>
      </c>
      <c r="H349" s="6" t="s">
        <v>4280</v>
      </c>
      <c r="I349" s="6"/>
      <c r="J349" s="6" t="s">
        <v>127</v>
      </c>
      <c r="K349" s="6" t="s">
        <v>184</v>
      </c>
      <c r="L349" s="6" t="s">
        <v>1368</v>
      </c>
      <c r="M349" s="6" t="s">
        <v>4622</v>
      </c>
      <c r="N349" s="6" t="s">
        <v>1369</v>
      </c>
      <c r="O349" s="6" t="s">
        <v>4274</v>
      </c>
      <c r="P349" s="6">
        <v>41</v>
      </c>
      <c r="Q349" s="6">
        <v>22605193</v>
      </c>
      <c r="R349" s="6">
        <v>0.2</v>
      </c>
      <c r="S349" s="6">
        <v>0.19</v>
      </c>
      <c r="T349" s="6">
        <v>21520143.739999998</v>
      </c>
      <c r="U349" s="6">
        <v>17855538.649999999</v>
      </c>
      <c r="V349" s="6">
        <v>0.05</v>
      </c>
      <c r="W349" s="6">
        <v>0.19</v>
      </c>
      <c r="X349" s="6" t="s">
        <v>1370</v>
      </c>
      <c r="Y349" s="6">
        <v>18939585.030000001</v>
      </c>
      <c r="Z349" s="6">
        <v>18432824.719999999</v>
      </c>
      <c r="AA349" s="6">
        <v>90</v>
      </c>
      <c r="AB349" s="6">
        <v>24</v>
      </c>
      <c r="AC349" s="6"/>
      <c r="AD349" s="6" t="s">
        <v>354</v>
      </c>
      <c r="AE349" s="6">
        <v>0.39</v>
      </c>
      <c r="AF349" s="6" t="s">
        <v>4303</v>
      </c>
      <c r="AG349" s="6">
        <v>0.1</v>
      </c>
      <c r="AH349" s="6">
        <v>0.05</v>
      </c>
      <c r="AI349" s="6">
        <v>7</v>
      </c>
      <c r="AJ349" s="6">
        <v>3386</v>
      </c>
      <c r="AK349" s="6"/>
      <c r="AL349" s="6">
        <v>7518723.6900000004</v>
      </c>
      <c r="AM349" s="6" t="s">
        <v>321</v>
      </c>
      <c r="AN349" s="6" t="s">
        <v>386</v>
      </c>
      <c r="AO349" s="6">
        <v>54.1</v>
      </c>
      <c r="AP349" s="6">
        <v>36</v>
      </c>
      <c r="AQ349" s="6" t="s">
        <v>4275</v>
      </c>
      <c r="AR349" s="6" t="s">
        <v>186</v>
      </c>
      <c r="AS349" s="6"/>
    </row>
    <row r="350" spans="1:45" x14ac:dyDescent="0.3">
      <c r="A350" s="7" t="s">
        <v>1371</v>
      </c>
      <c r="B350" s="7" t="s">
        <v>4849</v>
      </c>
      <c r="C350" s="7" t="s">
        <v>217</v>
      </c>
      <c r="D350" s="7" t="s">
        <v>242</v>
      </c>
      <c r="E350" s="7" t="s">
        <v>36</v>
      </c>
      <c r="F350" s="7" t="s">
        <v>19</v>
      </c>
      <c r="G350" s="7" t="s">
        <v>28</v>
      </c>
      <c r="H350" s="7" t="s">
        <v>212</v>
      </c>
      <c r="I350" s="7" t="s">
        <v>4291</v>
      </c>
      <c r="J350" s="7" t="s">
        <v>115</v>
      </c>
      <c r="K350" s="7" t="s">
        <v>326</v>
      </c>
      <c r="L350" s="7" t="s">
        <v>1372</v>
      </c>
      <c r="M350" s="7" t="s">
        <v>4850</v>
      </c>
      <c r="N350" s="7" t="s">
        <v>4851</v>
      </c>
      <c r="O350" s="7" t="s">
        <v>4852</v>
      </c>
      <c r="P350" s="7">
        <v>14</v>
      </c>
      <c r="Q350" s="7">
        <v>25252072</v>
      </c>
      <c r="R350" s="7">
        <v>0.34</v>
      </c>
      <c r="S350" s="7">
        <v>-0.04</v>
      </c>
      <c r="T350" s="7">
        <v>15999712.82</v>
      </c>
      <c r="U350" s="7">
        <v>13264712.49</v>
      </c>
      <c r="V350" s="7">
        <v>0.26</v>
      </c>
      <c r="W350" s="7">
        <v>0.12</v>
      </c>
      <c r="X350" s="7" t="s">
        <v>1373</v>
      </c>
      <c r="Y350" s="7">
        <v>9902014.2100000009</v>
      </c>
      <c r="Z350" s="7">
        <v>7302639.9299999997</v>
      </c>
      <c r="AA350" s="7">
        <v>45</v>
      </c>
      <c r="AB350" s="7">
        <v>126</v>
      </c>
      <c r="AC350" s="7" t="s">
        <v>347</v>
      </c>
      <c r="AD350" s="7" t="s">
        <v>226</v>
      </c>
      <c r="AE350" s="7">
        <v>0.97</v>
      </c>
      <c r="AF350" s="7" t="s">
        <v>152</v>
      </c>
      <c r="AG350" s="7">
        <v>0.05</v>
      </c>
      <c r="AH350" s="7">
        <v>0.03</v>
      </c>
      <c r="AI350" s="7">
        <v>15</v>
      </c>
      <c r="AJ350" s="7">
        <v>2702</v>
      </c>
      <c r="AK350" s="7">
        <v>3605279.77</v>
      </c>
      <c r="AL350" s="7">
        <v>4742058.76</v>
      </c>
      <c r="AM350" s="7"/>
      <c r="AN350" s="7" t="s">
        <v>386</v>
      </c>
      <c r="AO350" s="7">
        <v>87.7</v>
      </c>
      <c r="AP350" s="7">
        <v>24</v>
      </c>
      <c r="AQ350" s="7" t="s">
        <v>4275</v>
      </c>
      <c r="AR350" s="7" t="s">
        <v>192</v>
      </c>
      <c r="AS350" s="7" t="s">
        <v>324</v>
      </c>
    </row>
    <row r="351" spans="1:45" x14ac:dyDescent="0.3">
      <c r="A351" s="6" t="s">
        <v>1374</v>
      </c>
      <c r="B351" s="6" t="s">
        <v>4853</v>
      </c>
      <c r="C351" s="6" t="s">
        <v>231</v>
      </c>
      <c r="D351" s="6" t="s">
        <v>274</v>
      </c>
      <c r="E351" s="6" t="s">
        <v>4270</v>
      </c>
      <c r="F351" s="6" t="s">
        <v>181</v>
      </c>
      <c r="G351" s="6" t="s">
        <v>57</v>
      </c>
      <c r="H351" s="6" t="s">
        <v>4340</v>
      </c>
      <c r="I351" s="6" t="s">
        <v>246</v>
      </c>
      <c r="J351" s="6" t="s">
        <v>111</v>
      </c>
      <c r="K351" s="6" t="s">
        <v>184</v>
      </c>
      <c r="L351" s="6" t="s">
        <v>1375</v>
      </c>
      <c r="M351" s="6" t="s">
        <v>4854</v>
      </c>
      <c r="N351" s="6" t="s">
        <v>4855</v>
      </c>
      <c r="O351" s="6" t="s">
        <v>4274</v>
      </c>
      <c r="P351" s="6">
        <v>58</v>
      </c>
      <c r="Q351" s="6">
        <v>25952855</v>
      </c>
      <c r="R351" s="6">
        <v>0.3</v>
      </c>
      <c r="S351" s="6">
        <v>0.16</v>
      </c>
      <c r="T351" s="6">
        <v>21073718.260000002</v>
      </c>
      <c r="U351" s="6">
        <v>12790853.82</v>
      </c>
      <c r="V351" s="6">
        <v>0.19</v>
      </c>
      <c r="W351" s="6">
        <v>0.1</v>
      </c>
      <c r="X351" s="6" t="s">
        <v>1376</v>
      </c>
      <c r="Y351" s="6">
        <v>14947814.140000001</v>
      </c>
      <c r="Z351" s="6">
        <v>13640377.99</v>
      </c>
      <c r="AA351" s="6">
        <v>30</v>
      </c>
      <c r="AB351" s="6">
        <v>52</v>
      </c>
      <c r="AC351" s="6" t="s">
        <v>353</v>
      </c>
      <c r="AD351" s="6" t="s">
        <v>381</v>
      </c>
      <c r="AE351" s="6">
        <v>0.34</v>
      </c>
      <c r="AF351" s="6" t="s">
        <v>4361</v>
      </c>
      <c r="AG351" s="6">
        <v>0.05</v>
      </c>
      <c r="AH351" s="6">
        <v>0.06</v>
      </c>
      <c r="AI351" s="6">
        <v>2</v>
      </c>
      <c r="AJ351" s="6">
        <v>1915</v>
      </c>
      <c r="AK351" s="6">
        <v>3383996.89</v>
      </c>
      <c r="AL351" s="6">
        <v>5109107.8899999997</v>
      </c>
      <c r="AM351" s="6" t="s">
        <v>385</v>
      </c>
      <c r="AN351" s="6"/>
      <c r="AO351" s="6">
        <v>52</v>
      </c>
      <c r="AP351" s="6">
        <v>12</v>
      </c>
      <c r="AQ351" s="6" t="s">
        <v>323</v>
      </c>
      <c r="AR351" s="6" t="s">
        <v>206</v>
      </c>
      <c r="AS351" s="6"/>
    </row>
    <row r="352" spans="1:45" x14ac:dyDescent="0.3">
      <c r="A352" s="7" t="s">
        <v>1187</v>
      </c>
      <c r="B352" s="7" t="s">
        <v>1291</v>
      </c>
      <c r="C352" s="7" t="s">
        <v>237</v>
      </c>
      <c r="D352" s="7" t="s">
        <v>245</v>
      </c>
      <c r="E352" s="7" t="s">
        <v>113</v>
      </c>
      <c r="F352" s="7" t="s">
        <v>181</v>
      </c>
      <c r="G352" s="7" t="s">
        <v>80</v>
      </c>
      <c r="H352" s="7" t="s">
        <v>236</v>
      </c>
      <c r="I352" s="7" t="s">
        <v>191</v>
      </c>
      <c r="J352" s="7" t="s">
        <v>123</v>
      </c>
      <c r="K352" s="7" t="s">
        <v>333</v>
      </c>
      <c r="L352" s="7" t="s">
        <v>3845</v>
      </c>
      <c r="M352" s="7" t="s">
        <v>3731</v>
      </c>
      <c r="N352" s="7"/>
      <c r="O352" s="7" t="s">
        <v>4274</v>
      </c>
      <c r="P352" s="7">
        <v>47</v>
      </c>
      <c r="Q352" s="7">
        <v>18461086</v>
      </c>
      <c r="R352" s="7">
        <v>0.04</v>
      </c>
      <c r="S352" s="7">
        <v>0</v>
      </c>
      <c r="T352" s="7">
        <v>17722642.559999999</v>
      </c>
      <c r="U352" s="7">
        <v>11771299.029999999</v>
      </c>
      <c r="V352" s="7">
        <v>0.09</v>
      </c>
      <c r="W352" s="7">
        <v>0.17</v>
      </c>
      <c r="X352" s="7" t="s">
        <v>3846</v>
      </c>
      <c r="Y352" s="7">
        <v>4964363.92</v>
      </c>
      <c r="Z352" s="7">
        <v>5452184.7000000002</v>
      </c>
      <c r="AA352" s="7">
        <v>45</v>
      </c>
      <c r="AB352" s="7">
        <v>142</v>
      </c>
      <c r="AC352" s="7" t="s">
        <v>347</v>
      </c>
      <c r="AD352" s="7" t="s">
        <v>406</v>
      </c>
      <c r="AE352" s="7">
        <v>0.65</v>
      </c>
      <c r="AF352" s="7" t="s">
        <v>155</v>
      </c>
      <c r="AG352" s="7">
        <v>0.05</v>
      </c>
      <c r="AH352" s="7">
        <v>7.0000000000000007E-2</v>
      </c>
      <c r="AI352" s="7">
        <v>9</v>
      </c>
      <c r="AJ352" s="7">
        <v>3135</v>
      </c>
      <c r="AK352" s="7">
        <v>2290207.8199999998</v>
      </c>
      <c r="AL352" s="7">
        <v>4603323.8</v>
      </c>
      <c r="AM352" s="7" t="s">
        <v>73</v>
      </c>
      <c r="AN352" s="7" t="s">
        <v>321</v>
      </c>
      <c r="AO352" s="7"/>
      <c r="AP352" s="7">
        <v>24</v>
      </c>
      <c r="AQ352" s="7" t="s">
        <v>323</v>
      </c>
      <c r="AR352" s="7" t="s">
        <v>224</v>
      </c>
      <c r="AS352" s="7"/>
    </row>
    <row r="353" spans="1:45" x14ac:dyDescent="0.3">
      <c r="A353" s="6" t="s">
        <v>1039</v>
      </c>
      <c r="B353" s="6" t="s">
        <v>4856</v>
      </c>
      <c r="C353" s="6" t="s">
        <v>211</v>
      </c>
      <c r="D353" s="6" t="s">
        <v>242</v>
      </c>
      <c r="E353" s="6" t="s">
        <v>4325</v>
      </c>
      <c r="F353" s="6" t="s">
        <v>339</v>
      </c>
      <c r="G353" s="6" t="s">
        <v>54</v>
      </c>
      <c r="H353" s="6" t="s">
        <v>216</v>
      </c>
      <c r="I353" s="6" t="s">
        <v>191</v>
      </c>
      <c r="J353" s="6" t="s">
        <v>115</v>
      </c>
      <c r="K353" s="6" t="s">
        <v>221</v>
      </c>
      <c r="L353" s="6" t="s">
        <v>3847</v>
      </c>
      <c r="M353" s="6" t="s">
        <v>3848</v>
      </c>
      <c r="N353" s="6" t="s">
        <v>3849</v>
      </c>
      <c r="O353" s="6" t="s">
        <v>3850</v>
      </c>
      <c r="P353" s="6">
        <v>14</v>
      </c>
      <c r="Q353" s="6">
        <v>27990087</v>
      </c>
      <c r="R353" s="6">
        <v>0.26</v>
      </c>
      <c r="S353" s="6">
        <v>-0.03</v>
      </c>
      <c r="T353" s="6">
        <v>20091284.449999999</v>
      </c>
      <c r="U353" s="6">
        <v>16902385.59</v>
      </c>
      <c r="V353" s="6">
        <v>0.35</v>
      </c>
      <c r="W353" s="6">
        <v>0.16</v>
      </c>
      <c r="X353" s="6" t="s">
        <v>3851</v>
      </c>
      <c r="Y353" s="6">
        <v>7159174.0899999999</v>
      </c>
      <c r="Z353" s="6">
        <v>4491781.28</v>
      </c>
      <c r="AA353" s="6">
        <v>120</v>
      </c>
      <c r="AB353" s="6">
        <v>150</v>
      </c>
      <c r="AC353" s="6" t="s">
        <v>329</v>
      </c>
      <c r="AD353" s="6" t="s">
        <v>336</v>
      </c>
      <c r="AE353" s="6">
        <v>0.08</v>
      </c>
      <c r="AF353" s="6" t="s">
        <v>4276</v>
      </c>
      <c r="AG353" s="6">
        <v>0.1</v>
      </c>
      <c r="AH353" s="6">
        <v>0.05</v>
      </c>
      <c r="AI353" s="6">
        <v>10</v>
      </c>
      <c r="AJ353" s="6">
        <v>570</v>
      </c>
      <c r="AK353" s="6">
        <v>430885.59</v>
      </c>
      <c r="AL353" s="6">
        <v>3977097.14</v>
      </c>
      <c r="AM353" s="6" t="s">
        <v>73</v>
      </c>
      <c r="AN353" s="6" t="s">
        <v>386</v>
      </c>
      <c r="AO353" s="6">
        <v>89.6</v>
      </c>
      <c r="AP353" s="6" t="s">
        <v>4275</v>
      </c>
      <c r="AQ353" s="6" t="s">
        <v>337</v>
      </c>
      <c r="AR353" s="6" t="s">
        <v>186</v>
      </c>
      <c r="AS353" s="6"/>
    </row>
    <row r="354" spans="1:45" x14ac:dyDescent="0.3">
      <c r="A354" s="7" t="s">
        <v>1377</v>
      </c>
      <c r="B354" s="7" t="s">
        <v>3798</v>
      </c>
      <c r="C354" s="7" t="s">
        <v>278</v>
      </c>
      <c r="D354" s="7"/>
      <c r="E354" s="7" t="s">
        <v>36</v>
      </c>
      <c r="F354" s="7" t="s">
        <v>19</v>
      </c>
      <c r="G354" s="7" t="s">
        <v>70</v>
      </c>
      <c r="H354" s="7" t="s">
        <v>212</v>
      </c>
      <c r="I354" s="7" t="s">
        <v>246</v>
      </c>
      <c r="J354" s="7" t="s">
        <v>115</v>
      </c>
      <c r="K354" s="7" t="s">
        <v>333</v>
      </c>
      <c r="L354" s="7" t="s">
        <v>1378</v>
      </c>
      <c r="M354" s="7" t="s">
        <v>3750</v>
      </c>
      <c r="N354" s="7" t="s">
        <v>4857</v>
      </c>
      <c r="O354" s="7" t="s">
        <v>3852</v>
      </c>
      <c r="P354" s="7">
        <v>25</v>
      </c>
      <c r="Q354" s="7">
        <v>6430586</v>
      </c>
      <c r="R354" s="7">
        <v>0.23</v>
      </c>
      <c r="S354" s="7">
        <v>-0.05</v>
      </c>
      <c r="T354" s="7">
        <v>4703973.66</v>
      </c>
      <c r="U354" s="7">
        <v>3329129.58</v>
      </c>
      <c r="V354" s="7">
        <v>0.09</v>
      </c>
      <c r="W354" s="7">
        <v>0.06</v>
      </c>
      <c r="X354" s="7" t="s">
        <v>1379</v>
      </c>
      <c r="Y354" s="7">
        <v>1603928.18</v>
      </c>
      <c r="Z354" s="7">
        <v>756635.58</v>
      </c>
      <c r="AA354" s="7">
        <v>120</v>
      </c>
      <c r="AB354" s="7">
        <v>70</v>
      </c>
      <c r="AC354" s="7" t="s">
        <v>376</v>
      </c>
      <c r="AD354" s="7" t="s">
        <v>226</v>
      </c>
      <c r="AE354" s="7">
        <v>0.76</v>
      </c>
      <c r="AF354" s="7" t="s">
        <v>4294</v>
      </c>
      <c r="AG354" s="7">
        <v>0.05</v>
      </c>
      <c r="AH354" s="7">
        <v>0.1</v>
      </c>
      <c r="AI354" s="7">
        <v>0</v>
      </c>
      <c r="AJ354" s="7">
        <v>754</v>
      </c>
      <c r="AK354" s="7">
        <v>559158.63</v>
      </c>
      <c r="AL354" s="7">
        <v>2339507.61</v>
      </c>
      <c r="AM354" s="7" t="s">
        <v>73</v>
      </c>
      <c r="AN354" s="7" t="s">
        <v>321</v>
      </c>
      <c r="AO354" s="7">
        <v>83.4</v>
      </c>
      <c r="AP354" s="7">
        <v>60</v>
      </c>
      <c r="AQ354" s="7" t="s">
        <v>387</v>
      </c>
      <c r="AR354" s="7" t="s">
        <v>206</v>
      </c>
      <c r="AS354" s="7" t="s">
        <v>324</v>
      </c>
    </row>
    <row r="355" spans="1:45" x14ac:dyDescent="0.3">
      <c r="A355" s="6" t="s">
        <v>1380</v>
      </c>
      <c r="B355" s="6" t="s">
        <v>4858</v>
      </c>
      <c r="C355" s="6" t="s">
        <v>219</v>
      </c>
      <c r="D355" s="6" t="s">
        <v>394</v>
      </c>
      <c r="E355" s="6" t="s">
        <v>4376</v>
      </c>
      <c r="F355" s="6" t="s">
        <v>196</v>
      </c>
      <c r="G355" s="6" t="s">
        <v>57</v>
      </c>
      <c r="H355" s="6" t="s">
        <v>263</v>
      </c>
      <c r="I355" s="6" t="s">
        <v>4307</v>
      </c>
      <c r="J355" s="6" t="s">
        <v>136</v>
      </c>
      <c r="K355" s="6" t="s">
        <v>221</v>
      </c>
      <c r="L355" s="6" t="s">
        <v>1381</v>
      </c>
      <c r="M355" s="6" t="s">
        <v>3388</v>
      </c>
      <c r="N355" s="6" t="s">
        <v>4859</v>
      </c>
      <c r="O355" s="6" t="s">
        <v>4752</v>
      </c>
      <c r="P355" s="6">
        <v>20</v>
      </c>
      <c r="Q355" s="6">
        <v>28473032</v>
      </c>
      <c r="R355" s="6">
        <v>0.05</v>
      </c>
      <c r="S355" s="6">
        <v>7.0000000000000007E-2</v>
      </c>
      <c r="T355" s="6">
        <v>28942837.030000001</v>
      </c>
      <c r="U355" s="6">
        <v>25619480.93</v>
      </c>
      <c r="V355" s="6">
        <v>0.09</v>
      </c>
      <c r="W355" s="6">
        <v>0.14000000000000001</v>
      </c>
      <c r="X355" s="6" t="s">
        <v>1382</v>
      </c>
      <c r="Y355" s="6">
        <v>26027082.920000002</v>
      </c>
      <c r="Z355" s="6">
        <v>26711170.48</v>
      </c>
      <c r="AA355" s="6">
        <v>120</v>
      </c>
      <c r="AB355" s="6">
        <v>135</v>
      </c>
      <c r="AC355" s="6" t="s">
        <v>347</v>
      </c>
      <c r="AD355" s="6" t="s">
        <v>455</v>
      </c>
      <c r="AE355" s="6">
        <v>0.3</v>
      </c>
      <c r="AF355" s="6" t="s">
        <v>152</v>
      </c>
      <c r="AG355" s="6">
        <v>0.1</v>
      </c>
      <c r="AH355" s="6">
        <v>0.03</v>
      </c>
      <c r="AI355" s="6">
        <v>7</v>
      </c>
      <c r="AJ355" s="6">
        <v>1387</v>
      </c>
      <c r="AK355" s="6"/>
      <c r="AL355" s="6">
        <v>11501655.539999999</v>
      </c>
      <c r="AM355" s="6" t="s">
        <v>385</v>
      </c>
      <c r="AN355" s="6" t="s">
        <v>348</v>
      </c>
      <c r="AO355" s="6">
        <v>63.7</v>
      </c>
      <c r="AP355" s="6">
        <v>24</v>
      </c>
      <c r="AQ355" s="6" t="s">
        <v>323</v>
      </c>
      <c r="AR355" s="6" t="s">
        <v>192</v>
      </c>
      <c r="AS355" s="6" t="s">
        <v>357</v>
      </c>
    </row>
    <row r="356" spans="1:45" x14ac:dyDescent="0.3">
      <c r="A356" s="7" t="s">
        <v>1383</v>
      </c>
      <c r="B356" s="7" t="s">
        <v>3854</v>
      </c>
      <c r="C356" s="7" t="s">
        <v>189</v>
      </c>
      <c r="D356" s="7" t="s">
        <v>265</v>
      </c>
      <c r="E356" s="7" t="s">
        <v>20</v>
      </c>
      <c r="F356" s="7" t="s">
        <v>35</v>
      </c>
      <c r="G356" s="7" t="s">
        <v>73</v>
      </c>
      <c r="H356" s="7" t="s">
        <v>4275</v>
      </c>
      <c r="I356" s="7" t="s">
        <v>4307</v>
      </c>
      <c r="J356" s="7" t="s">
        <v>136</v>
      </c>
      <c r="K356" s="7" t="s">
        <v>204</v>
      </c>
      <c r="L356" s="7" t="s">
        <v>1384</v>
      </c>
      <c r="M356" s="7" t="s">
        <v>3855</v>
      </c>
      <c r="N356" s="7" t="s">
        <v>1385</v>
      </c>
      <c r="O356" s="7" t="s">
        <v>4860</v>
      </c>
      <c r="P356" s="7">
        <v>42</v>
      </c>
      <c r="Q356" s="7">
        <v>1419616</v>
      </c>
      <c r="R356" s="7">
        <v>0.2</v>
      </c>
      <c r="S356" s="7">
        <v>0.04</v>
      </c>
      <c r="T356" s="7">
        <v>1181120.51</v>
      </c>
      <c r="U356" s="7"/>
      <c r="V356" s="7" t="s">
        <v>4374</v>
      </c>
      <c r="W356" s="7">
        <v>0.17</v>
      </c>
      <c r="X356" s="7" t="s">
        <v>1386</v>
      </c>
      <c r="Y356" s="7">
        <v>855470.85</v>
      </c>
      <c r="Z356" s="7">
        <v>765664.7</v>
      </c>
      <c r="AA356" s="7">
        <v>90</v>
      </c>
      <c r="AB356" s="7">
        <v>117</v>
      </c>
      <c r="AC356" s="7" t="s">
        <v>376</v>
      </c>
      <c r="AD356" s="7" t="s">
        <v>455</v>
      </c>
      <c r="AE356" s="7">
        <v>0.27</v>
      </c>
      <c r="AF356" s="7" t="s">
        <v>152</v>
      </c>
      <c r="AG356" s="7">
        <v>0.05</v>
      </c>
      <c r="AH356" s="7">
        <v>7.0000000000000007E-2</v>
      </c>
      <c r="AI356" s="7">
        <v>0</v>
      </c>
      <c r="AJ356" s="7">
        <v>2123</v>
      </c>
      <c r="AK356" s="7">
        <v>34659.99</v>
      </c>
      <c r="AL356" s="7"/>
      <c r="AM356" s="7" t="s">
        <v>391</v>
      </c>
      <c r="AN356" s="7" t="s">
        <v>386</v>
      </c>
      <c r="AO356" s="7">
        <v>99.4</v>
      </c>
      <c r="AP356" s="7">
        <v>60</v>
      </c>
      <c r="AQ356" s="7" t="s">
        <v>392</v>
      </c>
      <c r="AR356" s="7" t="s">
        <v>224</v>
      </c>
      <c r="AS356" s="7" t="s">
        <v>377</v>
      </c>
    </row>
    <row r="357" spans="1:45" x14ac:dyDescent="0.3">
      <c r="A357" s="6" t="s">
        <v>1387</v>
      </c>
      <c r="B357" s="6" t="s">
        <v>4861</v>
      </c>
      <c r="C357" s="6" t="s">
        <v>208</v>
      </c>
      <c r="D357" s="6" t="s">
        <v>265</v>
      </c>
      <c r="E357" s="6"/>
      <c r="F357" s="6" t="s">
        <v>363</v>
      </c>
      <c r="G357" s="6" t="s">
        <v>73</v>
      </c>
      <c r="H357" s="6" t="s">
        <v>212</v>
      </c>
      <c r="I357" s="6" t="s">
        <v>191</v>
      </c>
      <c r="J357" s="6" t="s">
        <v>130</v>
      </c>
      <c r="K357" s="6" t="s">
        <v>223</v>
      </c>
      <c r="L357" s="6" t="s">
        <v>1388</v>
      </c>
      <c r="M357" s="6" t="s">
        <v>4862</v>
      </c>
      <c r="N357" s="6"/>
      <c r="O357" s="6" t="s">
        <v>3856</v>
      </c>
      <c r="P357" s="6">
        <v>12</v>
      </c>
      <c r="Q357" s="6">
        <v>5735268</v>
      </c>
      <c r="R357" s="6">
        <v>0.33</v>
      </c>
      <c r="S357" s="6">
        <v>0.08</v>
      </c>
      <c r="T357" s="6">
        <v>4150039.92</v>
      </c>
      <c r="U357" s="6">
        <v>2608910.81</v>
      </c>
      <c r="V357" s="6">
        <v>0.14000000000000001</v>
      </c>
      <c r="W357" s="6">
        <v>0.15</v>
      </c>
      <c r="X357" s="6" t="s">
        <v>1389</v>
      </c>
      <c r="Y357" s="6">
        <v>507917.24</v>
      </c>
      <c r="Z357" s="6">
        <v>189947.61</v>
      </c>
      <c r="AA357" s="6">
        <v>120</v>
      </c>
      <c r="AB357" s="6">
        <v>143</v>
      </c>
      <c r="AC357" s="6" t="s">
        <v>342</v>
      </c>
      <c r="AD357" s="6" t="s">
        <v>354</v>
      </c>
      <c r="AE357" s="6">
        <v>0.66</v>
      </c>
      <c r="AF357" s="6" t="s">
        <v>153</v>
      </c>
      <c r="AG357" s="6">
        <v>0.15</v>
      </c>
      <c r="AH357" s="6">
        <v>0.03</v>
      </c>
      <c r="AI357" s="6">
        <v>4</v>
      </c>
      <c r="AJ357" s="6">
        <v>1138</v>
      </c>
      <c r="AK357" s="6">
        <v>572987.52</v>
      </c>
      <c r="AL357" s="6">
        <v>1688332.38</v>
      </c>
      <c r="AM357" s="6" t="s">
        <v>385</v>
      </c>
      <c r="AN357" s="6" t="s">
        <v>321</v>
      </c>
      <c r="AO357" s="6">
        <v>85.3</v>
      </c>
      <c r="AP357" s="6">
        <v>24</v>
      </c>
      <c r="AQ357" s="6" t="s">
        <v>337</v>
      </c>
      <c r="AR357" s="6" t="s">
        <v>186</v>
      </c>
      <c r="AS357" s="6" t="s">
        <v>324</v>
      </c>
    </row>
    <row r="358" spans="1:45" x14ac:dyDescent="0.3">
      <c r="A358" s="7" t="s">
        <v>1390</v>
      </c>
      <c r="B358" s="7" t="s">
        <v>3857</v>
      </c>
      <c r="C358" s="7" t="s">
        <v>269</v>
      </c>
      <c r="D358" s="7" t="s">
        <v>281</v>
      </c>
      <c r="E358" s="7" t="s">
        <v>4376</v>
      </c>
      <c r="F358" s="7" t="s">
        <v>196</v>
      </c>
      <c r="G358" s="7"/>
      <c r="H358" s="7" t="s">
        <v>263</v>
      </c>
      <c r="I358" s="7" t="s">
        <v>191</v>
      </c>
      <c r="J358" s="7" t="s">
        <v>136</v>
      </c>
      <c r="K358" s="7" t="s">
        <v>204</v>
      </c>
      <c r="L358" s="7" t="s">
        <v>1391</v>
      </c>
      <c r="M358" s="7" t="s">
        <v>4863</v>
      </c>
      <c r="N358" s="7" t="s">
        <v>4864</v>
      </c>
      <c r="O358" s="7" t="s">
        <v>3859</v>
      </c>
      <c r="P358" s="7">
        <v>6</v>
      </c>
      <c r="Q358" s="7">
        <v>21994386</v>
      </c>
      <c r="R358" s="7">
        <v>0.32</v>
      </c>
      <c r="S358" s="7">
        <v>7.0000000000000007E-2</v>
      </c>
      <c r="T358" s="7">
        <v>16003115.25</v>
      </c>
      <c r="U358" s="7">
        <v>10431917.33</v>
      </c>
      <c r="V358" s="7">
        <v>0.2</v>
      </c>
      <c r="W358" s="7">
        <v>0.05</v>
      </c>
      <c r="X358" s="7" t="s">
        <v>1392</v>
      </c>
      <c r="Y358" s="7">
        <v>11541740.09</v>
      </c>
      <c r="Z358" s="7">
        <v>6772794.7000000002</v>
      </c>
      <c r="AA358" s="7">
        <v>45</v>
      </c>
      <c r="AB358" s="7">
        <v>106</v>
      </c>
      <c r="AC358" s="7" t="s">
        <v>347</v>
      </c>
      <c r="AD358" s="7" t="s">
        <v>320</v>
      </c>
      <c r="AE358" s="7">
        <v>0.34</v>
      </c>
      <c r="AF358" s="7" t="s">
        <v>4312</v>
      </c>
      <c r="AG358" s="7">
        <v>0.05</v>
      </c>
      <c r="AH358" s="7">
        <v>0.04</v>
      </c>
      <c r="AI358" s="7">
        <v>14</v>
      </c>
      <c r="AJ358" s="7"/>
      <c r="AK358" s="7">
        <v>3064542.96</v>
      </c>
      <c r="AL358" s="7">
        <v>7896636.0300000003</v>
      </c>
      <c r="AM358" s="7" t="s">
        <v>321</v>
      </c>
      <c r="AN358" s="7" t="s">
        <v>321</v>
      </c>
      <c r="AO358" s="7">
        <v>62.1</v>
      </c>
      <c r="AP358" s="7">
        <v>48</v>
      </c>
      <c r="AQ358" s="7" t="s">
        <v>323</v>
      </c>
      <c r="AR358" s="7" t="s">
        <v>186</v>
      </c>
      <c r="AS358" s="7" t="s">
        <v>188</v>
      </c>
    </row>
    <row r="359" spans="1:45" x14ac:dyDescent="0.3">
      <c r="A359" s="6" t="s">
        <v>1393</v>
      </c>
      <c r="B359" s="6" t="s">
        <v>4436</v>
      </c>
      <c r="C359" s="6" t="s">
        <v>273</v>
      </c>
      <c r="D359" s="6" t="s">
        <v>255</v>
      </c>
      <c r="E359" s="6" t="s">
        <v>52</v>
      </c>
      <c r="F359" s="6" t="s">
        <v>75</v>
      </c>
      <c r="G359" s="6" t="s">
        <v>28</v>
      </c>
      <c r="H359" s="6" t="s">
        <v>4340</v>
      </c>
      <c r="I359" s="6" t="s">
        <v>233</v>
      </c>
      <c r="J359" s="7" t="s">
        <v>133</v>
      </c>
      <c r="K359" s="6" t="s">
        <v>221</v>
      </c>
      <c r="L359" s="6" t="s">
        <v>1394</v>
      </c>
      <c r="M359" s="6" t="s">
        <v>4865</v>
      </c>
      <c r="N359" s="6" t="s">
        <v>4866</v>
      </c>
      <c r="O359" s="6" t="s">
        <v>3860</v>
      </c>
      <c r="P359" s="6">
        <v>29</v>
      </c>
      <c r="Q359" s="6">
        <v>33604006</v>
      </c>
      <c r="R359" s="6">
        <v>0.26</v>
      </c>
      <c r="S359" s="6">
        <v>0.06</v>
      </c>
      <c r="T359" s="6">
        <v>26358982.309999999</v>
      </c>
      <c r="U359" s="6">
        <v>17105782.030000001</v>
      </c>
      <c r="V359" s="6">
        <v>0.09</v>
      </c>
      <c r="W359" s="6">
        <v>0.15</v>
      </c>
      <c r="X359" s="6" t="s">
        <v>1395</v>
      </c>
      <c r="Y359" s="6">
        <v>8601910.0500000007</v>
      </c>
      <c r="Z359" s="6">
        <v>9157388.9800000004</v>
      </c>
      <c r="AA359" s="6">
        <v>60</v>
      </c>
      <c r="AB359" s="6">
        <v>80</v>
      </c>
      <c r="AC359" s="6" t="s">
        <v>329</v>
      </c>
      <c r="AD359" s="6" t="s">
        <v>226</v>
      </c>
      <c r="AE359" s="6">
        <v>0.41</v>
      </c>
      <c r="AF359" s="6" t="s">
        <v>162</v>
      </c>
      <c r="AG359" s="6">
        <v>0.05</v>
      </c>
      <c r="AH359" s="6">
        <v>0.1</v>
      </c>
      <c r="AI359" s="6">
        <v>9</v>
      </c>
      <c r="AJ359" s="6">
        <v>3436</v>
      </c>
      <c r="AK359" s="6">
        <v>2875980.48</v>
      </c>
      <c r="AL359" s="6">
        <v>10003655.27</v>
      </c>
      <c r="AM359" s="6" t="s">
        <v>321</v>
      </c>
      <c r="AN359" s="6"/>
      <c r="AO359" s="6">
        <v>97.6</v>
      </c>
      <c r="AP359" s="6">
        <v>24</v>
      </c>
      <c r="AQ359" s="6" t="s">
        <v>4275</v>
      </c>
      <c r="AR359" s="6" t="s">
        <v>206</v>
      </c>
      <c r="AS359" s="6" t="s">
        <v>377</v>
      </c>
    </row>
    <row r="360" spans="1:45" x14ac:dyDescent="0.3">
      <c r="A360" s="7" t="s">
        <v>1396</v>
      </c>
      <c r="B360" s="7" t="s">
        <v>4867</v>
      </c>
      <c r="C360" s="7" t="s">
        <v>222</v>
      </c>
      <c r="D360" s="7" t="s">
        <v>232</v>
      </c>
      <c r="E360" s="7" t="s">
        <v>113</v>
      </c>
      <c r="F360" s="7" t="s">
        <v>181</v>
      </c>
      <c r="G360" s="7"/>
      <c r="H360" s="7" t="s">
        <v>263</v>
      </c>
      <c r="I360" s="7" t="s">
        <v>4289</v>
      </c>
      <c r="J360" s="7" t="s">
        <v>111</v>
      </c>
      <c r="K360" s="7" t="s">
        <v>326</v>
      </c>
      <c r="L360" s="7" t="s">
        <v>1397</v>
      </c>
      <c r="M360" s="7" t="s">
        <v>3862</v>
      </c>
      <c r="N360" s="7" t="s">
        <v>3602</v>
      </c>
      <c r="O360" s="7" t="s">
        <v>3863</v>
      </c>
      <c r="P360" s="7">
        <v>41</v>
      </c>
      <c r="Q360" s="7">
        <v>34468250</v>
      </c>
      <c r="R360" s="7">
        <v>0.3</v>
      </c>
      <c r="S360" s="7">
        <v>0.02</v>
      </c>
      <c r="T360" s="7">
        <v>24610330.5</v>
      </c>
      <c r="U360" s="7">
        <v>17396651.289999999</v>
      </c>
      <c r="V360" s="7">
        <v>0.25</v>
      </c>
      <c r="W360" s="7">
        <v>0.08</v>
      </c>
      <c r="X360" s="7" t="s">
        <v>1398</v>
      </c>
      <c r="Y360" s="7">
        <v>14274324.34</v>
      </c>
      <c r="Z360" s="7">
        <v>9687184.3699999992</v>
      </c>
      <c r="AA360" s="7">
        <v>30</v>
      </c>
      <c r="AB360" s="7">
        <v>170</v>
      </c>
      <c r="AC360" s="7" t="s">
        <v>329</v>
      </c>
      <c r="AD360" s="7" t="s">
        <v>406</v>
      </c>
      <c r="AE360" s="7">
        <v>0.2</v>
      </c>
      <c r="AF360" s="7" t="s">
        <v>4319</v>
      </c>
      <c r="AG360" s="7">
        <v>0.05</v>
      </c>
      <c r="AH360" s="7">
        <v>7.0000000000000007E-2</v>
      </c>
      <c r="AI360" s="7">
        <v>11</v>
      </c>
      <c r="AJ360" s="7">
        <v>1023</v>
      </c>
      <c r="AK360" s="7">
        <v>4512530.8600000003</v>
      </c>
      <c r="AL360" s="7">
        <v>4386198.6100000003</v>
      </c>
      <c r="AM360" s="7"/>
      <c r="AN360" s="7" t="s">
        <v>330</v>
      </c>
      <c r="AO360" s="7">
        <v>63.8</v>
      </c>
      <c r="AP360" s="7">
        <v>60</v>
      </c>
      <c r="AQ360" s="7"/>
      <c r="AR360" s="7" t="s">
        <v>224</v>
      </c>
      <c r="AS360" s="7" t="s">
        <v>377</v>
      </c>
    </row>
    <row r="361" spans="1:45" x14ac:dyDescent="0.3">
      <c r="A361" s="6" t="s">
        <v>1399</v>
      </c>
      <c r="B361" s="6" t="s">
        <v>4474</v>
      </c>
      <c r="C361" s="6" t="s">
        <v>195</v>
      </c>
      <c r="D361" s="6" t="s">
        <v>255</v>
      </c>
      <c r="E361" s="6" t="s">
        <v>4265</v>
      </c>
      <c r="F361" s="6" t="s">
        <v>350</v>
      </c>
      <c r="G361" s="6"/>
      <c r="H361" s="6" t="s">
        <v>4280</v>
      </c>
      <c r="I361" s="6" t="s">
        <v>233</v>
      </c>
      <c r="J361" s="6" t="s">
        <v>130</v>
      </c>
      <c r="K361" s="6" t="s">
        <v>199</v>
      </c>
      <c r="L361" s="6" t="s">
        <v>1400</v>
      </c>
      <c r="M361" s="6" t="s">
        <v>3393</v>
      </c>
      <c r="N361" s="6"/>
      <c r="O361" s="6" t="s">
        <v>4274</v>
      </c>
      <c r="P361" s="6">
        <v>6</v>
      </c>
      <c r="Q361" s="6">
        <v>45643989</v>
      </c>
      <c r="R361" s="6">
        <v>0.21</v>
      </c>
      <c r="S361" s="6">
        <v>0.02</v>
      </c>
      <c r="T361" s="6">
        <v>36779926.340000004</v>
      </c>
      <c r="U361" s="6">
        <v>30276950.449999999</v>
      </c>
      <c r="V361" s="6">
        <v>0.05</v>
      </c>
      <c r="W361" s="6">
        <v>0.19</v>
      </c>
      <c r="X361" s="6" t="s">
        <v>1401</v>
      </c>
      <c r="Y361" s="6">
        <v>29176294.170000002</v>
      </c>
      <c r="Z361" s="6">
        <v>20486198.190000001</v>
      </c>
      <c r="AA361" s="6">
        <v>45</v>
      </c>
      <c r="AB361" s="6">
        <v>17</v>
      </c>
      <c r="AC361" s="6" t="s">
        <v>376</v>
      </c>
      <c r="AD361" s="6" t="s">
        <v>455</v>
      </c>
      <c r="AE361" s="6">
        <v>0.55000000000000004</v>
      </c>
      <c r="AF361" s="6" t="s">
        <v>155</v>
      </c>
      <c r="AG361" s="6">
        <v>0.1</v>
      </c>
      <c r="AH361" s="6">
        <v>0.06</v>
      </c>
      <c r="AI361" s="6">
        <v>13</v>
      </c>
      <c r="AJ361" s="6">
        <v>488</v>
      </c>
      <c r="AK361" s="6">
        <v>1264157.5</v>
      </c>
      <c r="AL361" s="6">
        <v>5223258.16</v>
      </c>
      <c r="AM361" s="6" t="s">
        <v>391</v>
      </c>
      <c r="AN361" s="6" t="s">
        <v>330</v>
      </c>
      <c r="AO361" s="6">
        <v>85.7</v>
      </c>
      <c r="AP361" s="6">
        <v>60</v>
      </c>
      <c r="AQ361" s="6" t="s">
        <v>323</v>
      </c>
      <c r="AR361" s="6" t="s">
        <v>192</v>
      </c>
      <c r="AS361" s="6"/>
    </row>
    <row r="362" spans="1:45" x14ac:dyDescent="0.3">
      <c r="A362" s="7" t="s">
        <v>1402</v>
      </c>
      <c r="B362" s="7" t="s">
        <v>3864</v>
      </c>
      <c r="C362" s="7" t="s">
        <v>284</v>
      </c>
      <c r="D362" s="7" t="s">
        <v>250</v>
      </c>
      <c r="E362" s="7" t="s">
        <v>36</v>
      </c>
      <c r="F362" s="7" t="s">
        <v>339</v>
      </c>
      <c r="G362" s="7" t="s">
        <v>23</v>
      </c>
      <c r="H362" s="7" t="s">
        <v>4326</v>
      </c>
      <c r="I362" s="7" t="s">
        <v>4289</v>
      </c>
      <c r="J362" s="7" t="s">
        <v>115</v>
      </c>
      <c r="K362" s="7" t="s">
        <v>333</v>
      </c>
      <c r="L362" s="7" t="s">
        <v>1403</v>
      </c>
      <c r="M362" s="7" t="s">
        <v>4868</v>
      </c>
      <c r="N362" s="7" t="s">
        <v>4869</v>
      </c>
      <c r="O362" s="7" t="s">
        <v>4626</v>
      </c>
      <c r="P362" s="7">
        <v>24</v>
      </c>
      <c r="Q362" s="7">
        <v>20185960</v>
      </c>
      <c r="R362" s="7">
        <v>0.32</v>
      </c>
      <c r="S362" s="7">
        <v>7.0000000000000007E-2</v>
      </c>
      <c r="T362" s="7">
        <v>14687304.5</v>
      </c>
      <c r="U362" s="7">
        <v>11148145</v>
      </c>
      <c r="V362" s="7">
        <v>0.06</v>
      </c>
      <c r="W362" s="7">
        <v>0.19</v>
      </c>
      <c r="X362" s="7" t="s">
        <v>1404</v>
      </c>
      <c r="Y362" s="7">
        <v>2192226.7599999998</v>
      </c>
      <c r="Z362" s="7">
        <v>845213.6</v>
      </c>
      <c r="AA362" s="7">
        <v>90</v>
      </c>
      <c r="AB362" s="7">
        <v>26</v>
      </c>
      <c r="AC362" s="7" t="s">
        <v>347</v>
      </c>
      <c r="AD362" s="7" t="s">
        <v>226</v>
      </c>
      <c r="AE362" s="7">
        <v>0.6</v>
      </c>
      <c r="AF362" s="7" t="s">
        <v>4303</v>
      </c>
      <c r="AG362" s="7">
        <v>0.1</v>
      </c>
      <c r="AH362" s="7">
        <v>0.08</v>
      </c>
      <c r="AI362" s="7">
        <v>13</v>
      </c>
      <c r="AJ362" s="7"/>
      <c r="AK362" s="7">
        <v>1874626.76</v>
      </c>
      <c r="AL362" s="7">
        <v>5669645.4100000001</v>
      </c>
      <c r="AM362" s="7" t="s">
        <v>385</v>
      </c>
      <c r="AN362" s="7" t="s">
        <v>348</v>
      </c>
      <c r="AO362" s="7">
        <v>93.4</v>
      </c>
      <c r="AP362" s="7">
        <v>48</v>
      </c>
      <c r="AQ362" s="7"/>
      <c r="AR362" s="7" t="s">
        <v>206</v>
      </c>
      <c r="AS362" s="7" t="s">
        <v>324</v>
      </c>
    </row>
    <row r="363" spans="1:45" x14ac:dyDescent="0.3">
      <c r="A363" s="6" t="s">
        <v>1405</v>
      </c>
      <c r="B363" s="6" t="s">
        <v>3362</v>
      </c>
      <c r="C363" s="6" t="s">
        <v>241</v>
      </c>
      <c r="D363" s="6"/>
      <c r="E363" s="6" t="s">
        <v>41</v>
      </c>
      <c r="F363" s="6" t="s">
        <v>350</v>
      </c>
      <c r="G363" s="6" t="s">
        <v>16</v>
      </c>
      <c r="H363" s="6" t="s">
        <v>4340</v>
      </c>
      <c r="I363" s="6" t="s">
        <v>233</v>
      </c>
      <c r="J363" s="6" t="s">
        <v>105</v>
      </c>
      <c r="K363" s="6" t="s">
        <v>184</v>
      </c>
      <c r="L363" s="6" t="s">
        <v>1406</v>
      </c>
      <c r="M363" s="6" t="s">
        <v>3506</v>
      </c>
      <c r="N363" s="6" t="s">
        <v>4682</v>
      </c>
      <c r="O363" s="6" t="s">
        <v>4274</v>
      </c>
      <c r="P363" s="6">
        <v>16</v>
      </c>
      <c r="Q363" s="6">
        <v>10576958</v>
      </c>
      <c r="R363" s="6">
        <v>0.05</v>
      </c>
      <c r="S363" s="6">
        <v>0</v>
      </c>
      <c r="T363" s="6">
        <v>10048110.1</v>
      </c>
      <c r="U363" s="6">
        <v>8934805.9199999999</v>
      </c>
      <c r="V363" s="6">
        <v>0.34</v>
      </c>
      <c r="W363" s="6">
        <v>0.11</v>
      </c>
      <c r="X363" s="6" t="s">
        <v>1407</v>
      </c>
      <c r="Y363" s="6">
        <v>5590402.79</v>
      </c>
      <c r="Z363" s="6">
        <v>5067892.8099999996</v>
      </c>
      <c r="AA363" s="6">
        <v>90</v>
      </c>
      <c r="AB363" s="6">
        <v>65</v>
      </c>
      <c r="AC363" s="6" t="s">
        <v>347</v>
      </c>
      <c r="AD363" s="6" t="s">
        <v>381</v>
      </c>
      <c r="AE363" s="6">
        <v>0.5</v>
      </c>
      <c r="AF363" s="6" t="s">
        <v>4319</v>
      </c>
      <c r="AG363" s="6">
        <v>0.05</v>
      </c>
      <c r="AH363" s="6">
        <v>0.06</v>
      </c>
      <c r="AI363" s="6">
        <v>15</v>
      </c>
      <c r="AJ363" s="6">
        <v>3744</v>
      </c>
      <c r="AK363" s="6">
        <v>1741014.06</v>
      </c>
      <c r="AL363" s="6"/>
      <c r="AM363" s="6" t="s">
        <v>73</v>
      </c>
      <c r="AN363" s="6" t="s">
        <v>321</v>
      </c>
      <c r="AO363" s="6">
        <v>69.2</v>
      </c>
      <c r="AP363" s="6">
        <v>36</v>
      </c>
      <c r="AQ363" s="6" t="s">
        <v>392</v>
      </c>
      <c r="AR363" s="6" t="s">
        <v>224</v>
      </c>
      <c r="AS363" s="6" t="s">
        <v>324</v>
      </c>
    </row>
    <row r="364" spans="1:45" x14ac:dyDescent="0.3">
      <c r="A364" s="7" t="s">
        <v>1408</v>
      </c>
      <c r="B364" s="7" t="s">
        <v>3866</v>
      </c>
      <c r="C364" s="7" t="s">
        <v>273</v>
      </c>
      <c r="D364" s="7" t="s">
        <v>255</v>
      </c>
      <c r="E364" s="7" t="s">
        <v>41</v>
      </c>
      <c r="F364" s="7" t="s">
        <v>363</v>
      </c>
      <c r="G364" s="7" t="s">
        <v>78</v>
      </c>
      <c r="H364" s="7" t="s">
        <v>4326</v>
      </c>
      <c r="I364" s="7" t="s">
        <v>4291</v>
      </c>
      <c r="J364" s="7" t="s">
        <v>105</v>
      </c>
      <c r="K364" s="7" t="s">
        <v>210</v>
      </c>
      <c r="L364" s="7" t="s">
        <v>1409</v>
      </c>
      <c r="M364" s="7" t="s">
        <v>4870</v>
      </c>
      <c r="N364" s="7"/>
      <c r="O364" s="7" t="s">
        <v>3557</v>
      </c>
      <c r="P364" s="7">
        <v>23</v>
      </c>
      <c r="Q364" s="7">
        <v>21799260</v>
      </c>
      <c r="R364" s="7">
        <v>0.03</v>
      </c>
      <c r="S364" s="7">
        <v>-0.02</v>
      </c>
      <c r="T364" s="7">
        <v>20722376.559999999</v>
      </c>
      <c r="U364" s="7">
        <v>12724683.41</v>
      </c>
      <c r="V364" s="7">
        <v>0.37</v>
      </c>
      <c r="W364" s="7">
        <v>0.11</v>
      </c>
      <c r="X364" s="7"/>
      <c r="Y364" s="7">
        <v>8197491.29</v>
      </c>
      <c r="Z364" s="7">
        <v>4414787.08</v>
      </c>
      <c r="AA364" s="7">
        <v>45</v>
      </c>
      <c r="AB364" s="7">
        <v>100</v>
      </c>
      <c r="AC364" s="7" t="s">
        <v>347</v>
      </c>
      <c r="AD364" s="7" t="s">
        <v>226</v>
      </c>
      <c r="AE364" s="7">
        <v>0.12</v>
      </c>
      <c r="AF364" s="7" t="s">
        <v>155</v>
      </c>
      <c r="AG364" s="7">
        <v>0.1</v>
      </c>
      <c r="AH364" s="7">
        <v>0.09</v>
      </c>
      <c r="AI364" s="7">
        <v>6</v>
      </c>
      <c r="AJ364" s="7">
        <v>2017</v>
      </c>
      <c r="AK364" s="7">
        <v>4550204.33</v>
      </c>
      <c r="AL364" s="7">
        <v>4807548.63</v>
      </c>
      <c r="AM364" s="7" t="s">
        <v>385</v>
      </c>
      <c r="AN364" s="7" t="s">
        <v>356</v>
      </c>
      <c r="AO364" s="7">
        <v>90.4</v>
      </c>
      <c r="AP364" s="7">
        <v>12</v>
      </c>
      <c r="AQ364" s="7" t="s">
        <v>323</v>
      </c>
      <c r="AR364" s="7" t="s">
        <v>186</v>
      </c>
      <c r="AS364" s="7"/>
    </row>
    <row r="365" spans="1:45" x14ac:dyDescent="0.3">
      <c r="A365" s="6" t="s">
        <v>1410</v>
      </c>
      <c r="B365" s="6" t="s">
        <v>3867</v>
      </c>
      <c r="C365" s="6" t="s">
        <v>264</v>
      </c>
      <c r="D365" s="6" t="s">
        <v>242</v>
      </c>
      <c r="E365" s="6" t="s">
        <v>36</v>
      </c>
      <c r="F365" s="6" t="s">
        <v>19</v>
      </c>
      <c r="G365" s="6" t="s">
        <v>70</v>
      </c>
      <c r="H365" s="6" t="s">
        <v>4275</v>
      </c>
      <c r="I365" s="6"/>
      <c r="J365" s="6" t="s">
        <v>115</v>
      </c>
      <c r="K365" s="6" t="s">
        <v>210</v>
      </c>
      <c r="L365" s="6" t="s">
        <v>1411</v>
      </c>
      <c r="M365" s="6" t="s">
        <v>4736</v>
      </c>
      <c r="N365" s="6"/>
      <c r="O365" s="6" t="s">
        <v>4871</v>
      </c>
      <c r="P365" s="6">
        <v>54</v>
      </c>
      <c r="Q365" s="6">
        <v>28426734</v>
      </c>
      <c r="R365" s="6">
        <v>0.1</v>
      </c>
      <c r="S365" s="6">
        <v>0.2</v>
      </c>
      <c r="T365" s="6">
        <v>30700872.719999999</v>
      </c>
      <c r="U365" s="6">
        <v>19901314.109999999</v>
      </c>
      <c r="V365" s="6">
        <v>0.06</v>
      </c>
      <c r="W365" s="6">
        <v>0.09</v>
      </c>
      <c r="X365" s="6" t="s">
        <v>1412</v>
      </c>
      <c r="Y365" s="6">
        <v>14337196.380000001</v>
      </c>
      <c r="Z365" s="6">
        <v>13709375.050000001</v>
      </c>
      <c r="AA365" s="6">
        <v>120</v>
      </c>
      <c r="AB365" s="6">
        <v>109</v>
      </c>
      <c r="AC365" s="6" t="s">
        <v>342</v>
      </c>
      <c r="AD365" s="6" t="s">
        <v>320</v>
      </c>
      <c r="AE365" s="6">
        <v>0.85</v>
      </c>
      <c r="AF365" s="6" t="s">
        <v>152</v>
      </c>
      <c r="AG365" s="6">
        <v>0.05</v>
      </c>
      <c r="AH365" s="6">
        <v>0.04</v>
      </c>
      <c r="AI365" s="6">
        <v>7</v>
      </c>
      <c r="AJ365" s="6">
        <v>3848</v>
      </c>
      <c r="AK365" s="6">
        <v>3142654.93</v>
      </c>
      <c r="AL365" s="6">
        <v>3405543.05</v>
      </c>
      <c r="AM365" s="6" t="s">
        <v>391</v>
      </c>
      <c r="AN365" s="6" t="s">
        <v>386</v>
      </c>
      <c r="AO365" s="6">
        <v>86.9</v>
      </c>
      <c r="AP365" s="6">
        <v>60</v>
      </c>
      <c r="AQ365" s="6" t="s">
        <v>337</v>
      </c>
      <c r="AR365" s="6" t="s">
        <v>224</v>
      </c>
      <c r="AS365" s="6"/>
    </row>
    <row r="366" spans="1:45" x14ac:dyDescent="0.3">
      <c r="A366" s="7" t="s">
        <v>1413</v>
      </c>
      <c r="B366" s="7" t="s">
        <v>4872</v>
      </c>
      <c r="C366" s="7" t="s">
        <v>270</v>
      </c>
      <c r="D366" s="7" t="s">
        <v>209</v>
      </c>
      <c r="E366" s="7"/>
      <c r="F366" s="7"/>
      <c r="G366" s="7" t="s">
        <v>38</v>
      </c>
      <c r="H366" s="7" t="s">
        <v>4266</v>
      </c>
      <c r="I366" s="7"/>
      <c r="J366" s="7" t="s">
        <v>130</v>
      </c>
      <c r="K366" s="7" t="s">
        <v>204</v>
      </c>
      <c r="L366" s="7" t="s">
        <v>1414</v>
      </c>
      <c r="M366" s="7" t="s">
        <v>3868</v>
      </c>
      <c r="N366" s="7" t="s">
        <v>4873</v>
      </c>
      <c r="O366" s="7" t="s">
        <v>3870</v>
      </c>
      <c r="P366" s="7">
        <v>11</v>
      </c>
      <c r="Q366" s="7">
        <v>44799173</v>
      </c>
      <c r="R366" s="7">
        <v>0.26</v>
      </c>
      <c r="S366" s="7">
        <v>0</v>
      </c>
      <c r="T366" s="7">
        <v>33151388.02</v>
      </c>
      <c r="U366" s="7"/>
      <c r="V366" s="7">
        <v>0.18</v>
      </c>
      <c r="W366" s="7">
        <v>0.08</v>
      </c>
      <c r="X366" s="7" t="s">
        <v>1415</v>
      </c>
      <c r="Y366" s="7">
        <v>15371456.02</v>
      </c>
      <c r="Z366" s="7">
        <v>8385382.8399999999</v>
      </c>
      <c r="AA366" s="7">
        <v>45</v>
      </c>
      <c r="AB366" s="7">
        <v>136</v>
      </c>
      <c r="AC366" s="7" t="s">
        <v>376</v>
      </c>
      <c r="AD366" s="7" t="s">
        <v>354</v>
      </c>
      <c r="AE366" s="7">
        <v>0.06</v>
      </c>
      <c r="AF366" s="7" t="s">
        <v>4276</v>
      </c>
      <c r="AG366" s="7">
        <v>0.05</v>
      </c>
      <c r="AH366" s="7">
        <v>0.09</v>
      </c>
      <c r="AI366" s="7">
        <v>9</v>
      </c>
      <c r="AJ366" s="7">
        <v>4503</v>
      </c>
      <c r="AK366" s="7">
        <v>3719716.64</v>
      </c>
      <c r="AL366" s="7">
        <v>5149911.0599999996</v>
      </c>
      <c r="AM366" s="7" t="s">
        <v>355</v>
      </c>
      <c r="AN366" s="7" t="s">
        <v>330</v>
      </c>
      <c r="AO366" s="7">
        <v>93</v>
      </c>
      <c r="AP366" s="7">
        <v>24</v>
      </c>
      <c r="AQ366" s="7" t="s">
        <v>387</v>
      </c>
      <c r="AR366" s="7" t="s">
        <v>192</v>
      </c>
      <c r="AS366" s="7" t="s">
        <v>324</v>
      </c>
    </row>
    <row r="367" spans="1:45" x14ac:dyDescent="0.3">
      <c r="A367" s="6" t="s">
        <v>1416</v>
      </c>
      <c r="B367" s="6" t="s">
        <v>3871</v>
      </c>
      <c r="C367" s="6" t="s">
        <v>244</v>
      </c>
      <c r="D367" s="6" t="s">
        <v>238</v>
      </c>
      <c r="E367" s="6" t="s">
        <v>20</v>
      </c>
      <c r="F367" s="6" t="s">
        <v>196</v>
      </c>
      <c r="G367" s="6"/>
      <c r="H367" s="6" t="s">
        <v>4275</v>
      </c>
      <c r="I367" s="6" t="s">
        <v>198</v>
      </c>
      <c r="J367" s="6" t="s">
        <v>136</v>
      </c>
      <c r="K367" s="6" t="s">
        <v>223</v>
      </c>
      <c r="L367" s="6" t="s">
        <v>1417</v>
      </c>
      <c r="M367" s="6" t="s">
        <v>4874</v>
      </c>
      <c r="N367" s="6"/>
      <c r="O367" s="6" t="s">
        <v>4875</v>
      </c>
      <c r="P367" s="6">
        <v>24</v>
      </c>
      <c r="Q367" s="6">
        <v>17866156</v>
      </c>
      <c r="R367" s="6">
        <v>0.19</v>
      </c>
      <c r="S367" s="6">
        <v>0.18</v>
      </c>
      <c r="T367" s="6">
        <v>17076471.899999999</v>
      </c>
      <c r="U367" s="6">
        <v>11059330.539999999</v>
      </c>
      <c r="V367" s="6">
        <v>0.26</v>
      </c>
      <c r="W367" s="6">
        <v>0.18</v>
      </c>
      <c r="X367" s="6" t="s">
        <v>1418</v>
      </c>
      <c r="Y367" s="6">
        <v>15276627.630000001</v>
      </c>
      <c r="Z367" s="6">
        <v>11809710.390000001</v>
      </c>
      <c r="AA367" s="6">
        <v>45</v>
      </c>
      <c r="AB367" s="6">
        <v>46</v>
      </c>
      <c r="AC367" s="6"/>
      <c r="AD367" s="6" t="s">
        <v>226</v>
      </c>
      <c r="AE367" s="6">
        <v>0.1</v>
      </c>
      <c r="AF367" s="6" t="s">
        <v>4361</v>
      </c>
      <c r="AG367" s="6">
        <v>0.1</v>
      </c>
      <c r="AH367" s="6">
        <v>0.08</v>
      </c>
      <c r="AI367" s="6">
        <v>7</v>
      </c>
      <c r="AJ367" s="6">
        <v>3306</v>
      </c>
      <c r="AK367" s="6">
        <v>853050.39</v>
      </c>
      <c r="AL367" s="6">
        <v>2938945.38</v>
      </c>
      <c r="AM367" s="6" t="s">
        <v>391</v>
      </c>
      <c r="AN367" s="6" t="s">
        <v>322</v>
      </c>
      <c r="AO367" s="6">
        <v>76.3</v>
      </c>
      <c r="AP367" s="6">
        <v>24</v>
      </c>
      <c r="AQ367" s="6" t="s">
        <v>323</v>
      </c>
      <c r="AR367" s="6" t="s">
        <v>229</v>
      </c>
      <c r="AS367" s="6"/>
    </row>
    <row r="368" spans="1:45" x14ac:dyDescent="0.3">
      <c r="A368" s="7" t="s">
        <v>1419</v>
      </c>
      <c r="B368" s="7" t="s">
        <v>4401</v>
      </c>
      <c r="C368" s="7" t="s">
        <v>257</v>
      </c>
      <c r="D368" s="7" t="s">
        <v>255</v>
      </c>
      <c r="E368" s="7" t="s">
        <v>41</v>
      </c>
      <c r="F368" s="7" t="s">
        <v>228</v>
      </c>
      <c r="G368" s="7" t="s">
        <v>78</v>
      </c>
      <c r="H368" s="7" t="s">
        <v>4266</v>
      </c>
      <c r="I368" s="7" t="s">
        <v>233</v>
      </c>
      <c r="J368" s="7" t="s">
        <v>130</v>
      </c>
      <c r="K368" s="7" t="s">
        <v>204</v>
      </c>
      <c r="L368" s="7" t="s">
        <v>1420</v>
      </c>
      <c r="M368" s="7" t="s">
        <v>4464</v>
      </c>
      <c r="N368" s="7"/>
      <c r="O368" s="7" t="s">
        <v>3872</v>
      </c>
      <c r="P368" s="7">
        <v>20</v>
      </c>
      <c r="Q368" s="7">
        <v>43904568</v>
      </c>
      <c r="R368" s="7">
        <v>0.31</v>
      </c>
      <c r="S368" s="7">
        <v>0.06</v>
      </c>
      <c r="T368" s="7">
        <v>32111801.039999999</v>
      </c>
      <c r="U368" s="7">
        <v>20013026.489999998</v>
      </c>
      <c r="V368" s="7">
        <v>0.06</v>
      </c>
      <c r="W368" s="7">
        <v>0.06</v>
      </c>
      <c r="X368" s="7" t="s">
        <v>1421</v>
      </c>
      <c r="Y368" s="7" t="s">
        <v>158</v>
      </c>
      <c r="Z368" s="7">
        <v>3397852</v>
      </c>
      <c r="AA368" s="7">
        <v>90</v>
      </c>
      <c r="AB368" s="7">
        <v>43</v>
      </c>
      <c r="AC368" s="7" t="s">
        <v>376</v>
      </c>
      <c r="AD368" s="7" t="s">
        <v>336</v>
      </c>
      <c r="AE368" s="7">
        <v>0.1</v>
      </c>
      <c r="AF368" s="7" t="s">
        <v>4312</v>
      </c>
      <c r="AG368" s="7">
        <v>0.1</v>
      </c>
      <c r="AH368" s="7">
        <v>0.02</v>
      </c>
      <c r="AI368" s="7">
        <v>11</v>
      </c>
      <c r="AJ368" s="7">
        <v>3660</v>
      </c>
      <c r="AK368" s="7">
        <v>932772.77</v>
      </c>
      <c r="AL368" s="7">
        <v>3349650.19</v>
      </c>
      <c r="AM368" s="7" t="s">
        <v>391</v>
      </c>
      <c r="AN368" s="7" t="s">
        <v>330</v>
      </c>
      <c r="AO368" s="7">
        <v>88</v>
      </c>
      <c r="AP368" s="7" t="s">
        <v>4275</v>
      </c>
      <c r="AQ368" s="7" t="s">
        <v>387</v>
      </c>
      <c r="AR368" s="7" t="s">
        <v>186</v>
      </c>
      <c r="AS368" s="7"/>
    </row>
    <row r="369" spans="1:45" x14ac:dyDescent="0.3">
      <c r="A369" s="6" t="s">
        <v>1422</v>
      </c>
      <c r="B369" s="6" t="s">
        <v>4876</v>
      </c>
      <c r="C369" s="6" t="s">
        <v>273</v>
      </c>
      <c r="D369" s="6" t="s">
        <v>190</v>
      </c>
      <c r="E369" s="6" t="s">
        <v>20</v>
      </c>
      <c r="F369" s="6" t="s">
        <v>196</v>
      </c>
      <c r="G369" s="6" t="s">
        <v>62</v>
      </c>
      <c r="H369" s="6" t="s">
        <v>182</v>
      </c>
      <c r="I369" s="6" t="s">
        <v>4272</v>
      </c>
      <c r="J369" s="6" t="s">
        <v>136</v>
      </c>
      <c r="K369" s="6" t="s">
        <v>221</v>
      </c>
      <c r="L369" s="6" t="s">
        <v>1423</v>
      </c>
      <c r="M369" s="6" t="s">
        <v>4877</v>
      </c>
      <c r="N369" s="6" t="s">
        <v>3873</v>
      </c>
      <c r="O369" s="6" t="s">
        <v>4274</v>
      </c>
      <c r="P369" s="6">
        <v>13</v>
      </c>
      <c r="Q369" s="6">
        <v>25482265</v>
      </c>
      <c r="R369" s="6">
        <v>0.21</v>
      </c>
      <c r="S369" s="6">
        <v>0.16</v>
      </c>
      <c r="T369" s="6">
        <v>23351947.649999999</v>
      </c>
      <c r="U369" s="6">
        <v>14836937.439999999</v>
      </c>
      <c r="V369" s="6">
        <v>0.17</v>
      </c>
      <c r="W369" s="6">
        <v>0.06</v>
      </c>
      <c r="X369" s="6" t="s">
        <v>1424</v>
      </c>
      <c r="Y369" s="6">
        <v>18297924.73</v>
      </c>
      <c r="Z369" s="6">
        <v>11938584.75</v>
      </c>
      <c r="AA369" s="6">
        <v>120</v>
      </c>
      <c r="AB369" s="6">
        <v>72</v>
      </c>
      <c r="AC369" s="6" t="s">
        <v>329</v>
      </c>
      <c r="AD369" s="6" t="s">
        <v>406</v>
      </c>
      <c r="AE369" s="6">
        <v>0.79</v>
      </c>
      <c r="AF369" s="6" t="s">
        <v>4303</v>
      </c>
      <c r="AG369" s="6">
        <v>0.1</v>
      </c>
      <c r="AH369" s="6">
        <v>0.1</v>
      </c>
      <c r="AI369" s="6">
        <v>0</v>
      </c>
      <c r="AJ369" s="6">
        <v>3246</v>
      </c>
      <c r="AK369" s="6">
        <v>4893037.38</v>
      </c>
      <c r="AL369" s="6">
        <v>3887673.73</v>
      </c>
      <c r="AM369" s="6" t="s">
        <v>385</v>
      </c>
      <c r="AN369" s="6"/>
      <c r="AO369" s="6">
        <v>71.5</v>
      </c>
      <c r="AP369" s="6">
        <v>36</v>
      </c>
      <c r="AQ369" s="6" t="s">
        <v>4275</v>
      </c>
      <c r="AR369" s="6" t="s">
        <v>192</v>
      </c>
      <c r="AS369" s="6" t="s">
        <v>188</v>
      </c>
    </row>
    <row r="370" spans="1:45" x14ac:dyDescent="0.3">
      <c r="A370" s="7" t="s">
        <v>1425</v>
      </c>
      <c r="B370" s="7" t="s">
        <v>3874</v>
      </c>
      <c r="C370" s="7" t="s">
        <v>272</v>
      </c>
      <c r="D370" s="7" t="s">
        <v>209</v>
      </c>
      <c r="E370" s="7" t="s">
        <v>4376</v>
      </c>
      <c r="F370" s="7" t="s">
        <v>196</v>
      </c>
      <c r="G370" s="7"/>
      <c r="H370" s="7" t="s">
        <v>182</v>
      </c>
      <c r="I370" s="7" t="s">
        <v>4372</v>
      </c>
      <c r="J370" s="7" t="s">
        <v>136</v>
      </c>
      <c r="K370" s="7" t="s">
        <v>199</v>
      </c>
      <c r="L370" s="7" t="s">
        <v>1426</v>
      </c>
      <c r="M370" s="7" t="s">
        <v>4878</v>
      </c>
      <c r="N370" s="7"/>
      <c r="O370" s="7" t="s">
        <v>4519</v>
      </c>
      <c r="P370" s="7">
        <v>13</v>
      </c>
      <c r="Q370" s="7">
        <v>48705344</v>
      </c>
      <c r="R370" s="7">
        <v>0.01</v>
      </c>
      <c r="S370" s="7">
        <v>0.16</v>
      </c>
      <c r="T370" s="7">
        <v>55933217.049999997</v>
      </c>
      <c r="U370" s="7">
        <v>36788873.890000001</v>
      </c>
      <c r="V370" s="7">
        <v>0.05</v>
      </c>
      <c r="W370" s="7">
        <v>0.08</v>
      </c>
      <c r="X370" s="7" t="s">
        <v>1427</v>
      </c>
      <c r="Y370" s="7">
        <v>23470791.48</v>
      </c>
      <c r="Z370" s="7">
        <v>22364181.760000002</v>
      </c>
      <c r="AA370" s="7">
        <v>90</v>
      </c>
      <c r="AB370" s="7">
        <v>127</v>
      </c>
      <c r="AC370" s="7" t="s">
        <v>353</v>
      </c>
      <c r="AD370" s="7" t="s">
        <v>320</v>
      </c>
      <c r="AE370" s="7">
        <v>0.98</v>
      </c>
      <c r="AF370" s="7"/>
      <c r="AG370" s="7">
        <v>0.1</v>
      </c>
      <c r="AH370" s="7">
        <v>0.09</v>
      </c>
      <c r="AI370" s="7">
        <v>0</v>
      </c>
      <c r="AJ370" s="7">
        <v>2828</v>
      </c>
      <c r="AK370" s="7">
        <v>1882561.14</v>
      </c>
      <c r="AL370" s="7">
        <v>21912070.629999999</v>
      </c>
      <c r="AM370" s="7" t="s">
        <v>385</v>
      </c>
      <c r="AN370" s="7" t="s">
        <v>386</v>
      </c>
      <c r="AO370" s="7"/>
      <c r="AP370" s="7">
        <v>36</v>
      </c>
      <c r="AQ370" s="7" t="s">
        <v>323</v>
      </c>
      <c r="AR370" s="7" t="s">
        <v>206</v>
      </c>
      <c r="AS370" s="7" t="s">
        <v>357</v>
      </c>
    </row>
    <row r="371" spans="1:45" x14ac:dyDescent="0.3">
      <c r="A371" s="6" t="s">
        <v>1428</v>
      </c>
      <c r="B371" s="6" t="s">
        <v>4879</v>
      </c>
      <c r="C371" s="6" t="s">
        <v>276</v>
      </c>
      <c r="D371" s="6" t="s">
        <v>262</v>
      </c>
      <c r="E371" s="6" t="s">
        <v>20</v>
      </c>
      <c r="F371" s="6" t="s">
        <v>31</v>
      </c>
      <c r="G371" s="6" t="s">
        <v>28</v>
      </c>
      <c r="H371" s="6" t="s">
        <v>182</v>
      </c>
      <c r="I371" s="6" t="s">
        <v>4289</v>
      </c>
      <c r="J371" s="6" t="s">
        <v>136</v>
      </c>
      <c r="K371" s="6" t="s">
        <v>204</v>
      </c>
      <c r="L371" s="6" t="s">
        <v>1429</v>
      </c>
      <c r="M371" s="6" t="s">
        <v>4684</v>
      </c>
      <c r="N371" s="6" t="s">
        <v>3875</v>
      </c>
      <c r="O371" s="6" t="s">
        <v>3876</v>
      </c>
      <c r="P371" s="6">
        <v>10</v>
      </c>
      <c r="Q371" s="6">
        <v>37404080</v>
      </c>
      <c r="R371" s="6">
        <v>0.28000000000000003</v>
      </c>
      <c r="S371" s="6">
        <v>0.02</v>
      </c>
      <c r="T371" s="6">
        <v>27469556.350000001</v>
      </c>
      <c r="U371" s="6">
        <v>24450494.34</v>
      </c>
      <c r="V371" s="6">
        <v>0.08</v>
      </c>
      <c r="W371" s="6">
        <v>0.12</v>
      </c>
      <c r="X371" s="6" t="s">
        <v>1430</v>
      </c>
      <c r="Y371" s="6">
        <v>19664427.969999999</v>
      </c>
      <c r="Z371" s="6">
        <v>15712375.539999999</v>
      </c>
      <c r="AA371" s="6">
        <v>45</v>
      </c>
      <c r="AB371" s="6">
        <v>50</v>
      </c>
      <c r="AC371" s="6" t="s">
        <v>376</v>
      </c>
      <c r="AD371" s="6" t="s">
        <v>455</v>
      </c>
      <c r="AE371" s="6">
        <v>0.87</v>
      </c>
      <c r="AF371" s="6" t="s">
        <v>4319</v>
      </c>
      <c r="AG371" s="6">
        <v>0.1</v>
      </c>
      <c r="AH371" s="6">
        <v>0.09</v>
      </c>
      <c r="AI371" s="6">
        <v>12</v>
      </c>
      <c r="AJ371" s="6">
        <v>2207</v>
      </c>
      <c r="AK371" s="6">
        <v>4127634.84</v>
      </c>
      <c r="AL371" s="6">
        <v>6503668.29</v>
      </c>
      <c r="AM371" s="6" t="s">
        <v>343</v>
      </c>
      <c r="AN371" s="6" t="s">
        <v>348</v>
      </c>
      <c r="AO371" s="6">
        <v>58</v>
      </c>
      <c r="AP371" s="6">
        <v>12</v>
      </c>
      <c r="AQ371" s="6" t="s">
        <v>387</v>
      </c>
      <c r="AR371" s="6" t="s">
        <v>229</v>
      </c>
      <c r="AS371" s="6"/>
    </row>
    <row r="372" spans="1:45" x14ac:dyDescent="0.3">
      <c r="A372" s="7" t="s">
        <v>1431</v>
      </c>
      <c r="B372" s="7" t="s">
        <v>3877</v>
      </c>
      <c r="C372" s="7" t="s">
        <v>189</v>
      </c>
      <c r="D372" s="7" t="s">
        <v>274</v>
      </c>
      <c r="E372" s="7" t="s">
        <v>41</v>
      </c>
      <c r="F372" s="7" t="s">
        <v>350</v>
      </c>
      <c r="G372" s="7" t="s">
        <v>80</v>
      </c>
      <c r="H372" s="7" t="s">
        <v>236</v>
      </c>
      <c r="I372" s="7" t="s">
        <v>4272</v>
      </c>
      <c r="J372" s="6" t="s">
        <v>130</v>
      </c>
      <c r="K372" s="7" t="s">
        <v>223</v>
      </c>
      <c r="L372" s="7" t="s">
        <v>1432</v>
      </c>
      <c r="M372" s="7" t="s">
        <v>4880</v>
      </c>
      <c r="N372" s="7"/>
      <c r="O372" s="7" t="s">
        <v>4274</v>
      </c>
      <c r="P372" s="7">
        <v>25</v>
      </c>
      <c r="Q372" s="7" t="s">
        <v>4275</v>
      </c>
      <c r="R372" s="7">
        <v>0.26</v>
      </c>
      <c r="S372" s="7">
        <v>-0.02</v>
      </c>
      <c r="T372" s="7">
        <v>11441662.43</v>
      </c>
      <c r="U372" s="7">
        <v>9817151.7799999993</v>
      </c>
      <c r="V372" s="7">
        <v>0.16</v>
      </c>
      <c r="W372" s="7">
        <v>0.09</v>
      </c>
      <c r="X372" s="7" t="s">
        <v>1433</v>
      </c>
      <c r="Y372" s="7">
        <v>4691303.21</v>
      </c>
      <c r="Z372" s="7">
        <v>4975748.76</v>
      </c>
      <c r="AA372" s="7">
        <v>90</v>
      </c>
      <c r="AB372" s="7">
        <v>82</v>
      </c>
      <c r="AC372" s="7" t="s">
        <v>376</v>
      </c>
      <c r="AD372" s="7" t="s">
        <v>226</v>
      </c>
      <c r="AE372" s="7">
        <v>0.19</v>
      </c>
      <c r="AF372" s="7" t="s">
        <v>153</v>
      </c>
      <c r="AG372" s="7">
        <v>0.15</v>
      </c>
      <c r="AH372" s="7">
        <v>7.0000000000000007E-2</v>
      </c>
      <c r="AI372" s="7">
        <v>12</v>
      </c>
      <c r="AJ372" s="7">
        <v>414</v>
      </c>
      <c r="AK372" s="7">
        <v>1390983.7</v>
      </c>
      <c r="AL372" s="7">
        <v>3253988.13</v>
      </c>
      <c r="AM372" s="7" t="s">
        <v>355</v>
      </c>
      <c r="AN372" s="7" t="s">
        <v>356</v>
      </c>
      <c r="AO372" s="7">
        <v>55</v>
      </c>
      <c r="AP372" s="7">
        <v>48</v>
      </c>
      <c r="AQ372" s="7"/>
      <c r="AR372" s="7" t="s">
        <v>224</v>
      </c>
      <c r="AS372" s="7" t="s">
        <v>188</v>
      </c>
    </row>
    <row r="373" spans="1:45" x14ac:dyDescent="0.3">
      <c r="A373" s="6" t="s">
        <v>1434</v>
      </c>
      <c r="B373" s="6" t="s">
        <v>4881</v>
      </c>
      <c r="C373" s="6" t="s">
        <v>231</v>
      </c>
      <c r="D373" s="6" t="s">
        <v>220</v>
      </c>
      <c r="E373" s="6" t="s">
        <v>41</v>
      </c>
      <c r="F373" s="6" t="s">
        <v>363</v>
      </c>
      <c r="G373" s="6" t="s">
        <v>54</v>
      </c>
      <c r="H373" s="6" t="s">
        <v>4340</v>
      </c>
      <c r="I373" s="6" t="s">
        <v>198</v>
      </c>
      <c r="J373" s="6" t="s">
        <v>130</v>
      </c>
      <c r="K373" s="6" t="s">
        <v>210</v>
      </c>
      <c r="L373" s="6" t="s">
        <v>1435</v>
      </c>
      <c r="M373" s="6" t="s">
        <v>4517</v>
      </c>
      <c r="N373" s="6"/>
      <c r="O373" s="6" t="s">
        <v>4780</v>
      </c>
      <c r="P373" s="6">
        <v>20</v>
      </c>
      <c r="Q373" s="6">
        <v>6469599</v>
      </c>
      <c r="R373" s="6">
        <v>0.18</v>
      </c>
      <c r="S373" s="6">
        <v>0.01</v>
      </c>
      <c r="T373" s="6">
        <v>5358121.8899999997</v>
      </c>
      <c r="U373" s="6">
        <v>4050362.93</v>
      </c>
      <c r="V373" s="6">
        <v>0.32</v>
      </c>
      <c r="W373" s="6">
        <v>0.1</v>
      </c>
      <c r="X373" s="6" t="s">
        <v>1436</v>
      </c>
      <c r="Y373" s="6">
        <v>3996316.29</v>
      </c>
      <c r="Z373" s="6">
        <v>3207547.53</v>
      </c>
      <c r="AA373" s="6">
        <v>60</v>
      </c>
      <c r="AB373" s="6">
        <v>180</v>
      </c>
      <c r="AC373" s="6" t="s">
        <v>342</v>
      </c>
      <c r="AD373" s="6" t="s">
        <v>406</v>
      </c>
      <c r="AE373" s="6">
        <v>0.93</v>
      </c>
      <c r="AF373" s="6" t="s">
        <v>4303</v>
      </c>
      <c r="AG373" s="6">
        <v>0.05</v>
      </c>
      <c r="AH373" s="6">
        <v>0.06</v>
      </c>
      <c r="AI373" s="6">
        <v>0</v>
      </c>
      <c r="AJ373" s="6">
        <v>3591</v>
      </c>
      <c r="AK373" s="6">
        <v>696019.85</v>
      </c>
      <c r="AL373" s="6">
        <v>904238.97</v>
      </c>
      <c r="AM373" s="6"/>
      <c r="AN373" s="6" t="s">
        <v>348</v>
      </c>
      <c r="AO373" s="6">
        <v>91.5</v>
      </c>
      <c r="AP373" s="6">
        <v>36</v>
      </c>
      <c r="AQ373" s="6" t="s">
        <v>4275</v>
      </c>
      <c r="AR373" s="6" t="s">
        <v>186</v>
      </c>
      <c r="AS373" s="6"/>
    </row>
    <row r="374" spans="1:45" x14ac:dyDescent="0.3">
      <c r="A374" s="7" t="s">
        <v>1437</v>
      </c>
      <c r="B374" s="7" t="s">
        <v>3878</v>
      </c>
      <c r="C374" s="7" t="s">
        <v>258</v>
      </c>
      <c r="D374" s="7" t="s">
        <v>232</v>
      </c>
      <c r="E374" s="7"/>
      <c r="F374" s="7" t="s">
        <v>75</v>
      </c>
      <c r="G374" s="7" t="s">
        <v>28</v>
      </c>
      <c r="H374" s="7" t="s">
        <v>197</v>
      </c>
      <c r="I374" s="7" t="s">
        <v>4272</v>
      </c>
      <c r="J374" s="7" t="s">
        <v>130</v>
      </c>
      <c r="K374" s="7" t="s">
        <v>184</v>
      </c>
      <c r="L374" s="7" t="s">
        <v>1438</v>
      </c>
      <c r="M374" s="7" t="s">
        <v>3725</v>
      </c>
      <c r="N374" s="7" t="s">
        <v>4882</v>
      </c>
      <c r="O374" s="7" t="s">
        <v>4274</v>
      </c>
      <c r="P374" s="7">
        <v>14</v>
      </c>
      <c r="Q374" s="7">
        <v>42991829</v>
      </c>
      <c r="R374" s="7">
        <v>0.31</v>
      </c>
      <c r="S374" s="7">
        <v>0.13</v>
      </c>
      <c r="T374" s="7">
        <v>33520729.07</v>
      </c>
      <c r="U374" s="7">
        <v>28037351.300000001</v>
      </c>
      <c r="V374" s="7">
        <v>0.28000000000000003</v>
      </c>
      <c r="W374" s="7">
        <v>0.11</v>
      </c>
      <c r="X374" s="7" t="s">
        <v>1439</v>
      </c>
      <c r="Y374" s="7">
        <v>3959808.21</v>
      </c>
      <c r="Z374" s="7">
        <v>3043040.49</v>
      </c>
      <c r="AA374" s="7">
        <v>45</v>
      </c>
      <c r="AB374" s="7">
        <v>143</v>
      </c>
      <c r="AC374" s="7" t="s">
        <v>353</v>
      </c>
      <c r="AD374" s="7" t="s">
        <v>455</v>
      </c>
      <c r="AE374" s="7">
        <v>0.2</v>
      </c>
      <c r="AF374" s="7" t="s">
        <v>4361</v>
      </c>
      <c r="AG374" s="7">
        <v>0.05</v>
      </c>
      <c r="AH374" s="7">
        <v>0.09</v>
      </c>
      <c r="AI374" s="7">
        <v>0</v>
      </c>
      <c r="AJ374" s="7">
        <v>2817</v>
      </c>
      <c r="AK374" s="7">
        <v>1076067.24</v>
      </c>
      <c r="AL374" s="7">
        <v>9121775.7599999998</v>
      </c>
      <c r="AM374" s="7" t="s">
        <v>321</v>
      </c>
      <c r="AN374" s="7"/>
      <c r="AO374" s="7">
        <v>52</v>
      </c>
      <c r="AP374" s="7">
        <v>48</v>
      </c>
      <c r="AQ374" s="7"/>
      <c r="AR374" s="7" t="s">
        <v>192</v>
      </c>
      <c r="AS374" s="7" t="s">
        <v>357</v>
      </c>
    </row>
    <row r="375" spans="1:45" x14ac:dyDescent="0.3">
      <c r="A375" s="6" t="s">
        <v>1440</v>
      </c>
      <c r="B375" s="6" t="s">
        <v>3454</v>
      </c>
      <c r="C375" s="6" t="s">
        <v>254</v>
      </c>
      <c r="D375" s="6" t="s">
        <v>215</v>
      </c>
      <c r="E375" s="6" t="s">
        <v>4265</v>
      </c>
      <c r="F375" s="6" t="s">
        <v>228</v>
      </c>
      <c r="G375" s="6" t="s">
        <v>70</v>
      </c>
      <c r="H375" s="6" t="s">
        <v>182</v>
      </c>
      <c r="I375" s="6" t="s">
        <v>233</v>
      </c>
      <c r="J375" s="6" t="s">
        <v>105</v>
      </c>
      <c r="K375" s="6" t="s">
        <v>333</v>
      </c>
      <c r="L375" s="6" t="s">
        <v>1441</v>
      </c>
      <c r="M375" s="6" t="s">
        <v>3731</v>
      </c>
      <c r="N375" s="6" t="s">
        <v>4883</v>
      </c>
      <c r="O375" s="6" t="s">
        <v>4274</v>
      </c>
      <c r="P375" s="6">
        <v>17</v>
      </c>
      <c r="Q375" s="6">
        <v>5864135</v>
      </c>
      <c r="R375" s="6">
        <v>0.21</v>
      </c>
      <c r="S375" s="6">
        <v>0.01</v>
      </c>
      <c r="T375" s="6">
        <v>4678993.32</v>
      </c>
      <c r="U375" s="6">
        <v>3087974.43</v>
      </c>
      <c r="V375" s="6">
        <v>0.21</v>
      </c>
      <c r="W375" s="6">
        <v>0.11</v>
      </c>
      <c r="X375" s="6" t="s">
        <v>1442</v>
      </c>
      <c r="Y375" s="6">
        <v>3268572.53</v>
      </c>
      <c r="Z375" s="6">
        <v>2389309.04</v>
      </c>
      <c r="AA375" s="6">
        <v>45</v>
      </c>
      <c r="AB375" s="6">
        <v>35</v>
      </c>
      <c r="AC375" s="6" t="s">
        <v>329</v>
      </c>
      <c r="AD375" s="6" t="s">
        <v>226</v>
      </c>
      <c r="AE375" s="6">
        <v>0.2</v>
      </c>
      <c r="AF375" s="6" t="s">
        <v>153</v>
      </c>
      <c r="AG375" s="6">
        <v>0.1</v>
      </c>
      <c r="AH375" s="6">
        <v>0.02</v>
      </c>
      <c r="AI375" s="6">
        <v>7</v>
      </c>
      <c r="AJ375" s="6">
        <v>111</v>
      </c>
      <c r="AK375" s="6">
        <v>946512.48</v>
      </c>
      <c r="AL375" s="6">
        <v>1801508.43</v>
      </c>
      <c r="AM375" s="6"/>
      <c r="AN375" s="6" t="s">
        <v>322</v>
      </c>
      <c r="AO375" s="6">
        <v>83.7</v>
      </c>
      <c r="AP375" s="6">
        <v>36</v>
      </c>
      <c r="AQ375" s="6" t="s">
        <v>387</v>
      </c>
      <c r="AR375" s="6" t="s">
        <v>186</v>
      </c>
      <c r="AS375" s="6" t="s">
        <v>361</v>
      </c>
    </row>
    <row r="376" spans="1:45" x14ac:dyDescent="0.3">
      <c r="A376" s="7" t="s">
        <v>1443</v>
      </c>
      <c r="B376" s="7" t="s">
        <v>4390</v>
      </c>
      <c r="C376" s="7" t="s">
        <v>244</v>
      </c>
      <c r="D376" s="7" t="s">
        <v>202</v>
      </c>
      <c r="E376" s="7"/>
      <c r="F376" s="7" t="s">
        <v>228</v>
      </c>
      <c r="G376" s="7" t="s">
        <v>38</v>
      </c>
      <c r="H376" s="7" t="s">
        <v>236</v>
      </c>
      <c r="I376" s="7" t="s">
        <v>4307</v>
      </c>
      <c r="J376" s="7" t="s">
        <v>130</v>
      </c>
      <c r="K376" s="7" t="s">
        <v>333</v>
      </c>
      <c r="L376" s="7" t="s">
        <v>1444</v>
      </c>
      <c r="M376" s="7" t="s">
        <v>4884</v>
      </c>
      <c r="N376" s="7"/>
      <c r="O376" s="7" t="s">
        <v>3879</v>
      </c>
      <c r="P376" s="7">
        <v>17</v>
      </c>
      <c r="Q376" s="7">
        <v>13395441</v>
      </c>
      <c r="R376" s="7">
        <v>0.17</v>
      </c>
      <c r="S376" s="7">
        <v>7.0000000000000007E-2</v>
      </c>
      <c r="T376" s="7">
        <v>11896491.15</v>
      </c>
      <c r="U376" s="7">
        <v>8089407.1200000001</v>
      </c>
      <c r="V376" s="7">
        <v>0.32</v>
      </c>
      <c r="W376" s="7">
        <v>0.08</v>
      </c>
      <c r="X376" s="7" t="s">
        <v>1445</v>
      </c>
      <c r="Y376" s="7">
        <v>7253510.7699999996</v>
      </c>
      <c r="Z376" s="7">
        <v>4429640.66</v>
      </c>
      <c r="AA376" s="7">
        <v>60</v>
      </c>
      <c r="AB376" s="7">
        <v>123</v>
      </c>
      <c r="AC376" s="7" t="s">
        <v>376</v>
      </c>
      <c r="AD376" s="7" t="s">
        <v>354</v>
      </c>
      <c r="AE376" s="7">
        <v>0.94</v>
      </c>
      <c r="AF376" s="7" t="s">
        <v>153</v>
      </c>
      <c r="AG376" s="7">
        <v>0.05</v>
      </c>
      <c r="AH376" s="7">
        <v>0.05</v>
      </c>
      <c r="AI376" s="7">
        <v>6</v>
      </c>
      <c r="AJ376" s="7">
        <v>2103</v>
      </c>
      <c r="AK376" s="7">
        <v>2319777.2799999998</v>
      </c>
      <c r="AL376" s="7"/>
      <c r="AM376" s="7"/>
      <c r="AN376" s="7" t="s">
        <v>386</v>
      </c>
      <c r="AO376" s="7">
        <v>89</v>
      </c>
      <c r="AP376" s="7">
        <v>36</v>
      </c>
      <c r="AQ376" s="7" t="s">
        <v>387</v>
      </c>
      <c r="AR376" s="7" t="s">
        <v>206</v>
      </c>
      <c r="AS376" s="7"/>
    </row>
    <row r="377" spans="1:45" x14ac:dyDescent="0.3">
      <c r="A377" s="6" t="s">
        <v>1446</v>
      </c>
      <c r="B377" s="6" t="s">
        <v>4885</v>
      </c>
      <c r="C377" s="6" t="s">
        <v>235</v>
      </c>
      <c r="D377" s="6" t="s">
        <v>180</v>
      </c>
      <c r="E377" s="6" t="s">
        <v>4306</v>
      </c>
      <c r="F377" s="6" t="s">
        <v>75</v>
      </c>
      <c r="G377" s="6" t="s">
        <v>66</v>
      </c>
      <c r="H377" s="6" t="s">
        <v>197</v>
      </c>
      <c r="I377" s="6" t="s">
        <v>246</v>
      </c>
      <c r="J377" s="6" t="s">
        <v>119</v>
      </c>
      <c r="K377" s="6" t="s">
        <v>221</v>
      </c>
      <c r="L377" s="6" t="s">
        <v>1447</v>
      </c>
      <c r="M377" s="6" t="s">
        <v>3367</v>
      </c>
      <c r="N377" s="6"/>
      <c r="O377" s="6" t="s">
        <v>4886</v>
      </c>
      <c r="P377" s="6">
        <v>43</v>
      </c>
      <c r="Q377" s="6">
        <v>2982497</v>
      </c>
      <c r="R377" s="6">
        <v>0.11</v>
      </c>
      <c r="S377" s="6">
        <v>7.0000000000000007E-2</v>
      </c>
      <c r="T377" s="6">
        <v>2840231.89</v>
      </c>
      <c r="U377" s="6">
        <v>1784117.15</v>
      </c>
      <c r="V377" s="6">
        <v>0.23</v>
      </c>
      <c r="W377" s="6">
        <v>0.19</v>
      </c>
      <c r="X377" s="6" t="s">
        <v>1448</v>
      </c>
      <c r="Y377" s="6">
        <v>619684.63</v>
      </c>
      <c r="Z377" s="6" t="s">
        <v>4357</v>
      </c>
      <c r="AA377" s="6">
        <v>60</v>
      </c>
      <c r="AB377" s="6">
        <v>17</v>
      </c>
      <c r="AC377" s="6" t="s">
        <v>329</v>
      </c>
      <c r="AD377" s="6" t="s">
        <v>226</v>
      </c>
      <c r="AE377" s="6">
        <v>0.66</v>
      </c>
      <c r="AF377" s="6"/>
      <c r="AG377" s="6">
        <v>0.05</v>
      </c>
      <c r="AH377" s="6">
        <v>0.06</v>
      </c>
      <c r="AI377" s="6">
        <v>7</v>
      </c>
      <c r="AJ377" s="6">
        <v>3707</v>
      </c>
      <c r="AK377" s="6">
        <v>685899.92</v>
      </c>
      <c r="AL377" s="6">
        <v>756226.27</v>
      </c>
      <c r="AM377" s="6" t="s">
        <v>321</v>
      </c>
      <c r="AN377" s="6" t="s">
        <v>386</v>
      </c>
      <c r="AO377" s="6">
        <v>72.900000000000006</v>
      </c>
      <c r="AP377" s="6">
        <v>48</v>
      </c>
      <c r="AQ377" s="6" t="s">
        <v>392</v>
      </c>
      <c r="AR377" s="6" t="s">
        <v>192</v>
      </c>
      <c r="AS377" s="6" t="s">
        <v>377</v>
      </c>
    </row>
    <row r="378" spans="1:45" x14ac:dyDescent="0.3">
      <c r="A378" s="7" t="s">
        <v>1449</v>
      </c>
      <c r="B378" s="7" t="s">
        <v>4807</v>
      </c>
      <c r="C378" s="7" t="s">
        <v>252</v>
      </c>
      <c r="D378" s="7" t="s">
        <v>262</v>
      </c>
      <c r="E378" s="7" t="s">
        <v>20</v>
      </c>
      <c r="F378" s="7" t="s">
        <v>196</v>
      </c>
      <c r="G378" s="7" t="s">
        <v>78</v>
      </c>
      <c r="H378" s="7" t="s">
        <v>263</v>
      </c>
      <c r="I378" s="7" t="s">
        <v>198</v>
      </c>
      <c r="J378" s="7" t="s">
        <v>136</v>
      </c>
      <c r="K378" s="7" t="s">
        <v>223</v>
      </c>
      <c r="L378" s="7" t="s">
        <v>1450</v>
      </c>
      <c r="M378" s="7" t="s">
        <v>4887</v>
      </c>
      <c r="N378" s="7" t="s">
        <v>4888</v>
      </c>
      <c r="O378" s="7" t="s">
        <v>4622</v>
      </c>
      <c r="P378" s="7">
        <v>28</v>
      </c>
      <c r="Q378" s="7">
        <v>44432899</v>
      </c>
      <c r="R378" s="7">
        <v>0.11</v>
      </c>
      <c r="S378" s="7">
        <v>0.12</v>
      </c>
      <c r="T378" s="7">
        <v>44290713.719999999</v>
      </c>
      <c r="U378" s="7">
        <v>32421222.52</v>
      </c>
      <c r="V378" s="7">
        <v>0.34</v>
      </c>
      <c r="W378" s="7">
        <v>0.12</v>
      </c>
      <c r="X378" s="7" t="s">
        <v>1451</v>
      </c>
      <c r="Y378" s="7">
        <v>21770973.34</v>
      </c>
      <c r="Z378" s="7">
        <v>20751681.16</v>
      </c>
      <c r="AA378" s="7">
        <v>120</v>
      </c>
      <c r="AB378" s="7">
        <v>147</v>
      </c>
      <c r="AC378" s="7" t="s">
        <v>347</v>
      </c>
      <c r="AD378" s="7" t="s">
        <v>354</v>
      </c>
      <c r="AE378" s="7">
        <v>0.08</v>
      </c>
      <c r="AF378" s="7" t="s">
        <v>4319</v>
      </c>
      <c r="AG378" s="7">
        <v>0.05</v>
      </c>
      <c r="AH378" s="7">
        <v>0.02</v>
      </c>
      <c r="AI378" s="7">
        <v>15</v>
      </c>
      <c r="AJ378" s="7">
        <v>3371</v>
      </c>
      <c r="AK378" s="7">
        <v>5728393.7199999997</v>
      </c>
      <c r="AL378" s="7">
        <v>9411055.4100000001</v>
      </c>
      <c r="AM378" s="7" t="s">
        <v>385</v>
      </c>
      <c r="AN378" s="7"/>
      <c r="AO378" s="7">
        <v>56</v>
      </c>
      <c r="AP378" s="7" t="s">
        <v>4275</v>
      </c>
      <c r="AQ378" s="7" t="s">
        <v>4275</v>
      </c>
      <c r="AR378" s="7" t="s">
        <v>186</v>
      </c>
      <c r="AS378" s="7" t="s">
        <v>188</v>
      </c>
    </row>
    <row r="379" spans="1:45" x14ac:dyDescent="0.3">
      <c r="A379" s="6" t="s">
        <v>1452</v>
      </c>
      <c r="B379" s="6" t="s">
        <v>3119</v>
      </c>
      <c r="C379" s="6" t="s">
        <v>244</v>
      </c>
      <c r="D379" s="6"/>
      <c r="E379" s="6" t="s">
        <v>20</v>
      </c>
      <c r="F379" s="6" t="s">
        <v>35</v>
      </c>
      <c r="G379" s="6" t="s">
        <v>62</v>
      </c>
      <c r="H379" s="6" t="s">
        <v>212</v>
      </c>
      <c r="I379" s="6"/>
      <c r="J379" s="6" t="s">
        <v>136</v>
      </c>
      <c r="K379" s="6" t="s">
        <v>204</v>
      </c>
      <c r="L379" s="6" t="s">
        <v>1453</v>
      </c>
      <c r="M379" s="6" t="s">
        <v>3882</v>
      </c>
      <c r="N379" s="6" t="s">
        <v>4889</v>
      </c>
      <c r="O379" s="6" t="s">
        <v>3883</v>
      </c>
      <c r="P379" s="6">
        <v>51</v>
      </c>
      <c r="Q379" s="6">
        <v>33914242</v>
      </c>
      <c r="R379" s="6">
        <v>0.27</v>
      </c>
      <c r="S379" s="6">
        <v>0.12</v>
      </c>
      <c r="T379" s="6">
        <v>27728284.260000002</v>
      </c>
      <c r="U379" s="6">
        <v>23826791.84</v>
      </c>
      <c r="V379" s="6">
        <v>0.2</v>
      </c>
      <c r="W379" s="6">
        <v>0.11</v>
      </c>
      <c r="X379" s="6" t="s">
        <v>1454</v>
      </c>
      <c r="Y379" s="6">
        <v>20438170.039999999</v>
      </c>
      <c r="Z379" s="6">
        <v>6894871.1399999997</v>
      </c>
      <c r="AA379" s="6">
        <v>90</v>
      </c>
      <c r="AB379" s="6">
        <v>53</v>
      </c>
      <c r="AC379" s="6" t="s">
        <v>347</v>
      </c>
      <c r="AD379" s="6" t="s">
        <v>455</v>
      </c>
      <c r="AE379" s="6">
        <v>0.59</v>
      </c>
      <c r="AF379" s="6" t="s">
        <v>4319</v>
      </c>
      <c r="AG379" s="6">
        <v>0.05</v>
      </c>
      <c r="AH379" s="6">
        <v>0.04</v>
      </c>
      <c r="AI379" s="6">
        <v>5</v>
      </c>
      <c r="AJ379" s="6">
        <v>131</v>
      </c>
      <c r="AK379" s="6">
        <v>6571776.3399999999</v>
      </c>
      <c r="AL379" s="6">
        <v>4739444.25</v>
      </c>
      <c r="AM379" s="6"/>
      <c r="AN379" s="6" t="s">
        <v>322</v>
      </c>
      <c r="AO379" s="6">
        <v>53.1</v>
      </c>
      <c r="AP379" s="6">
        <v>60</v>
      </c>
      <c r="AQ379" s="6" t="s">
        <v>4275</v>
      </c>
      <c r="AR379" s="6" t="s">
        <v>206</v>
      </c>
      <c r="AS379" s="6" t="s">
        <v>357</v>
      </c>
    </row>
    <row r="380" spans="1:45" x14ac:dyDescent="0.3">
      <c r="A380" s="7" t="s">
        <v>1455</v>
      </c>
      <c r="B380" s="7" t="s">
        <v>3402</v>
      </c>
      <c r="C380" s="7" t="s">
        <v>231</v>
      </c>
      <c r="D380" s="7" t="s">
        <v>265</v>
      </c>
      <c r="E380" s="7" t="s">
        <v>36</v>
      </c>
      <c r="F380" s="7" t="s">
        <v>19</v>
      </c>
      <c r="G380" s="7" t="s">
        <v>78</v>
      </c>
      <c r="H380" s="7" t="s">
        <v>212</v>
      </c>
      <c r="I380" s="7" t="s">
        <v>4307</v>
      </c>
      <c r="J380" s="7" t="s">
        <v>115</v>
      </c>
      <c r="K380" s="7" t="s">
        <v>210</v>
      </c>
      <c r="L380" s="7" t="s">
        <v>1456</v>
      </c>
      <c r="M380" s="7" t="s">
        <v>4890</v>
      </c>
      <c r="N380" s="7" t="s">
        <v>4891</v>
      </c>
      <c r="O380" s="7" t="s">
        <v>4274</v>
      </c>
      <c r="P380" s="7">
        <v>39</v>
      </c>
      <c r="Q380" s="7">
        <v>28297109</v>
      </c>
      <c r="R380" s="7">
        <v>0.25</v>
      </c>
      <c r="S380" s="7">
        <v>0.19</v>
      </c>
      <c r="T380" s="7">
        <v>25255169.780000001</v>
      </c>
      <c r="U380" s="7">
        <v>18324242.949999999</v>
      </c>
      <c r="V380" s="7" t="s">
        <v>4374</v>
      </c>
      <c r="W380" s="7">
        <v>0.11</v>
      </c>
      <c r="X380" s="7" t="s">
        <v>1457</v>
      </c>
      <c r="Y380" s="7">
        <v>17780769.23</v>
      </c>
      <c r="Z380" s="7">
        <v>16324382.18</v>
      </c>
      <c r="AA380" s="7">
        <v>45</v>
      </c>
      <c r="AB380" s="7">
        <v>119</v>
      </c>
      <c r="AC380" s="7"/>
      <c r="AD380" s="7" t="s">
        <v>381</v>
      </c>
      <c r="AE380" s="7">
        <v>0.14000000000000001</v>
      </c>
      <c r="AF380" s="7" t="s">
        <v>155</v>
      </c>
      <c r="AG380" s="7">
        <v>0.15</v>
      </c>
      <c r="AH380" s="7">
        <v>0.09</v>
      </c>
      <c r="AI380" s="7">
        <v>0</v>
      </c>
      <c r="AJ380" s="7">
        <v>3023</v>
      </c>
      <c r="AK380" s="7">
        <v>4032477.31</v>
      </c>
      <c r="AL380" s="7">
        <v>12620909.390000001</v>
      </c>
      <c r="AM380" s="7" t="s">
        <v>391</v>
      </c>
      <c r="AN380" s="7" t="s">
        <v>322</v>
      </c>
      <c r="AO380" s="7"/>
      <c r="AP380" s="7">
        <v>60</v>
      </c>
      <c r="AQ380" s="7" t="s">
        <v>392</v>
      </c>
      <c r="AR380" s="7" t="s">
        <v>224</v>
      </c>
      <c r="AS380" s="7"/>
    </row>
    <row r="381" spans="1:45" x14ac:dyDescent="0.3">
      <c r="A381" s="6" t="s">
        <v>1458</v>
      </c>
      <c r="B381" s="6" t="s">
        <v>4892</v>
      </c>
      <c r="C381" s="6" t="s">
        <v>285</v>
      </c>
      <c r="D381" s="6" t="s">
        <v>180</v>
      </c>
      <c r="E381" s="6" t="s">
        <v>41</v>
      </c>
      <c r="F381" s="6" t="s">
        <v>350</v>
      </c>
      <c r="G381" s="6" t="s">
        <v>33</v>
      </c>
      <c r="H381" s="6" t="s">
        <v>4326</v>
      </c>
      <c r="I381" s="6" t="s">
        <v>203</v>
      </c>
      <c r="J381" s="6" t="s">
        <v>130</v>
      </c>
      <c r="K381" s="6" t="s">
        <v>223</v>
      </c>
      <c r="L381" s="6" t="s">
        <v>1459</v>
      </c>
      <c r="M381" s="6" t="s">
        <v>4893</v>
      </c>
      <c r="N381" s="6" t="s">
        <v>4894</v>
      </c>
      <c r="O381" s="6" t="s">
        <v>4274</v>
      </c>
      <c r="P381" s="6" t="s">
        <v>4275</v>
      </c>
      <c r="Q381" s="6">
        <v>46755957</v>
      </c>
      <c r="R381" s="6">
        <v>0.24</v>
      </c>
      <c r="S381" s="6">
        <v>0.14000000000000001</v>
      </c>
      <c r="T381" s="6">
        <v>40509361.140000001</v>
      </c>
      <c r="U381" s="6">
        <v>26202377.43</v>
      </c>
      <c r="V381" s="6">
        <v>0.06</v>
      </c>
      <c r="W381" s="6">
        <v>0.18</v>
      </c>
      <c r="X381" s="6" t="s">
        <v>1460</v>
      </c>
      <c r="Y381" s="6">
        <v>18068072.41</v>
      </c>
      <c r="Z381" s="6">
        <v>13208154.029999999</v>
      </c>
      <c r="AA381" s="6">
        <v>90</v>
      </c>
      <c r="AB381" s="6">
        <v>121</v>
      </c>
      <c r="AC381" s="6"/>
      <c r="AD381" s="6" t="s">
        <v>406</v>
      </c>
      <c r="AE381" s="6">
        <v>0.52</v>
      </c>
      <c r="AF381" s="6" t="s">
        <v>4276</v>
      </c>
      <c r="AG381" s="6">
        <v>0.05</v>
      </c>
      <c r="AH381" s="6">
        <v>0.04</v>
      </c>
      <c r="AI381" s="6">
        <v>12</v>
      </c>
      <c r="AJ381" s="6">
        <v>547</v>
      </c>
      <c r="AK381" s="6">
        <v>4556718.51</v>
      </c>
      <c r="AL381" s="6">
        <v>13783525.27</v>
      </c>
      <c r="AM381" s="6" t="s">
        <v>321</v>
      </c>
      <c r="AN381" s="6" t="s">
        <v>322</v>
      </c>
      <c r="AO381" s="6"/>
      <c r="AP381" s="6">
        <v>24</v>
      </c>
      <c r="AQ381" s="6" t="s">
        <v>337</v>
      </c>
      <c r="AR381" s="6" t="s">
        <v>192</v>
      </c>
      <c r="AS381" s="6"/>
    </row>
    <row r="382" spans="1:45" x14ac:dyDescent="0.3">
      <c r="A382" s="7" t="s">
        <v>1461</v>
      </c>
      <c r="B382" s="7" t="s">
        <v>3884</v>
      </c>
      <c r="C382" s="7" t="s">
        <v>217</v>
      </c>
      <c r="D382" s="7" t="s">
        <v>245</v>
      </c>
      <c r="E382" s="7" t="s">
        <v>4265</v>
      </c>
      <c r="F382" s="7" t="s">
        <v>363</v>
      </c>
      <c r="G382" s="7" t="s">
        <v>16</v>
      </c>
      <c r="H382" s="7" t="s">
        <v>4280</v>
      </c>
      <c r="I382" s="7" t="s">
        <v>4307</v>
      </c>
      <c r="J382" s="6" t="s">
        <v>105</v>
      </c>
      <c r="K382" s="7" t="s">
        <v>204</v>
      </c>
      <c r="L382" s="7" t="s">
        <v>1462</v>
      </c>
      <c r="M382" s="7" t="s">
        <v>4413</v>
      </c>
      <c r="N382" s="7" t="s">
        <v>4895</v>
      </c>
      <c r="O382" s="7" t="s">
        <v>3306</v>
      </c>
      <c r="P382" s="7">
        <v>60</v>
      </c>
      <c r="Q382" s="7">
        <v>1491211</v>
      </c>
      <c r="R382" s="7">
        <v>0.17</v>
      </c>
      <c r="S382" s="7">
        <v>0.08</v>
      </c>
      <c r="T382" s="7">
        <v>1336721.54</v>
      </c>
      <c r="U382" s="7">
        <v>914562.57</v>
      </c>
      <c r="V382" s="7">
        <v>0.33</v>
      </c>
      <c r="W382" s="7">
        <v>0.11</v>
      </c>
      <c r="X382" s="7" t="s">
        <v>1463</v>
      </c>
      <c r="Y382" s="7">
        <v>816476.76</v>
      </c>
      <c r="Z382" s="7">
        <v>875877.61</v>
      </c>
      <c r="AA382" s="7">
        <v>120</v>
      </c>
      <c r="AB382" s="7">
        <v>48</v>
      </c>
      <c r="AC382" s="7" t="s">
        <v>353</v>
      </c>
      <c r="AD382" s="7" t="s">
        <v>455</v>
      </c>
      <c r="AE382" s="7">
        <v>0.65</v>
      </c>
      <c r="AF382" s="7" t="s">
        <v>4361</v>
      </c>
      <c r="AG382" s="7">
        <v>0.1</v>
      </c>
      <c r="AH382" s="7">
        <v>7.0000000000000007E-2</v>
      </c>
      <c r="AI382" s="7">
        <v>2</v>
      </c>
      <c r="AJ382" s="7">
        <v>58</v>
      </c>
      <c r="AK382" s="7">
        <v>30101.59</v>
      </c>
      <c r="AL382" s="7">
        <v>567040.73</v>
      </c>
      <c r="AM382" s="7"/>
      <c r="AN382" s="7" t="s">
        <v>356</v>
      </c>
      <c r="AO382" s="7">
        <v>62.7</v>
      </c>
      <c r="AP382" s="7">
        <v>24</v>
      </c>
      <c r="AQ382" s="7" t="s">
        <v>392</v>
      </c>
      <c r="AR382" s="7" t="s">
        <v>206</v>
      </c>
      <c r="AS382" s="7" t="s">
        <v>377</v>
      </c>
    </row>
    <row r="383" spans="1:45" x14ac:dyDescent="0.3">
      <c r="A383" s="6" t="s">
        <v>1464</v>
      </c>
      <c r="B383" s="6" t="s">
        <v>4896</v>
      </c>
      <c r="C383" s="6" t="s">
        <v>195</v>
      </c>
      <c r="D383" s="6" t="s">
        <v>232</v>
      </c>
      <c r="E383" s="6" t="s">
        <v>41</v>
      </c>
      <c r="F383" s="6" t="s">
        <v>228</v>
      </c>
      <c r="G383" s="6" t="s">
        <v>16</v>
      </c>
      <c r="H383" s="6" t="s">
        <v>236</v>
      </c>
      <c r="I383" s="6" t="s">
        <v>4289</v>
      </c>
      <c r="J383" s="6" t="s">
        <v>105</v>
      </c>
      <c r="K383" s="6" t="s">
        <v>333</v>
      </c>
      <c r="L383" s="6" t="s">
        <v>1465</v>
      </c>
      <c r="M383" s="6" t="s">
        <v>4897</v>
      </c>
      <c r="N383" s="6" t="s">
        <v>3886</v>
      </c>
      <c r="O383" s="6" t="s">
        <v>3887</v>
      </c>
      <c r="P383" s="6">
        <v>58</v>
      </c>
      <c r="Q383" s="6">
        <v>10683082</v>
      </c>
      <c r="R383" s="6">
        <v>0.34</v>
      </c>
      <c r="S383" s="6">
        <v>0.06</v>
      </c>
      <c r="T383" s="6">
        <v>7473884.1699999999</v>
      </c>
      <c r="U383" s="6">
        <v>5497272.2400000002</v>
      </c>
      <c r="V383" s="6">
        <v>0.23</v>
      </c>
      <c r="W383" s="6">
        <v>0.09</v>
      </c>
      <c r="X383" s="6" t="s">
        <v>1466</v>
      </c>
      <c r="Y383" s="6">
        <v>1953280.3</v>
      </c>
      <c r="Z383" s="6">
        <v>871381.17</v>
      </c>
      <c r="AA383" s="6">
        <v>60</v>
      </c>
      <c r="AB383" s="6">
        <v>146</v>
      </c>
      <c r="AC383" s="6" t="s">
        <v>347</v>
      </c>
      <c r="AD383" s="6" t="s">
        <v>226</v>
      </c>
      <c r="AE383" s="6">
        <v>0.47</v>
      </c>
      <c r="AF383" s="6" t="s">
        <v>155</v>
      </c>
      <c r="AG383" s="6">
        <v>0.15</v>
      </c>
      <c r="AH383" s="6">
        <v>0.02</v>
      </c>
      <c r="AI383" s="6">
        <v>12</v>
      </c>
      <c r="AJ383" s="6">
        <v>3132</v>
      </c>
      <c r="AK383" s="6">
        <v>946390.48</v>
      </c>
      <c r="AL383" s="6">
        <v>3647721.85</v>
      </c>
      <c r="AM383" s="6" t="s">
        <v>343</v>
      </c>
      <c r="AN383" s="6" t="s">
        <v>356</v>
      </c>
      <c r="AO383" s="6">
        <v>57.6</v>
      </c>
      <c r="AP383" s="6">
        <v>60</v>
      </c>
      <c r="AQ383" s="6" t="s">
        <v>337</v>
      </c>
      <c r="AR383" s="6" t="s">
        <v>224</v>
      </c>
      <c r="AS383" s="6" t="s">
        <v>324</v>
      </c>
    </row>
    <row r="384" spans="1:45" x14ac:dyDescent="0.3">
      <c r="A384" s="7" t="s">
        <v>1467</v>
      </c>
      <c r="B384" s="7" t="s">
        <v>3888</v>
      </c>
      <c r="C384" s="7" t="s">
        <v>271</v>
      </c>
      <c r="D384" s="7" t="s">
        <v>250</v>
      </c>
      <c r="E384" s="7" t="s">
        <v>4270</v>
      </c>
      <c r="F384" s="7" t="s">
        <v>181</v>
      </c>
      <c r="G384" s="7" t="s">
        <v>80</v>
      </c>
      <c r="H384" s="7" t="s">
        <v>4271</v>
      </c>
      <c r="I384" s="7" t="s">
        <v>4307</v>
      </c>
      <c r="J384" s="7" t="s">
        <v>127</v>
      </c>
      <c r="K384" s="7" t="s">
        <v>221</v>
      </c>
      <c r="L384" s="7" t="s">
        <v>1468</v>
      </c>
      <c r="M384" s="7" t="s">
        <v>4510</v>
      </c>
      <c r="N384" s="7" t="s">
        <v>1469</v>
      </c>
      <c r="O384" s="7" t="s">
        <v>1964</v>
      </c>
      <c r="P384" s="7">
        <v>31</v>
      </c>
      <c r="Q384" s="7">
        <v>3588844</v>
      </c>
      <c r="R384" s="7">
        <v>0.33</v>
      </c>
      <c r="S384" s="7">
        <v>0</v>
      </c>
      <c r="T384" s="7">
        <v>2404525.48</v>
      </c>
      <c r="U384" s="7">
        <v>1711182.2</v>
      </c>
      <c r="V384" s="7">
        <v>0.05</v>
      </c>
      <c r="W384" s="7">
        <v>7.0000000000000007E-2</v>
      </c>
      <c r="X384" s="7" t="s">
        <v>1470</v>
      </c>
      <c r="Y384" s="7">
        <v>1192090.69</v>
      </c>
      <c r="Z384" s="7">
        <v>533597.81000000006</v>
      </c>
      <c r="AA384" s="7">
        <v>90</v>
      </c>
      <c r="AB384" s="7">
        <v>145</v>
      </c>
      <c r="AC384" s="7" t="s">
        <v>329</v>
      </c>
      <c r="AD384" s="7" t="s">
        <v>406</v>
      </c>
      <c r="AE384" s="7">
        <v>0.63</v>
      </c>
      <c r="AF384" s="7" t="s">
        <v>4303</v>
      </c>
      <c r="AG384" s="7">
        <v>0.05</v>
      </c>
      <c r="AH384" s="7">
        <v>0.04</v>
      </c>
      <c r="AI384" s="7">
        <v>12</v>
      </c>
      <c r="AJ384" s="7">
        <v>2691</v>
      </c>
      <c r="AK384" s="7">
        <v>340029.83</v>
      </c>
      <c r="AL384" s="7">
        <v>975694.71</v>
      </c>
      <c r="AM384" s="7"/>
      <c r="AN384" s="7" t="s">
        <v>386</v>
      </c>
      <c r="AO384" s="7">
        <v>52.4</v>
      </c>
      <c r="AP384" s="7" t="s">
        <v>4275</v>
      </c>
      <c r="AQ384" s="7" t="s">
        <v>323</v>
      </c>
      <c r="AR384" s="7" t="s">
        <v>192</v>
      </c>
      <c r="AS384" s="7"/>
    </row>
    <row r="385" spans="1:45" x14ac:dyDescent="0.3">
      <c r="A385" s="6" t="s">
        <v>1471</v>
      </c>
      <c r="B385" s="6" t="s">
        <v>4628</v>
      </c>
      <c r="C385" s="6" t="s">
        <v>264</v>
      </c>
      <c r="D385" s="6" t="s">
        <v>394</v>
      </c>
      <c r="E385" s="6"/>
      <c r="F385" s="6" t="s">
        <v>339</v>
      </c>
      <c r="G385" s="6" t="s">
        <v>80</v>
      </c>
      <c r="H385" s="6" t="s">
        <v>4271</v>
      </c>
      <c r="I385" s="6" t="s">
        <v>203</v>
      </c>
      <c r="J385" s="6" t="s">
        <v>130</v>
      </c>
      <c r="K385" s="6" t="s">
        <v>326</v>
      </c>
      <c r="L385" s="6" t="s">
        <v>1472</v>
      </c>
      <c r="M385" s="6" t="s">
        <v>3446</v>
      </c>
      <c r="N385" s="6"/>
      <c r="O385" s="6" t="s">
        <v>3785</v>
      </c>
      <c r="P385" s="6">
        <v>3</v>
      </c>
      <c r="Q385" s="6">
        <v>44372689</v>
      </c>
      <c r="R385" s="6">
        <v>0.25</v>
      </c>
      <c r="S385" s="6">
        <v>0.18</v>
      </c>
      <c r="T385" s="6">
        <v>39269829.770000003</v>
      </c>
      <c r="U385" s="6">
        <v>34984953.259999998</v>
      </c>
      <c r="V385" s="6">
        <v>7.0000000000000007E-2</v>
      </c>
      <c r="W385" s="6">
        <v>0.08</v>
      </c>
      <c r="X385" s="6" t="s">
        <v>1473</v>
      </c>
      <c r="Y385" s="6">
        <v>6863383.9699999997</v>
      </c>
      <c r="Z385" s="6">
        <v>5446450.4199999999</v>
      </c>
      <c r="AA385" s="6">
        <v>30</v>
      </c>
      <c r="AB385" s="6">
        <v>79</v>
      </c>
      <c r="AC385" s="6" t="s">
        <v>376</v>
      </c>
      <c r="AD385" s="6" t="s">
        <v>354</v>
      </c>
      <c r="AE385" s="6">
        <v>0.75</v>
      </c>
      <c r="AF385" s="6" t="s">
        <v>162</v>
      </c>
      <c r="AG385" s="6">
        <v>0.15</v>
      </c>
      <c r="AH385" s="6">
        <v>0.03</v>
      </c>
      <c r="AI385" s="6">
        <v>1</v>
      </c>
      <c r="AJ385" s="6">
        <v>848</v>
      </c>
      <c r="AK385" s="6">
        <v>3142934.09</v>
      </c>
      <c r="AL385" s="6">
        <v>10220817.810000001</v>
      </c>
      <c r="AM385" s="6" t="s">
        <v>391</v>
      </c>
      <c r="AN385" s="6" t="s">
        <v>386</v>
      </c>
      <c r="AO385" s="6">
        <v>51.5</v>
      </c>
      <c r="AP385" s="6">
        <v>60</v>
      </c>
      <c r="AQ385" s="6"/>
      <c r="AR385" s="6" t="s">
        <v>206</v>
      </c>
      <c r="AS385" s="6"/>
    </row>
    <row r="386" spans="1:45" x14ac:dyDescent="0.3">
      <c r="A386" s="7" t="s">
        <v>1474</v>
      </c>
      <c r="B386" s="7" t="s">
        <v>4898</v>
      </c>
      <c r="C386" s="7" t="s">
        <v>235</v>
      </c>
      <c r="D386" s="7"/>
      <c r="E386" s="7" t="s">
        <v>4270</v>
      </c>
      <c r="F386" s="7" t="s">
        <v>367</v>
      </c>
      <c r="G386" s="7" t="s">
        <v>54</v>
      </c>
      <c r="H386" s="7" t="s">
        <v>236</v>
      </c>
      <c r="I386" s="7" t="s">
        <v>4289</v>
      </c>
      <c r="J386" s="7" t="s">
        <v>123</v>
      </c>
      <c r="K386" s="7" t="s">
        <v>210</v>
      </c>
      <c r="L386" s="7" t="s">
        <v>1475</v>
      </c>
      <c r="M386" s="7" t="s">
        <v>4899</v>
      </c>
      <c r="N386" s="7" t="s">
        <v>3438</v>
      </c>
      <c r="O386" s="7" t="s">
        <v>4274</v>
      </c>
      <c r="P386" s="7" t="s">
        <v>4275</v>
      </c>
      <c r="Q386" s="7">
        <v>489497</v>
      </c>
      <c r="R386" s="7">
        <v>0.04</v>
      </c>
      <c r="S386" s="7">
        <v>0.11</v>
      </c>
      <c r="T386" s="7">
        <v>521608</v>
      </c>
      <c r="U386" s="7">
        <v>343705.66</v>
      </c>
      <c r="V386" s="7">
        <v>0.22</v>
      </c>
      <c r="W386" s="7">
        <v>0.2</v>
      </c>
      <c r="X386" s="7" t="s">
        <v>1476</v>
      </c>
      <c r="Y386" s="7">
        <v>135150.79999999999</v>
      </c>
      <c r="Z386" s="7">
        <v>141664.28</v>
      </c>
      <c r="AA386" s="7">
        <v>90</v>
      </c>
      <c r="AB386" s="7">
        <v>158</v>
      </c>
      <c r="AC386" s="7" t="s">
        <v>329</v>
      </c>
      <c r="AD386" s="7" t="s">
        <v>336</v>
      </c>
      <c r="AE386" s="7">
        <v>0.43</v>
      </c>
      <c r="AF386" s="7" t="s">
        <v>4361</v>
      </c>
      <c r="AG386" s="7">
        <v>0.05</v>
      </c>
      <c r="AH386" s="7">
        <v>0.09</v>
      </c>
      <c r="AI386" s="7">
        <v>13</v>
      </c>
      <c r="AJ386" s="7">
        <v>1211</v>
      </c>
      <c r="AK386" s="7">
        <v>110406.15</v>
      </c>
      <c r="AL386" s="7">
        <v>173972.68</v>
      </c>
      <c r="AM386" s="7" t="s">
        <v>343</v>
      </c>
      <c r="AN386" s="7" t="s">
        <v>321</v>
      </c>
      <c r="AO386" s="7">
        <v>54.3</v>
      </c>
      <c r="AP386" s="7">
        <v>60</v>
      </c>
      <c r="AQ386" s="7" t="s">
        <v>392</v>
      </c>
      <c r="AR386" s="7" t="s">
        <v>186</v>
      </c>
      <c r="AS386" s="7" t="s">
        <v>377</v>
      </c>
    </row>
    <row r="387" spans="1:45" x14ac:dyDescent="0.3">
      <c r="A387" s="6" t="s">
        <v>1477</v>
      </c>
      <c r="B387" s="6" t="s">
        <v>4900</v>
      </c>
      <c r="C387" s="6" t="s">
        <v>279</v>
      </c>
      <c r="D387" s="6" t="s">
        <v>265</v>
      </c>
      <c r="E387" s="6" t="s">
        <v>4376</v>
      </c>
      <c r="F387" s="6" t="s">
        <v>35</v>
      </c>
      <c r="G387" s="6" t="s">
        <v>57</v>
      </c>
      <c r="H387" s="6" t="s">
        <v>4280</v>
      </c>
      <c r="I387" s="6"/>
      <c r="J387" s="6" t="s">
        <v>136</v>
      </c>
      <c r="K387" s="6" t="s">
        <v>333</v>
      </c>
      <c r="L387" s="6" t="s">
        <v>1478</v>
      </c>
      <c r="M387" s="6" t="s">
        <v>4901</v>
      </c>
      <c r="N387" s="6" t="s">
        <v>4902</v>
      </c>
      <c r="O387" s="6" t="s">
        <v>4274</v>
      </c>
      <c r="P387" s="6">
        <v>45</v>
      </c>
      <c r="Q387" s="6">
        <v>12537863</v>
      </c>
      <c r="R387" s="6">
        <v>0.28999999999999998</v>
      </c>
      <c r="S387" s="6">
        <v>0.16</v>
      </c>
      <c r="T387" s="6">
        <v>10326183.970000001</v>
      </c>
      <c r="U387" s="6">
        <v>7863016.0099999998</v>
      </c>
      <c r="V387" s="6">
        <v>0.14000000000000001</v>
      </c>
      <c r="W387" s="6">
        <v>0.11</v>
      </c>
      <c r="X387" s="6" t="s">
        <v>1479</v>
      </c>
      <c r="Y387" s="6">
        <v>3241725.37</v>
      </c>
      <c r="Z387" s="6">
        <v>3168147.68</v>
      </c>
      <c r="AA387" s="6">
        <v>60</v>
      </c>
      <c r="AB387" s="6">
        <v>141</v>
      </c>
      <c r="AC387" s="6" t="s">
        <v>353</v>
      </c>
      <c r="AD387" s="6" t="s">
        <v>354</v>
      </c>
      <c r="AE387" s="6">
        <v>0.62</v>
      </c>
      <c r="AF387" s="6" t="s">
        <v>159</v>
      </c>
      <c r="AG387" s="6">
        <v>0.1</v>
      </c>
      <c r="AH387" s="6">
        <v>0.05</v>
      </c>
      <c r="AI387" s="6">
        <v>0</v>
      </c>
      <c r="AJ387" s="6">
        <v>21</v>
      </c>
      <c r="AK387" s="6">
        <v>1499982.3</v>
      </c>
      <c r="AL387" s="6"/>
      <c r="AM387" s="6"/>
      <c r="AN387" s="6" t="s">
        <v>386</v>
      </c>
      <c r="AO387" s="6"/>
      <c r="AP387" s="6">
        <v>12</v>
      </c>
      <c r="AQ387" s="6" t="s">
        <v>337</v>
      </c>
      <c r="AR387" s="6" t="s">
        <v>186</v>
      </c>
      <c r="AS387" s="6" t="s">
        <v>361</v>
      </c>
    </row>
    <row r="388" spans="1:45" x14ac:dyDescent="0.3">
      <c r="A388" s="7" t="s">
        <v>1480</v>
      </c>
      <c r="B388" s="7" t="s">
        <v>4903</v>
      </c>
      <c r="C388" s="7" t="s">
        <v>272</v>
      </c>
      <c r="D388" s="7" t="s">
        <v>274</v>
      </c>
      <c r="E388" s="7" t="s">
        <v>52</v>
      </c>
      <c r="F388" s="7" t="s">
        <v>75</v>
      </c>
      <c r="G388" s="7" t="s">
        <v>80</v>
      </c>
      <c r="H388" s="7" t="s">
        <v>212</v>
      </c>
      <c r="I388" s="7" t="s">
        <v>203</v>
      </c>
      <c r="J388" s="7" t="s">
        <v>119</v>
      </c>
      <c r="K388" s="7" t="s">
        <v>221</v>
      </c>
      <c r="L388" s="7" t="s">
        <v>1481</v>
      </c>
      <c r="M388" s="7" t="s">
        <v>3891</v>
      </c>
      <c r="N388" s="7" t="s">
        <v>4904</v>
      </c>
      <c r="O388" s="7" t="s">
        <v>3893</v>
      </c>
      <c r="P388" s="7">
        <v>20</v>
      </c>
      <c r="Q388" s="7">
        <v>40618148</v>
      </c>
      <c r="R388" s="7">
        <v>0.24</v>
      </c>
      <c r="S388" s="7">
        <v>0.18</v>
      </c>
      <c r="T388" s="7">
        <v>36426355.130000003</v>
      </c>
      <c r="U388" s="7">
        <v>29432930.210000001</v>
      </c>
      <c r="V388" s="7" t="s">
        <v>4374</v>
      </c>
      <c r="W388" s="7">
        <v>0.12</v>
      </c>
      <c r="X388" s="7" t="s">
        <v>1482</v>
      </c>
      <c r="Y388" s="7">
        <v>3273176.01</v>
      </c>
      <c r="Z388" s="7">
        <v>2270005</v>
      </c>
      <c r="AA388" s="7">
        <v>90</v>
      </c>
      <c r="AB388" s="7">
        <v>1</v>
      </c>
      <c r="AC388" s="7"/>
      <c r="AD388" s="7" t="s">
        <v>336</v>
      </c>
      <c r="AE388" s="7">
        <v>0.1</v>
      </c>
      <c r="AF388" s="7" t="s">
        <v>4319</v>
      </c>
      <c r="AG388" s="7">
        <v>0.05</v>
      </c>
      <c r="AH388" s="7">
        <v>0.06</v>
      </c>
      <c r="AI388" s="7">
        <v>0</v>
      </c>
      <c r="AJ388" s="7">
        <v>2778</v>
      </c>
      <c r="AK388" s="7">
        <v>8279636.4000000004</v>
      </c>
      <c r="AL388" s="7">
        <v>10014761.41</v>
      </c>
      <c r="AM388" s="7" t="s">
        <v>343</v>
      </c>
      <c r="AN388" s="7" t="s">
        <v>348</v>
      </c>
      <c r="AO388" s="7"/>
      <c r="AP388" s="7">
        <v>24</v>
      </c>
      <c r="AQ388" s="7" t="s">
        <v>392</v>
      </c>
      <c r="AR388" s="7" t="s">
        <v>206</v>
      </c>
      <c r="AS388" s="7" t="s">
        <v>357</v>
      </c>
    </row>
    <row r="389" spans="1:45" x14ac:dyDescent="0.3">
      <c r="A389" s="6" t="s">
        <v>1483</v>
      </c>
      <c r="B389" s="6" t="s">
        <v>3330</v>
      </c>
      <c r="C389" s="6" t="s">
        <v>234</v>
      </c>
      <c r="D389" s="6" t="s">
        <v>232</v>
      </c>
      <c r="E389" s="6" t="s">
        <v>20</v>
      </c>
      <c r="F389" s="6" t="s">
        <v>196</v>
      </c>
      <c r="G389" s="6" t="s">
        <v>16</v>
      </c>
      <c r="H389" s="6" t="s">
        <v>4326</v>
      </c>
      <c r="I389" s="6" t="s">
        <v>4272</v>
      </c>
      <c r="J389" s="6" t="s">
        <v>136</v>
      </c>
      <c r="K389" s="6" t="s">
        <v>210</v>
      </c>
      <c r="L389" s="6" t="s">
        <v>1484</v>
      </c>
      <c r="M389" s="6" t="s">
        <v>4905</v>
      </c>
      <c r="N389" s="6" t="s">
        <v>4906</v>
      </c>
      <c r="O389" s="6" t="s">
        <v>3731</v>
      </c>
      <c r="P389" s="6">
        <v>18</v>
      </c>
      <c r="Q389" s="6">
        <v>20331387</v>
      </c>
      <c r="R389" s="6">
        <v>0.1</v>
      </c>
      <c r="S389" s="6">
        <v>-0.04</v>
      </c>
      <c r="T389" s="6">
        <v>17566318.370000001</v>
      </c>
      <c r="U389" s="6">
        <v>11168515.24</v>
      </c>
      <c r="V389" s="6">
        <v>0.19</v>
      </c>
      <c r="W389" s="6">
        <v>0.09</v>
      </c>
      <c r="X389" s="6" t="s">
        <v>1485</v>
      </c>
      <c r="Y389" s="6">
        <v>14434254.35</v>
      </c>
      <c r="Z389" s="6">
        <v>14722970.74</v>
      </c>
      <c r="AA389" s="6">
        <v>90</v>
      </c>
      <c r="AB389" s="6">
        <v>125</v>
      </c>
      <c r="AC389" s="6" t="s">
        <v>353</v>
      </c>
      <c r="AD389" s="6" t="s">
        <v>381</v>
      </c>
      <c r="AE389" s="6">
        <v>0.09</v>
      </c>
      <c r="AF389" s="6" t="s">
        <v>152</v>
      </c>
      <c r="AG389" s="6">
        <v>0.15</v>
      </c>
      <c r="AH389" s="6">
        <v>0.1</v>
      </c>
      <c r="AI389" s="6">
        <v>15</v>
      </c>
      <c r="AJ389" s="6">
        <v>4930</v>
      </c>
      <c r="AK389" s="6">
        <v>3091105.12</v>
      </c>
      <c r="AL389" s="6">
        <v>8445695.9000000004</v>
      </c>
      <c r="AM389" s="6" t="s">
        <v>321</v>
      </c>
      <c r="AN389" s="6" t="s">
        <v>330</v>
      </c>
      <c r="AO389" s="6">
        <v>83.6</v>
      </c>
      <c r="AP389" s="6">
        <v>36</v>
      </c>
      <c r="AQ389" s="6" t="s">
        <v>4275</v>
      </c>
      <c r="AR389" s="6" t="s">
        <v>224</v>
      </c>
      <c r="AS389" s="6" t="s">
        <v>188</v>
      </c>
    </row>
    <row r="390" spans="1:45" x14ac:dyDescent="0.3">
      <c r="A390" s="7" t="s">
        <v>1486</v>
      </c>
      <c r="B390" s="7" t="s">
        <v>3895</v>
      </c>
      <c r="C390" s="7" t="s">
        <v>252</v>
      </c>
      <c r="D390" s="7" t="s">
        <v>394</v>
      </c>
      <c r="E390" s="7"/>
      <c r="F390" s="7" t="s">
        <v>19</v>
      </c>
      <c r="G390" s="7" t="s">
        <v>50</v>
      </c>
      <c r="H390" s="7" t="s">
        <v>236</v>
      </c>
      <c r="I390" s="7"/>
      <c r="J390" s="7" t="s">
        <v>130</v>
      </c>
      <c r="K390" s="7" t="s">
        <v>199</v>
      </c>
      <c r="L390" s="7" t="s">
        <v>1487</v>
      </c>
      <c r="M390" s="7" t="s">
        <v>3896</v>
      </c>
      <c r="N390" s="7" t="s">
        <v>3897</v>
      </c>
      <c r="O390" s="7" t="s">
        <v>4274</v>
      </c>
      <c r="P390" s="7">
        <v>36</v>
      </c>
      <c r="Q390" s="7">
        <v>29982446</v>
      </c>
      <c r="R390" s="7">
        <v>0.27</v>
      </c>
      <c r="S390" s="7">
        <v>0.02</v>
      </c>
      <c r="T390" s="7">
        <v>22324929.289999999</v>
      </c>
      <c r="U390" s="7">
        <v>15609439.42</v>
      </c>
      <c r="V390" s="7">
        <v>0.19</v>
      </c>
      <c r="W390" s="7">
        <v>0.06</v>
      </c>
      <c r="X390" s="7" t="s">
        <v>1488</v>
      </c>
      <c r="Y390" s="7">
        <v>15270545.609999999</v>
      </c>
      <c r="Z390" s="7">
        <v>14633754.91</v>
      </c>
      <c r="AA390" s="7">
        <v>120</v>
      </c>
      <c r="AB390" s="7">
        <v>87</v>
      </c>
      <c r="AC390" s="7" t="s">
        <v>329</v>
      </c>
      <c r="AD390" s="7" t="s">
        <v>226</v>
      </c>
      <c r="AE390" s="7">
        <v>0.74</v>
      </c>
      <c r="AF390" s="7" t="s">
        <v>4303</v>
      </c>
      <c r="AG390" s="7">
        <v>0.15</v>
      </c>
      <c r="AH390" s="7">
        <v>0.03</v>
      </c>
      <c r="AI390" s="7">
        <v>15</v>
      </c>
      <c r="AJ390" s="7">
        <v>728</v>
      </c>
      <c r="AK390" s="7">
        <v>2648964.61</v>
      </c>
      <c r="AL390" s="7">
        <v>7803404.9500000002</v>
      </c>
      <c r="AM390" s="7" t="s">
        <v>343</v>
      </c>
      <c r="AN390" s="7" t="s">
        <v>330</v>
      </c>
      <c r="AO390" s="7">
        <v>91.5</v>
      </c>
      <c r="AP390" s="7">
        <v>12</v>
      </c>
      <c r="AQ390" s="7" t="s">
        <v>323</v>
      </c>
      <c r="AR390" s="7" t="s">
        <v>224</v>
      </c>
      <c r="AS390" s="7" t="s">
        <v>357</v>
      </c>
    </row>
    <row r="391" spans="1:45" x14ac:dyDescent="0.3">
      <c r="A391" s="6" t="s">
        <v>1489</v>
      </c>
      <c r="B391" s="6" t="s">
        <v>3275</v>
      </c>
      <c r="C391" s="6" t="s">
        <v>257</v>
      </c>
      <c r="D391" s="6" t="s">
        <v>262</v>
      </c>
      <c r="E391" s="6" t="s">
        <v>4376</v>
      </c>
      <c r="F391" s="6" t="s">
        <v>35</v>
      </c>
      <c r="G391" s="6" t="s">
        <v>62</v>
      </c>
      <c r="H391" s="6" t="s">
        <v>4326</v>
      </c>
      <c r="I391" s="6"/>
      <c r="J391" s="6" t="s">
        <v>136</v>
      </c>
      <c r="K391" s="6" t="s">
        <v>199</v>
      </c>
      <c r="L391" s="6" t="s">
        <v>1490</v>
      </c>
      <c r="M391" s="6" t="s">
        <v>4907</v>
      </c>
      <c r="N391" s="6" t="s">
        <v>3885</v>
      </c>
      <c r="O391" s="6" t="s">
        <v>4274</v>
      </c>
      <c r="P391" s="6">
        <v>38</v>
      </c>
      <c r="Q391" s="6">
        <v>2133573</v>
      </c>
      <c r="R391" s="6">
        <v>0.06</v>
      </c>
      <c r="S391" s="6">
        <v>-0.02</v>
      </c>
      <c r="T391" s="6">
        <v>1965447.45</v>
      </c>
      <c r="U391" s="6">
        <v>1345259.87</v>
      </c>
      <c r="V391" s="6">
        <v>0.17</v>
      </c>
      <c r="W391" s="6">
        <v>0.13</v>
      </c>
      <c r="X391" s="6" t="s">
        <v>1491</v>
      </c>
      <c r="Y391" s="6">
        <v>1114533.5900000001</v>
      </c>
      <c r="Z391" s="6">
        <v>636591.64</v>
      </c>
      <c r="AA391" s="6">
        <v>45</v>
      </c>
      <c r="AB391" s="6">
        <v>118</v>
      </c>
      <c r="AC391" s="6" t="s">
        <v>329</v>
      </c>
      <c r="AD391" s="6" t="s">
        <v>455</v>
      </c>
      <c r="AE391" s="6">
        <v>0.76</v>
      </c>
      <c r="AF391" s="6" t="s">
        <v>159</v>
      </c>
      <c r="AG391" s="6">
        <v>0.15</v>
      </c>
      <c r="AH391" s="6">
        <v>0.05</v>
      </c>
      <c r="AI391" s="6">
        <v>11</v>
      </c>
      <c r="AJ391" s="6">
        <v>2880</v>
      </c>
      <c r="AK391" s="6">
        <v>167417.82</v>
      </c>
      <c r="AL391" s="6">
        <v>419025.64</v>
      </c>
      <c r="AM391" s="6" t="s">
        <v>73</v>
      </c>
      <c r="AN391" s="6" t="s">
        <v>321</v>
      </c>
      <c r="AO391" s="6">
        <v>81.5</v>
      </c>
      <c r="AP391" s="6">
        <v>48</v>
      </c>
      <c r="AQ391" s="6"/>
      <c r="AR391" s="6" t="s">
        <v>229</v>
      </c>
      <c r="AS391" s="6" t="s">
        <v>361</v>
      </c>
    </row>
    <row r="392" spans="1:45" x14ac:dyDescent="0.3">
      <c r="A392" s="7" t="s">
        <v>1492</v>
      </c>
      <c r="B392" s="7" t="s">
        <v>3803</v>
      </c>
      <c r="C392" s="7" t="s">
        <v>189</v>
      </c>
      <c r="D392" s="7" t="s">
        <v>245</v>
      </c>
      <c r="E392" s="7" t="s">
        <v>4265</v>
      </c>
      <c r="F392" s="7" t="s">
        <v>228</v>
      </c>
      <c r="G392" s="7" t="s">
        <v>38</v>
      </c>
      <c r="H392" s="7" t="s">
        <v>4340</v>
      </c>
      <c r="I392" s="7"/>
      <c r="J392" s="6" t="s">
        <v>105</v>
      </c>
      <c r="K392" s="7" t="s">
        <v>210</v>
      </c>
      <c r="L392" s="7" t="s">
        <v>1493</v>
      </c>
      <c r="M392" s="7" t="s">
        <v>4494</v>
      </c>
      <c r="N392" s="7" t="s">
        <v>1494</v>
      </c>
      <c r="O392" s="7" t="s">
        <v>3899</v>
      </c>
      <c r="P392" s="7">
        <v>54</v>
      </c>
      <c r="Q392" s="7">
        <v>33421677</v>
      </c>
      <c r="R392" s="7">
        <v>0.03</v>
      </c>
      <c r="S392" s="7">
        <v>0.12</v>
      </c>
      <c r="T392" s="7">
        <v>36309309.890000001</v>
      </c>
      <c r="U392" s="7">
        <v>26395925.07</v>
      </c>
      <c r="V392" s="7">
        <v>0.2</v>
      </c>
      <c r="W392" s="7">
        <v>0.06</v>
      </c>
      <c r="X392" s="7" t="s">
        <v>1495</v>
      </c>
      <c r="Y392" s="7">
        <v>13539859.550000001</v>
      </c>
      <c r="Z392" s="7">
        <v>6604567.4199999999</v>
      </c>
      <c r="AA392" s="7">
        <v>90</v>
      </c>
      <c r="AB392" s="7">
        <v>27</v>
      </c>
      <c r="AC392" s="7" t="s">
        <v>347</v>
      </c>
      <c r="AD392" s="7" t="s">
        <v>455</v>
      </c>
      <c r="AE392" s="7">
        <v>0.81</v>
      </c>
      <c r="AF392" s="7" t="s">
        <v>4361</v>
      </c>
      <c r="AG392" s="7">
        <v>0.05</v>
      </c>
      <c r="AH392" s="7">
        <v>0.04</v>
      </c>
      <c r="AI392" s="7">
        <v>13</v>
      </c>
      <c r="AJ392" s="7">
        <v>3633</v>
      </c>
      <c r="AK392" s="7">
        <v>1198981.0900000001</v>
      </c>
      <c r="AL392" s="7">
        <v>7468308.46</v>
      </c>
      <c r="AM392" s="7" t="s">
        <v>73</v>
      </c>
      <c r="AN392" s="7" t="s">
        <v>322</v>
      </c>
      <c r="AO392" s="7">
        <v>65.099999999999994</v>
      </c>
      <c r="AP392" s="7">
        <v>24</v>
      </c>
      <c r="AQ392" s="7"/>
      <c r="AR392" s="7" t="s">
        <v>186</v>
      </c>
      <c r="AS392" s="7" t="s">
        <v>377</v>
      </c>
    </row>
    <row r="393" spans="1:45" x14ac:dyDescent="0.3">
      <c r="A393" s="6" t="s">
        <v>1496</v>
      </c>
      <c r="B393" s="6" t="s">
        <v>3900</v>
      </c>
      <c r="C393" s="6" t="s">
        <v>244</v>
      </c>
      <c r="D393" s="6" t="s">
        <v>220</v>
      </c>
      <c r="E393" s="6"/>
      <c r="F393" s="6" t="s">
        <v>350</v>
      </c>
      <c r="G393" s="6" t="s">
        <v>62</v>
      </c>
      <c r="H393" s="6" t="s">
        <v>216</v>
      </c>
      <c r="I393" s="6" t="s">
        <v>233</v>
      </c>
      <c r="J393" s="6" t="s">
        <v>130</v>
      </c>
      <c r="K393" s="6" t="s">
        <v>184</v>
      </c>
      <c r="L393" s="6" t="s">
        <v>1497</v>
      </c>
      <c r="M393" s="6" t="s">
        <v>4544</v>
      </c>
      <c r="N393" s="6"/>
      <c r="O393" s="6" t="s">
        <v>4274</v>
      </c>
      <c r="P393" s="6">
        <v>50</v>
      </c>
      <c r="Q393" s="6">
        <v>31085848</v>
      </c>
      <c r="R393" s="6">
        <v>0.05</v>
      </c>
      <c r="S393" s="6">
        <v>0.18</v>
      </c>
      <c r="T393" s="6">
        <v>34847235.609999999</v>
      </c>
      <c r="U393" s="6">
        <v>29768930.219999999</v>
      </c>
      <c r="V393" s="6">
        <v>0.08</v>
      </c>
      <c r="W393" s="6">
        <v>0.09</v>
      </c>
      <c r="X393" s="6" t="s">
        <v>1498</v>
      </c>
      <c r="Y393" s="6">
        <v>4110549.6</v>
      </c>
      <c r="Z393" s="6">
        <v>3347584.84</v>
      </c>
      <c r="AA393" s="6">
        <v>120</v>
      </c>
      <c r="AB393" s="6">
        <v>164</v>
      </c>
      <c r="AC393" s="6"/>
      <c r="AD393" s="6" t="s">
        <v>226</v>
      </c>
      <c r="AE393" s="6">
        <v>0.59</v>
      </c>
      <c r="AF393" s="6" t="s">
        <v>4276</v>
      </c>
      <c r="AG393" s="6">
        <v>0.1</v>
      </c>
      <c r="AH393" s="6">
        <v>0.05</v>
      </c>
      <c r="AI393" s="6">
        <v>9</v>
      </c>
      <c r="AJ393" s="6">
        <v>219</v>
      </c>
      <c r="AK393" s="6">
        <v>4163266.47</v>
      </c>
      <c r="AL393" s="6">
        <v>6128286.75</v>
      </c>
      <c r="AM393" s="6" t="s">
        <v>73</v>
      </c>
      <c r="AN393" s="6"/>
      <c r="AO393" s="6"/>
      <c r="AP393" s="6">
        <v>60</v>
      </c>
      <c r="AQ393" s="6" t="s">
        <v>392</v>
      </c>
      <c r="AR393" s="6" t="s">
        <v>229</v>
      </c>
      <c r="AS393" s="6" t="s">
        <v>357</v>
      </c>
    </row>
    <row r="394" spans="1:45" x14ac:dyDescent="0.3">
      <c r="A394" s="7" t="s">
        <v>1499</v>
      </c>
      <c r="B394" s="7" t="s">
        <v>3901</v>
      </c>
      <c r="C394" s="7" t="s">
        <v>276</v>
      </c>
      <c r="D394" s="7" t="s">
        <v>215</v>
      </c>
      <c r="E394" s="7" t="s">
        <v>36</v>
      </c>
      <c r="F394" s="7" t="s">
        <v>19</v>
      </c>
      <c r="G394" s="7" t="s">
        <v>54</v>
      </c>
      <c r="H394" s="7" t="s">
        <v>216</v>
      </c>
      <c r="I394" s="7" t="s">
        <v>4307</v>
      </c>
      <c r="J394" s="7" t="s">
        <v>115</v>
      </c>
      <c r="K394" s="7" t="s">
        <v>184</v>
      </c>
      <c r="L394" s="7" t="s">
        <v>1500</v>
      </c>
      <c r="M394" s="7" t="s">
        <v>3902</v>
      </c>
      <c r="N394" s="7" t="s">
        <v>3715</v>
      </c>
      <c r="O394" s="7" t="s">
        <v>3903</v>
      </c>
      <c r="P394" s="7">
        <v>22</v>
      </c>
      <c r="Q394" s="7">
        <v>17586314</v>
      </c>
      <c r="R394" s="7">
        <v>0.02</v>
      </c>
      <c r="S394" s="7">
        <v>0.17</v>
      </c>
      <c r="T394" s="7">
        <v>20164467.629999999</v>
      </c>
      <c r="U394" s="7">
        <v>12525776.800000001</v>
      </c>
      <c r="V394" s="7">
        <v>0.1</v>
      </c>
      <c r="W394" s="7">
        <v>0.14000000000000001</v>
      </c>
      <c r="X394" s="7" t="s">
        <v>1501</v>
      </c>
      <c r="Y394" s="7">
        <v>16803564.52</v>
      </c>
      <c r="Z394" s="7">
        <v>9371818.6300000008</v>
      </c>
      <c r="AA394" s="7">
        <v>45</v>
      </c>
      <c r="AB394" s="7">
        <v>102</v>
      </c>
      <c r="AC394" s="7" t="s">
        <v>376</v>
      </c>
      <c r="AD394" s="7" t="s">
        <v>455</v>
      </c>
      <c r="AE394" s="7">
        <v>0.93</v>
      </c>
      <c r="AF394" s="7"/>
      <c r="AG394" s="7">
        <v>0.1</v>
      </c>
      <c r="AH394" s="7">
        <v>0.04</v>
      </c>
      <c r="AI394" s="7">
        <v>5</v>
      </c>
      <c r="AJ394" s="7">
        <v>2812</v>
      </c>
      <c r="AK394" s="7">
        <v>2207422.9300000002</v>
      </c>
      <c r="AL394" s="7">
        <v>5586086.4100000001</v>
      </c>
      <c r="AM394" s="7" t="s">
        <v>355</v>
      </c>
      <c r="AN394" s="7"/>
      <c r="AO394" s="7">
        <v>66.599999999999994</v>
      </c>
      <c r="AP394" s="7">
        <v>60</v>
      </c>
      <c r="AQ394" s="7" t="s">
        <v>392</v>
      </c>
      <c r="AR394" s="7" t="s">
        <v>229</v>
      </c>
      <c r="AS394" s="7"/>
    </row>
    <row r="395" spans="1:45" x14ac:dyDescent="0.3">
      <c r="A395" s="6" t="s">
        <v>1502</v>
      </c>
      <c r="B395" s="6" t="s">
        <v>4908</v>
      </c>
      <c r="C395" s="6" t="s">
        <v>282</v>
      </c>
      <c r="D395" s="6" t="s">
        <v>232</v>
      </c>
      <c r="E395" s="6" t="s">
        <v>4265</v>
      </c>
      <c r="F395" s="6" t="s">
        <v>350</v>
      </c>
      <c r="G395" s="6" t="s">
        <v>33</v>
      </c>
      <c r="H395" s="6" t="s">
        <v>216</v>
      </c>
      <c r="I395" s="6" t="s">
        <v>203</v>
      </c>
      <c r="J395" s="6" t="s">
        <v>130</v>
      </c>
      <c r="K395" s="6" t="s">
        <v>221</v>
      </c>
      <c r="L395" s="6" t="s">
        <v>1503</v>
      </c>
      <c r="M395" s="6" t="s">
        <v>4858</v>
      </c>
      <c r="N395" s="6" t="s">
        <v>3815</v>
      </c>
      <c r="O395" s="6" t="s">
        <v>3904</v>
      </c>
      <c r="P395" s="6">
        <v>8</v>
      </c>
      <c r="Q395" s="6">
        <v>19282137</v>
      </c>
      <c r="R395" s="6">
        <v>0.34</v>
      </c>
      <c r="S395" s="6">
        <v>0</v>
      </c>
      <c r="T395" s="6">
        <v>12726210.42</v>
      </c>
      <c r="U395" s="6">
        <v>7779253.3300000001</v>
      </c>
      <c r="V395" s="6">
        <v>0.3</v>
      </c>
      <c r="W395" s="6">
        <v>0.16</v>
      </c>
      <c r="X395" s="6"/>
      <c r="Y395" s="6">
        <v>2310019.0099999998</v>
      </c>
      <c r="Z395" s="6">
        <v>2122365.66</v>
      </c>
      <c r="AA395" s="6">
        <v>90</v>
      </c>
      <c r="AB395" s="6">
        <v>161</v>
      </c>
      <c r="AC395" s="6" t="s">
        <v>329</v>
      </c>
      <c r="AD395" s="6" t="s">
        <v>336</v>
      </c>
      <c r="AE395" s="6">
        <v>0.73</v>
      </c>
      <c r="AF395" s="6" t="s">
        <v>4303</v>
      </c>
      <c r="AG395" s="6">
        <v>0.05</v>
      </c>
      <c r="AH395" s="6">
        <v>0.09</v>
      </c>
      <c r="AI395" s="6">
        <v>15</v>
      </c>
      <c r="AJ395" s="6">
        <v>3015</v>
      </c>
      <c r="AK395" s="6">
        <v>1507373.25</v>
      </c>
      <c r="AL395" s="6">
        <v>3162464.66</v>
      </c>
      <c r="AM395" s="6"/>
      <c r="AN395" s="6" t="s">
        <v>322</v>
      </c>
      <c r="AO395" s="6">
        <v>63.5</v>
      </c>
      <c r="AP395" s="6">
        <v>48</v>
      </c>
      <c r="AQ395" s="6" t="s">
        <v>323</v>
      </c>
      <c r="AR395" s="6" t="s">
        <v>206</v>
      </c>
      <c r="AS395" s="6" t="s">
        <v>357</v>
      </c>
    </row>
    <row r="396" spans="1:45" x14ac:dyDescent="0.3">
      <c r="A396" s="7" t="s">
        <v>1504</v>
      </c>
      <c r="B396" s="7" t="s">
        <v>4428</v>
      </c>
      <c r="C396" s="7" t="s">
        <v>278</v>
      </c>
      <c r="D396" s="7" t="s">
        <v>394</v>
      </c>
      <c r="E396" s="7" t="s">
        <v>4376</v>
      </c>
      <c r="F396" s="7" t="s">
        <v>196</v>
      </c>
      <c r="G396" s="7" t="s">
        <v>66</v>
      </c>
      <c r="H396" s="7" t="s">
        <v>4271</v>
      </c>
      <c r="I396" s="7" t="s">
        <v>183</v>
      </c>
      <c r="J396" s="7" t="s">
        <v>136</v>
      </c>
      <c r="K396" s="7" t="s">
        <v>210</v>
      </c>
      <c r="L396" s="7" t="s">
        <v>1505</v>
      </c>
      <c r="M396" s="7" t="s">
        <v>3905</v>
      </c>
      <c r="N396" s="7"/>
      <c r="O396" s="7" t="s">
        <v>4909</v>
      </c>
      <c r="P396" s="7" t="s">
        <v>4275</v>
      </c>
      <c r="Q396" s="7">
        <v>24146467</v>
      </c>
      <c r="R396" s="7">
        <v>0.23</v>
      </c>
      <c r="S396" s="7">
        <v>0.15</v>
      </c>
      <c r="T396" s="7">
        <v>21381696.530000001</v>
      </c>
      <c r="U396" s="7">
        <v>17333287.739999998</v>
      </c>
      <c r="V396" s="7">
        <v>0.1</v>
      </c>
      <c r="W396" s="7">
        <v>0.11</v>
      </c>
      <c r="X396" s="7" t="s">
        <v>1506</v>
      </c>
      <c r="Y396" s="7">
        <v>18222791.039999999</v>
      </c>
      <c r="Z396" s="7">
        <v>18339973.469999999</v>
      </c>
      <c r="AA396" s="7">
        <v>60</v>
      </c>
      <c r="AB396" s="7">
        <v>106</v>
      </c>
      <c r="AC396" s="7"/>
      <c r="AD396" s="7" t="s">
        <v>320</v>
      </c>
      <c r="AE396" s="7">
        <v>0.74</v>
      </c>
      <c r="AF396" s="7" t="s">
        <v>152</v>
      </c>
      <c r="AG396" s="7">
        <v>0.1</v>
      </c>
      <c r="AH396" s="7">
        <v>0.06</v>
      </c>
      <c r="AI396" s="7">
        <v>8</v>
      </c>
      <c r="AJ396" s="7">
        <v>3131</v>
      </c>
      <c r="AK396" s="7">
        <v>923565.05</v>
      </c>
      <c r="AL396" s="7">
        <v>7147677.3300000001</v>
      </c>
      <c r="AM396" s="7" t="s">
        <v>73</v>
      </c>
      <c r="AN396" s="7"/>
      <c r="AO396" s="7">
        <v>60.8</v>
      </c>
      <c r="AP396" s="7">
        <v>60</v>
      </c>
      <c r="AQ396" s="7" t="s">
        <v>337</v>
      </c>
      <c r="AR396" s="7" t="s">
        <v>186</v>
      </c>
      <c r="AS396" s="7" t="s">
        <v>324</v>
      </c>
    </row>
    <row r="397" spans="1:45" x14ac:dyDescent="0.3">
      <c r="A397" s="6" t="s">
        <v>1507</v>
      </c>
      <c r="B397" s="6" t="s">
        <v>3906</v>
      </c>
      <c r="C397" s="6" t="s">
        <v>208</v>
      </c>
      <c r="D397" s="6" t="s">
        <v>202</v>
      </c>
      <c r="E397" s="6" t="s">
        <v>4265</v>
      </c>
      <c r="F397" s="6"/>
      <c r="G397" s="6" t="s">
        <v>78</v>
      </c>
      <c r="H397" s="6" t="s">
        <v>4326</v>
      </c>
      <c r="I397" s="6" t="s">
        <v>191</v>
      </c>
      <c r="J397" s="6" t="s">
        <v>105</v>
      </c>
      <c r="K397" s="6" t="s">
        <v>333</v>
      </c>
      <c r="L397" s="6" t="s">
        <v>1508</v>
      </c>
      <c r="M397" s="6" t="s">
        <v>4631</v>
      </c>
      <c r="N397" s="6"/>
      <c r="O397" s="6" t="s">
        <v>3769</v>
      </c>
      <c r="P397" s="6">
        <v>6</v>
      </c>
      <c r="Q397" s="6">
        <v>17076391</v>
      </c>
      <c r="R397" s="6">
        <v>0.02</v>
      </c>
      <c r="S397" s="6">
        <v>0.12</v>
      </c>
      <c r="T397" s="6">
        <v>18743046.760000002</v>
      </c>
      <c r="U397" s="6">
        <v>11678989.08</v>
      </c>
      <c r="V397" s="6">
        <v>0.28999999999999998</v>
      </c>
      <c r="W397" s="6">
        <v>0.09</v>
      </c>
      <c r="X397" s="6" t="s">
        <v>1509</v>
      </c>
      <c r="Y397" s="6">
        <v>3843910.68</v>
      </c>
      <c r="Z397" s="6">
        <v>2538303.4300000002</v>
      </c>
      <c r="AA397" s="6">
        <v>45</v>
      </c>
      <c r="AB397" s="6">
        <v>36</v>
      </c>
      <c r="AC397" s="6" t="s">
        <v>376</v>
      </c>
      <c r="AD397" s="6" t="s">
        <v>336</v>
      </c>
      <c r="AE397" s="6">
        <v>0.91</v>
      </c>
      <c r="AF397" s="6" t="s">
        <v>4276</v>
      </c>
      <c r="AG397" s="6">
        <v>0.15</v>
      </c>
      <c r="AH397" s="6">
        <v>0.1</v>
      </c>
      <c r="AI397" s="6">
        <v>9</v>
      </c>
      <c r="AJ397" s="6">
        <v>2230</v>
      </c>
      <c r="AK397" s="6">
        <v>3621134.5</v>
      </c>
      <c r="AL397" s="6">
        <v>5085973.3</v>
      </c>
      <c r="AM397" s="6" t="s">
        <v>73</v>
      </c>
      <c r="AN397" s="6" t="s">
        <v>356</v>
      </c>
      <c r="AO397" s="6">
        <v>65.3</v>
      </c>
      <c r="AP397" s="6">
        <v>36</v>
      </c>
      <c r="AQ397" s="6" t="s">
        <v>392</v>
      </c>
      <c r="AR397" s="6" t="s">
        <v>192</v>
      </c>
      <c r="AS397" s="6" t="s">
        <v>188</v>
      </c>
    </row>
    <row r="398" spans="1:45" x14ac:dyDescent="0.3">
      <c r="A398" s="7" t="s">
        <v>1510</v>
      </c>
      <c r="B398" s="7" t="s">
        <v>4910</v>
      </c>
      <c r="C398" s="7" t="s">
        <v>239</v>
      </c>
      <c r="D398" s="7" t="s">
        <v>248</v>
      </c>
      <c r="E398" s="7" t="s">
        <v>4376</v>
      </c>
      <c r="F398" s="7" t="s">
        <v>196</v>
      </c>
      <c r="G398" s="7"/>
      <c r="H398" s="7" t="s">
        <v>4280</v>
      </c>
      <c r="I398" s="7" t="s">
        <v>213</v>
      </c>
      <c r="J398" s="7" t="s">
        <v>136</v>
      </c>
      <c r="K398" s="7" t="s">
        <v>223</v>
      </c>
      <c r="L398" s="7" t="s">
        <v>1511</v>
      </c>
      <c r="M398" s="7" t="s">
        <v>4553</v>
      </c>
      <c r="N398" s="7"/>
      <c r="O398" s="7" t="s">
        <v>4911</v>
      </c>
      <c r="P398" s="7">
        <v>3</v>
      </c>
      <c r="Q398" s="7">
        <v>30048279</v>
      </c>
      <c r="R398" s="7">
        <v>0.06</v>
      </c>
      <c r="S398" s="7">
        <v>0.05</v>
      </c>
      <c r="T398" s="7">
        <v>29657651.370000001</v>
      </c>
      <c r="U398" s="7"/>
      <c r="V398" s="7">
        <v>0.21</v>
      </c>
      <c r="W398" s="7">
        <v>0.13</v>
      </c>
      <c r="X398" s="7" t="s">
        <v>1512</v>
      </c>
      <c r="Y398" s="7">
        <v>4491077.97</v>
      </c>
      <c r="Z398" s="7">
        <v>4363210.5</v>
      </c>
      <c r="AA398" s="7">
        <v>30</v>
      </c>
      <c r="AB398" s="7">
        <v>147</v>
      </c>
      <c r="AC398" s="7" t="s">
        <v>353</v>
      </c>
      <c r="AD398" s="7" t="s">
        <v>406</v>
      </c>
      <c r="AE398" s="7">
        <v>0.88</v>
      </c>
      <c r="AF398" s="7" t="s">
        <v>4276</v>
      </c>
      <c r="AG398" s="7">
        <v>0.1</v>
      </c>
      <c r="AH398" s="7">
        <v>0.02</v>
      </c>
      <c r="AI398" s="7">
        <v>12</v>
      </c>
      <c r="AJ398" s="7">
        <v>594</v>
      </c>
      <c r="AK398" s="7">
        <v>3000377.14</v>
      </c>
      <c r="AL398" s="7">
        <v>4791564.3</v>
      </c>
      <c r="AM398" s="7" t="s">
        <v>385</v>
      </c>
      <c r="AN398" s="7"/>
      <c r="AO398" s="7">
        <v>76.5</v>
      </c>
      <c r="AP398" s="7">
        <v>36</v>
      </c>
      <c r="AQ398" s="7" t="s">
        <v>4275</v>
      </c>
      <c r="AR398" s="7" t="s">
        <v>192</v>
      </c>
      <c r="AS398" s="7" t="s">
        <v>324</v>
      </c>
    </row>
    <row r="399" spans="1:45" x14ac:dyDescent="0.3">
      <c r="A399" s="6" t="s">
        <v>1513</v>
      </c>
      <c r="B399" s="6" t="s">
        <v>4793</v>
      </c>
      <c r="C399" s="6" t="s">
        <v>222</v>
      </c>
      <c r="D399" s="6" t="s">
        <v>180</v>
      </c>
      <c r="E399" s="6" t="s">
        <v>4270</v>
      </c>
      <c r="F399" s="6" t="s">
        <v>367</v>
      </c>
      <c r="G399" s="6"/>
      <c r="H399" s="6" t="s">
        <v>216</v>
      </c>
      <c r="I399" s="6" t="s">
        <v>233</v>
      </c>
      <c r="J399" s="6" t="s">
        <v>111</v>
      </c>
      <c r="K399" s="6" t="s">
        <v>223</v>
      </c>
      <c r="L399" s="6" t="s">
        <v>1514</v>
      </c>
      <c r="M399" s="6" t="s">
        <v>4912</v>
      </c>
      <c r="N399" s="6"/>
      <c r="O399" s="6" t="s">
        <v>3835</v>
      </c>
      <c r="P399" s="6">
        <v>45</v>
      </c>
      <c r="Q399" s="6">
        <v>13736964</v>
      </c>
      <c r="R399" s="6">
        <v>0.08</v>
      </c>
      <c r="S399" s="6">
        <v>0.05</v>
      </c>
      <c r="T399" s="6">
        <v>13269907.220000001</v>
      </c>
      <c r="U399" s="6">
        <v>10286361.5</v>
      </c>
      <c r="V399" s="6">
        <v>7.0000000000000007E-2</v>
      </c>
      <c r="W399" s="6">
        <v>0.14000000000000001</v>
      </c>
      <c r="X399" s="6" t="s">
        <v>1515</v>
      </c>
      <c r="Y399" s="6">
        <v>6691338.04</v>
      </c>
      <c r="Z399" s="6">
        <v>4286742.05</v>
      </c>
      <c r="AA399" s="6">
        <v>120</v>
      </c>
      <c r="AB399" s="6">
        <v>60</v>
      </c>
      <c r="AC399" s="6" t="s">
        <v>347</v>
      </c>
      <c r="AD399" s="6" t="s">
        <v>226</v>
      </c>
      <c r="AE399" s="6">
        <v>0.84</v>
      </c>
      <c r="AF399" s="6" t="s">
        <v>162</v>
      </c>
      <c r="AG399" s="6">
        <v>0.1</v>
      </c>
      <c r="AH399" s="6">
        <v>0.09</v>
      </c>
      <c r="AI399" s="6">
        <v>2</v>
      </c>
      <c r="AJ399" s="6">
        <v>2767</v>
      </c>
      <c r="AK399" s="6">
        <v>1960030.25</v>
      </c>
      <c r="AL399" s="6">
        <v>3251544.18</v>
      </c>
      <c r="AM399" s="6" t="s">
        <v>343</v>
      </c>
      <c r="AN399" s="6" t="s">
        <v>348</v>
      </c>
      <c r="AO399" s="6">
        <v>92.2</v>
      </c>
      <c r="AP399" s="6">
        <v>60</v>
      </c>
      <c r="AQ399" s="6" t="s">
        <v>387</v>
      </c>
      <c r="AR399" s="6" t="s">
        <v>229</v>
      </c>
      <c r="AS399" s="6" t="s">
        <v>357</v>
      </c>
    </row>
    <row r="400" spans="1:45" x14ac:dyDescent="0.3">
      <c r="A400" s="7" t="s">
        <v>1516</v>
      </c>
      <c r="B400" s="7" t="s">
        <v>3907</v>
      </c>
      <c r="C400" s="7" t="s">
        <v>280</v>
      </c>
      <c r="D400" s="7" t="s">
        <v>209</v>
      </c>
      <c r="E400" s="7" t="s">
        <v>36</v>
      </c>
      <c r="F400" s="7" t="s">
        <v>19</v>
      </c>
      <c r="G400" s="7" t="s">
        <v>66</v>
      </c>
      <c r="H400" s="7" t="s">
        <v>4275</v>
      </c>
      <c r="I400" s="7" t="s">
        <v>4291</v>
      </c>
      <c r="J400" s="7" t="s">
        <v>115</v>
      </c>
      <c r="K400" s="7" t="s">
        <v>221</v>
      </c>
      <c r="L400" s="7" t="s">
        <v>1517</v>
      </c>
      <c r="M400" s="7" t="s">
        <v>4913</v>
      </c>
      <c r="N400" s="7" t="s">
        <v>3908</v>
      </c>
      <c r="O400" s="7" t="s">
        <v>4894</v>
      </c>
      <c r="P400" s="7">
        <v>57</v>
      </c>
      <c r="Q400" s="7">
        <v>46592465</v>
      </c>
      <c r="R400" s="7">
        <v>0.18</v>
      </c>
      <c r="S400" s="7">
        <v>0.2</v>
      </c>
      <c r="T400" s="7">
        <v>45846985.560000002</v>
      </c>
      <c r="U400" s="7">
        <v>28070307.77</v>
      </c>
      <c r="V400" s="7">
        <v>0.31</v>
      </c>
      <c r="W400" s="7">
        <v>0.15</v>
      </c>
      <c r="X400" s="7" t="s">
        <v>1518</v>
      </c>
      <c r="Y400" s="7">
        <v>40236702.939999998</v>
      </c>
      <c r="Z400" s="7">
        <v>12526835.65</v>
      </c>
      <c r="AA400" s="7">
        <v>60</v>
      </c>
      <c r="AB400" s="7">
        <v>128</v>
      </c>
      <c r="AC400" s="7"/>
      <c r="AD400" s="7" t="s">
        <v>226</v>
      </c>
      <c r="AE400" s="7">
        <v>0.65</v>
      </c>
      <c r="AF400" s="7" t="s">
        <v>153</v>
      </c>
      <c r="AG400" s="7">
        <v>0.05</v>
      </c>
      <c r="AH400" s="7">
        <v>0.06</v>
      </c>
      <c r="AI400" s="7">
        <v>0</v>
      </c>
      <c r="AJ400" s="7">
        <v>941</v>
      </c>
      <c r="AK400" s="7">
        <v>1620211.78</v>
      </c>
      <c r="AL400" s="7">
        <v>18115319.109999999</v>
      </c>
      <c r="AM400" s="7" t="s">
        <v>355</v>
      </c>
      <c r="AN400" s="7" t="s">
        <v>330</v>
      </c>
      <c r="AO400" s="7">
        <v>71.8</v>
      </c>
      <c r="AP400" s="7">
        <v>60</v>
      </c>
      <c r="AQ400" s="7" t="s">
        <v>4275</v>
      </c>
      <c r="AR400" s="7" t="s">
        <v>206</v>
      </c>
      <c r="AS400" s="7" t="s">
        <v>324</v>
      </c>
    </row>
    <row r="401" spans="1:45" x14ac:dyDescent="0.3">
      <c r="A401" s="6" t="s">
        <v>1519</v>
      </c>
      <c r="B401" s="6" t="s">
        <v>4914</v>
      </c>
      <c r="C401" s="6" t="s">
        <v>284</v>
      </c>
      <c r="D401" s="6" t="s">
        <v>250</v>
      </c>
      <c r="E401" s="6" t="s">
        <v>4265</v>
      </c>
      <c r="F401" s="6" t="s">
        <v>363</v>
      </c>
      <c r="G401" s="6" t="s">
        <v>50</v>
      </c>
      <c r="H401" s="6" t="s">
        <v>182</v>
      </c>
      <c r="I401" s="6" t="s">
        <v>4272</v>
      </c>
      <c r="J401" s="6" t="s">
        <v>130</v>
      </c>
      <c r="K401" s="6" t="s">
        <v>210</v>
      </c>
      <c r="L401" s="6" t="s">
        <v>1520</v>
      </c>
      <c r="M401" s="6" t="s">
        <v>4915</v>
      </c>
      <c r="N401" s="6" t="s">
        <v>3433</v>
      </c>
      <c r="O401" s="6" t="s">
        <v>4274</v>
      </c>
      <c r="P401" s="6">
        <v>45</v>
      </c>
      <c r="Q401" s="6">
        <v>43242807</v>
      </c>
      <c r="R401" s="6">
        <v>0.19</v>
      </c>
      <c r="S401" s="6">
        <v>0.05</v>
      </c>
      <c r="T401" s="6">
        <v>36778007.350000001</v>
      </c>
      <c r="U401" s="6">
        <v>32159699.5</v>
      </c>
      <c r="V401" s="6">
        <v>0.08</v>
      </c>
      <c r="W401" s="6">
        <v>0.17</v>
      </c>
      <c r="X401" s="6" t="s">
        <v>1521</v>
      </c>
      <c r="Y401" s="6">
        <v>17916682.469999999</v>
      </c>
      <c r="Z401" s="6">
        <v>18813373.09</v>
      </c>
      <c r="AA401" s="6">
        <v>30</v>
      </c>
      <c r="AB401" s="6">
        <v>147</v>
      </c>
      <c r="AC401" s="6" t="s">
        <v>342</v>
      </c>
      <c r="AD401" s="6" t="s">
        <v>336</v>
      </c>
      <c r="AE401" s="6">
        <v>0.45</v>
      </c>
      <c r="AF401" s="6" t="s">
        <v>4361</v>
      </c>
      <c r="AG401" s="6">
        <v>0.05</v>
      </c>
      <c r="AH401" s="6">
        <v>7.0000000000000007E-2</v>
      </c>
      <c r="AI401" s="6">
        <v>7</v>
      </c>
      <c r="AJ401" s="6">
        <v>3135</v>
      </c>
      <c r="AK401" s="6">
        <v>7686292.0199999996</v>
      </c>
      <c r="AL401" s="6">
        <v>9772938.4000000004</v>
      </c>
      <c r="AM401" s="6" t="s">
        <v>355</v>
      </c>
      <c r="AN401" s="6"/>
      <c r="AO401" s="6">
        <v>73.400000000000006</v>
      </c>
      <c r="AP401" s="6">
        <v>12</v>
      </c>
      <c r="AQ401" s="6" t="s">
        <v>392</v>
      </c>
      <c r="AR401" s="6" t="s">
        <v>229</v>
      </c>
      <c r="AS401" s="6" t="s">
        <v>377</v>
      </c>
    </row>
    <row r="402" spans="1:45" x14ac:dyDescent="0.3">
      <c r="A402" s="7" t="s">
        <v>1522</v>
      </c>
      <c r="B402" s="7" t="s">
        <v>4557</v>
      </c>
      <c r="C402" s="7" t="s">
        <v>260</v>
      </c>
      <c r="D402" s="7" t="s">
        <v>180</v>
      </c>
      <c r="E402" s="7" t="s">
        <v>4265</v>
      </c>
      <c r="F402" s="7" t="s">
        <v>363</v>
      </c>
      <c r="G402" s="7" t="s">
        <v>78</v>
      </c>
      <c r="H402" s="7" t="s">
        <v>4275</v>
      </c>
      <c r="I402" s="7" t="s">
        <v>4272</v>
      </c>
      <c r="J402" s="7" t="s">
        <v>105</v>
      </c>
      <c r="K402" s="7" t="s">
        <v>326</v>
      </c>
      <c r="L402" s="7" t="s">
        <v>1523</v>
      </c>
      <c r="M402" s="7" t="s">
        <v>4916</v>
      </c>
      <c r="N402" s="7" t="s">
        <v>3499</v>
      </c>
      <c r="O402" s="7" t="s">
        <v>4917</v>
      </c>
      <c r="P402" s="7">
        <v>50</v>
      </c>
      <c r="Q402" s="7">
        <v>30419790</v>
      </c>
      <c r="R402" s="7">
        <v>0.22</v>
      </c>
      <c r="S402" s="7">
        <v>0.19</v>
      </c>
      <c r="T402" s="7">
        <v>28235649.079999998</v>
      </c>
      <c r="U402" s="7">
        <v>21296921.859999999</v>
      </c>
      <c r="V402" s="7">
        <v>7.0000000000000007E-2</v>
      </c>
      <c r="W402" s="7">
        <v>0.12</v>
      </c>
      <c r="X402" s="7" t="s">
        <v>1524</v>
      </c>
      <c r="Y402" s="7">
        <v>2059187.51</v>
      </c>
      <c r="Z402" s="7">
        <v>867336.99</v>
      </c>
      <c r="AA402" s="7">
        <v>45</v>
      </c>
      <c r="AB402" s="7">
        <v>59</v>
      </c>
      <c r="AC402" s="7" t="s">
        <v>329</v>
      </c>
      <c r="AD402" s="7" t="s">
        <v>354</v>
      </c>
      <c r="AE402" s="7">
        <v>0.49</v>
      </c>
      <c r="AF402" s="7" t="s">
        <v>4319</v>
      </c>
      <c r="AG402" s="7">
        <v>0.15</v>
      </c>
      <c r="AH402" s="7">
        <v>0.02</v>
      </c>
      <c r="AI402" s="7">
        <v>13</v>
      </c>
      <c r="AJ402" s="7">
        <v>3209</v>
      </c>
      <c r="AK402" s="7">
        <v>5933949.5899999999</v>
      </c>
      <c r="AL402" s="7">
        <v>5800444.25</v>
      </c>
      <c r="AM402" s="7"/>
      <c r="AN402" s="7" t="s">
        <v>321</v>
      </c>
      <c r="AO402" s="7">
        <v>65.099999999999994</v>
      </c>
      <c r="AP402" s="7">
        <v>48</v>
      </c>
      <c r="AQ402" s="7" t="s">
        <v>323</v>
      </c>
      <c r="AR402" s="7" t="s">
        <v>192</v>
      </c>
      <c r="AS402" s="7" t="s">
        <v>188</v>
      </c>
    </row>
    <row r="403" spans="1:45" x14ac:dyDescent="0.3">
      <c r="A403" s="6" t="s">
        <v>1525</v>
      </c>
      <c r="B403" s="6" t="s">
        <v>3587</v>
      </c>
      <c r="C403" s="6" t="s">
        <v>266</v>
      </c>
      <c r="D403" s="6" t="s">
        <v>255</v>
      </c>
      <c r="E403" s="6" t="s">
        <v>52</v>
      </c>
      <c r="F403" s="6" t="s">
        <v>75</v>
      </c>
      <c r="G403" s="6" t="s">
        <v>66</v>
      </c>
      <c r="H403" s="6" t="s">
        <v>4275</v>
      </c>
      <c r="I403" s="6" t="s">
        <v>4291</v>
      </c>
      <c r="J403" s="7" t="s">
        <v>133</v>
      </c>
      <c r="K403" s="6" t="s">
        <v>326</v>
      </c>
      <c r="L403" s="6" t="s">
        <v>1526</v>
      </c>
      <c r="M403" s="6" t="s">
        <v>4918</v>
      </c>
      <c r="N403" s="6" t="s">
        <v>1527</v>
      </c>
      <c r="O403" s="6" t="s">
        <v>4919</v>
      </c>
      <c r="P403" s="6">
        <v>40</v>
      </c>
      <c r="Q403" s="6">
        <v>16158174</v>
      </c>
      <c r="R403" s="6">
        <v>0.21</v>
      </c>
      <c r="S403" s="6">
        <v>0.12</v>
      </c>
      <c r="T403" s="6">
        <v>14296752.359999999</v>
      </c>
      <c r="U403" s="6">
        <v>10240573.140000001</v>
      </c>
      <c r="V403" s="6">
        <v>0.13</v>
      </c>
      <c r="W403" s="6">
        <v>0.09</v>
      </c>
      <c r="X403" s="6" t="s">
        <v>1528</v>
      </c>
      <c r="Y403" s="6">
        <v>2907183.11</v>
      </c>
      <c r="Z403" s="6">
        <v>3048249.36</v>
      </c>
      <c r="AA403" s="6">
        <v>120</v>
      </c>
      <c r="AB403" s="6">
        <v>8</v>
      </c>
      <c r="AC403" s="6" t="s">
        <v>376</v>
      </c>
      <c r="AD403" s="6" t="s">
        <v>336</v>
      </c>
      <c r="AE403" s="6" t="s">
        <v>4467</v>
      </c>
      <c r="AF403" s="6" t="s">
        <v>4319</v>
      </c>
      <c r="AG403" s="6">
        <v>0.1</v>
      </c>
      <c r="AH403" s="6">
        <v>0.08</v>
      </c>
      <c r="AI403" s="6">
        <v>3</v>
      </c>
      <c r="AJ403" s="6">
        <v>3730</v>
      </c>
      <c r="AK403" s="6">
        <v>1083699.46</v>
      </c>
      <c r="AL403" s="6">
        <v>3835664.99</v>
      </c>
      <c r="AM403" s="6" t="s">
        <v>355</v>
      </c>
      <c r="AN403" s="6" t="s">
        <v>356</v>
      </c>
      <c r="AO403" s="6">
        <v>96.5</v>
      </c>
      <c r="AP403" s="6">
        <v>60</v>
      </c>
      <c r="AQ403" s="6"/>
      <c r="AR403" s="6" t="s">
        <v>186</v>
      </c>
      <c r="AS403" s="6"/>
    </row>
    <row r="404" spans="1:45" x14ac:dyDescent="0.3">
      <c r="A404" s="7" t="s">
        <v>1529</v>
      </c>
      <c r="B404" s="7" t="s">
        <v>4920</v>
      </c>
      <c r="C404" s="7" t="s">
        <v>219</v>
      </c>
      <c r="D404" s="7"/>
      <c r="E404" s="7" t="s">
        <v>4265</v>
      </c>
      <c r="F404" s="7" t="s">
        <v>350</v>
      </c>
      <c r="G404" s="7" t="s">
        <v>66</v>
      </c>
      <c r="H404" s="7" t="s">
        <v>212</v>
      </c>
      <c r="I404" s="7" t="s">
        <v>4289</v>
      </c>
      <c r="J404" s="7" t="s">
        <v>105</v>
      </c>
      <c r="K404" s="7" t="s">
        <v>199</v>
      </c>
      <c r="L404" s="7" t="s">
        <v>1530</v>
      </c>
      <c r="M404" s="7" t="s">
        <v>4921</v>
      </c>
      <c r="N404" s="7"/>
      <c r="O404" s="7" t="s">
        <v>4922</v>
      </c>
      <c r="P404" s="7">
        <v>7</v>
      </c>
      <c r="Q404" s="7">
        <v>46539811</v>
      </c>
      <c r="R404" s="7">
        <v>0.16</v>
      </c>
      <c r="S404" s="7">
        <v>0.15</v>
      </c>
      <c r="T404" s="7">
        <v>44957457.43</v>
      </c>
      <c r="U404" s="7">
        <v>31136214.73</v>
      </c>
      <c r="V404" s="7">
        <v>7.0000000000000007E-2</v>
      </c>
      <c r="W404" s="7">
        <v>0.19</v>
      </c>
      <c r="X404" s="7" t="s">
        <v>1531</v>
      </c>
      <c r="Y404" s="7">
        <v>19148294.149999999</v>
      </c>
      <c r="Z404" s="7">
        <v>17076220.09</v>
      </c>
      <c r="AA404" s="7">
        <v>45</v>
      </c>
      <c r="AB404" s="7">
        <v>169</v>
      </c>
      <c r="AC404" s="7" t="s">
        <v>376</v>
      </c>
      <c r="AD404" s="7" t="s">
        <v>226</v>
      </c>
      <c r="AE404" s="7">
        <v>0.89</v>
      </c>
      <c r="AF404" s="7" t="s">
        <v>4276</v>
      </c>
      <c r="AG404" s="7">
        <v>0.05</v>
      </c>
      <c r="AH404" s="7">
        <v>0.02</v>
      </c>
      <c r="AI404" s="7">
        <v>10</v>
      </c>
      <c r="AJ404" s="7"/>
      <c r="AK404" s="7">
        <v>11140927.300000001</v>
      </c>
      <c r="AL404" s="7">
        <v>15785196.51</v>
      </c>
      <c r="AM404" s="7"/>
      <c r="AN404" s="7" t="s">
        <v>321</v>
      </c>
      <c r="AO404" s="7">
        <v>96.8</v>
      </c>
      <c r="AP404" s="7">
        <v>60</v>
      </c>
      <c r="AQ404" s="7" t="s">
        <v>4275</v>
      </c>
      <c r="AR404" s="7" t="s">
        <v>229</v>
      </c>
      <c r="AS404" s="7" t="s">
        <v>188</v>
      </c>
    </row>
    <row r="405" spans="1:45" x14ac:dyDescent="0.3">
      <c r="A405" s="6" t="s">
        <v>1532</v>
      </c>
      <c r="B405" s="6" t="s">
        <v>4923</v>
      </c>
      <c r="C405" s="6" t="s">
        <v>243</v>
      </c>
      <c r="D405" s="6" t="s">
        <v>248</v>
      </c>
      <c r="E405" s="6" t="s">
        <v>20</v>
      </c>
      <c r="F405" s="6" t="s">
        <v>196</v>
      </c>
      <c r="G405" s="6" t="s">
        <v>62</v>
      </c>
      <c r="H405" s="6" t="s">
        <v>4275</v>
      </c>
      <c r="I405" s="6" t="s">
        <v>240</v>
      </c>
      <c r="J405" s="6" t="s">
        <v>136</v>
      </c>
      <c r="K405" s="6" t="s">
        <v>221</v>
      </c>
      <c r="L405" s="6" t="s">
        <v>1533</v>
      </c>
      <c r="M405" s="6" t="s">
        <v>4367</v>
      </c>
      <c r="N405" s="6" t="s">
        <v>3909</v>
      </c>
      <c r="O405" s="6" t="s">
        <v>3682</v>
      </c>
      <c r="P405" s="6">
        <v>48</v>
      </c>
      <c r="Q405" s="6">
        <v>30157979</v>
      </c>
      <c r="R405" s="6">
        <v>0.19</v>
      </c>
      <c r="S405" s="6">
        <v>0.17</v>
      </c>
      <c r="T405" s="6">
        <v>28580716.699999999</v>
      </c>
      <c r="U405" s="6">
        <v>22829245.18</v>
      </c>
      <c r="V405" s="6">
        <v>0.23</v>
      </c>
      <c r="W405" s="6">
        <v>0.19</v>
      </c>
      <c r="X405" s="6" t="s">
        <v>1534</v>
      </c>
      <c r="Y405" s="6">
        <v>4881731.8499999996</v>
      </c>
      <c r="Z405" s="6">
        <v>3959317.14</v>
      </c>
      <c r="AA405" s="6">
        <v>60</v>
      </c>
      <c r="AB405" s="6">
        <v>161</v>
      </c>
      <c r="AC405" s="6" t="s">
        <v>329</v>
      </c>
      <c r="AD405" s="6" t="s">
        <v>320</v>
      </c>
      <c r="AE405" s="6">
        <v>0.3</v>
      </c>
      <c r="AF405" s="6" t="s">
        <v>153</v>
      </c>
      <c r="AG405" s="6">
        <v>0.1</v>
      </c>
      <c r="AH405" s="6">
        <v>0.06</v>
      </c>
      <c r="AI405" s="6">
        <v>8</v>
      </c>
      <c r="AJ405" s="6">
        <v>4591</v>
      </c>
      <c r="AK405" s="6">
        <v>5207428.8</v>
      </c>
      <c r="AL405" s="6">
        <v>4729278.82</v>
      </c>
      <c r="AM405" s="6"/>
      <c r="AN405" s="6"/>
      <c r="AO405" s="6">
        <v>85.5</v>
      </c>
      <c r="AP405" s="6">
        <v>24</v>
      </c>
      <c r="AQ405" s="6"/>
      <c r="AR405" s="6" t="s">
        <v>186</v>
      </c>
      <c r="AS405" s="6" t="s">
        <v>361</v>
      </c>
    </row>
    <row r="406" spans="1:45" x14ac:dyDescent="0.3">
      <c r="A406" s="7" t="s">
        <v>1535</v>
      </c>
      <c r="B406" s="7" t="s">
        <v>4924</v>
      </c>
      <c r="C406" s="7" t="s">
        <v>239</v>
      </c>
      <c r="D406" s="7" t="s">
        <v>202</v>
      </c>
      <c r="E406" s="7" t="s">
        <v>4538</v>
      </c>
      <c r="F406" s="7"/>
      <c r="G406" s="7" t="s">
        <v>23</v>
      </c>
      <c r="H406" s="7" t="s">
        <v>197</v>
      </c>
      <c r="I406" s="7" t="s">
        <v>4272</v>
      </c>
      <c r="J406" s="7" t="s">
        <v>99</v>
      </c>
      <c r="K406" s="7" t="s">
        <v>223</v>
      </c>
      <c r="L406" s="7" t="s">
        <v>1536</v>
      </c>
      <c r="M406" s="7" t="s">
        <v>3752</v>
      </c>
      <c r="N406" s="7" t="s">
        <v>3910</v>
      </c>
      <c r="O406" s="7" t="s">
        <v>3742</v>
      </c>
      <c r="P406" s="7">
        <v>21</v>
      </c>
      <c r="Q406" s="7">
        <v>49784468</v>
      </c>
      <c r="R406" s="7">
        <v>0.1</v>
      </c>
      <c r="S406" s="7">
        <v>0.01</v>
      </c>
      <c r="T406" s="7">
        <v>45254081.409999996</v>
      </c>
      <c r="U406" s="7">
        <v>28494891.329999998</v>
      </c>
      <c r="V406" s="7">
        <v>0.15</v>
      </c>
      <c r="W406" s="7">
        <v>0.09</v>
      </c>
      <c r="X406" s="7" t="s">
        <v>1537</v>
      </c>
      <c r="Y406" s="7">
        <v>18913100.420000002</v>
      </c>
      <c r="Z406" s="7">
        <v>11560612.699999999</v>
      </c>
      <c r="AA406" s="7">
        <v>90</v>
      </c>
      <c r="AB406" s="7">
        <v>54</v>
      </c>
      <c r="AC406" s="7" t="s">
        <v>376</v>
      </c>
      <c r="AD406" s="7" t="s">
        <v>226</v>
      </c>
      <c r="AE406" s="7">
        <v>0.33</v>
      </c>
      <c r="AF406" s="7" t="s">
        <v>4361</v>
      </c>
      <c r="AG406" s="7">
        <v>0.1</v>
      </c>
      <c r="AH406" s="7">
        <v>0.09</v>
      </c>
      <c r="AI406" s="7">
        <v>8</v>
      </c>
      <c r="AJ406" s="7">
        <v>1676</v>
      </c>
      <c r="AK406" s="7">
        <v>9344881.9399999995</v>
      </c>
      <c r="AL406" s="7">
        <v>17847196.199999999</v>
      </c>
      <c r="AM406" s="7" t="s">
        <v>355</v>
      </c>
      <c r="AN406" s="7" t="s">
        <v>330</v>
      </c>
      <c r="AO406" s="7">
        <v>94.5</v>
      </c>
      <c r="AP406" s="7">
        <v>24</v>
      </c>
      <c r="AQ406" s="7"/>
      <c r="AR406" s="7" t="s">
        <v>192</v>
      </c>
      <c r="AS406" s="7" t="s">
        <v>357</v>
      </c>
    </row>
    <row r="407" spans="1:45" x14ac:dyDescent="0.3">
      <c r="A407" s="6" t="s">
        <v>1538</v>
      </c>
      <c r="B407" s="6" t="s">
        <v>4925</v>
      </c>
      <c r="C407" s="6" t="s">
        <v>256</v>
      </c>
      <c r="D407" s="6" t="s">
        <v>248</v>
      </c>
      <c r="E407" s="6" t="s">
        <v>4325</v>
      </c>
      <c r="F407" s="6" t="s">
        <v>339</v>
      </c>
      <c r="G407" s="6" t="s">
        <v>33</v>
      </c>
      <c r="H407" s="6" t="s">
        <v>4280</v>
      </c>
      <c r="I407" s="6" t="s">
        <v>233</v>
      </c>
      <c r="J407" s="6" t="s">
        <v>115</v>
      </c>
      <c r="K407" s="6" t="s">
        <v>221</v>
      </c>
      <c r="L407" s="6" t="s">
        <v>1539</v>
      </c>
      <c r="M407" s="6" t="s">
        <v>3537</v>
      </c>
      <c r="N407" s="6" t="s">
        <v>4926</v>
      </c>
      <c r="O407" s="6" t="s">
        <v>4274</v>
      </c>
      <c r="P407" s="6">
        <v>11</v>
      </c>
      <c r="Q407" s="6">
        <v>10371197</v>
      </c>
      <c r="R407" s="6">
        <v>0.15</v>
      </c>
      <c r="S407" s="6">
        <v>0.16</v>
      </c>
      <c r="T407" s="6">
        <v>10226000.24</v>
      </c>
      <c r="U407" s="6">
        <v>8279834.0199999996</v>
      </c>
      <c r="V407" s="6">
        <v>0.26</v>
      </c>
      <c r="W407" s="6">
        <v>0.13</v>
      </c>
      <c r="X407" s="6" t="s">
        <v>1540</v>
      </c>
      <c r="Y407" s="6">
        <v>3535115.46</v>
      </c>
      <c r="Z407" s="6">
        <v>3698645.81</v>
      </c>
      <c r="AA407" s="6">
        <v>30</v>
      </c>
      <c r="AB407" s="6">
        <v>148</v>
      </c>
      <c r="AC407" s="6" t="s">
        <v>376</v>
      </c>
      <c r="AD407" s="6" t="s">
        <v>226</v>
      </c>
      <c r="AE407" s="6">
        <v>0.73</v>
      </c>
      <c r="AF407" s="6" t="s">
        <v>4294</v>
      </c>
      <c r="AG407" s="6">
        <v>0.15</v>
      </c>
      <c r="AH407" s="6">
        <v>0.04</v>
      </c>
      <c r="AI407" s="6">
        <v>5</v>
      </c>
      <c r="AJ407" s="6">
        <v>3458</v>
      </c>
      <c r="AK407" s="6">
        <v>1656154.98</v>
      </c>
      <c r="AL407" s="6"/>
      <c r="AM407" s="6" t="s">
        <v>73</v>
      </c>
      <c r="AN407" s="6" t="s">
        <v>321</v>
      </c>
      <c r="AO407" s="6">
        <v>60.4</v>
      </c>
      <c r="AP407" s="6">
        <v>48</v>
      </c>
      <c r="AQ407" s="6"/>
      <c r="AR407" s="6" t="s">
        <v>229</v>
      </c>
      <c r="AS407" s="6" t="s">
        <v>361</v>
      </c>
    </row>
    <row r="408" spans="1:45" x14ac:dyDescent="0.3">
      <c r="A408" s="7" t="s">
        <v>1541</v>
      </c>
      <c r="B408" s="7" t="s">
        <v>3790</v>
      </c>
      <c r="C408" s="7" t="s">
        <v>252</v>
      </c>
      <c r="D408" s="7" t="s">
        <v>281</v>
      </c>
      <c r="E408" s="7" t="s">
        <v>4376</v>
      </c>
      <c r="F408" s="7" t="s">
        <v>31</v>
      </c>
      <c r="G408" s="7" t="s">
        <v>73</v>
      </c>
      <c r="H408" s="7" t="s">
        <v>4280</v>
      </c>
      <c r="I408" s="7"/>
      <c r="J408" s="7" t="s">
        <v>136</v>
      </c>
      <c r="K408" s="7" t="s">
        <v>326</v>
      </c>
      <c r="L408" s="7" t="s">
        <v>1542</v>
      </c>
      <c r="M408" s="7" t="s">
        <v>4927</v>
      </c>
      <c r="N408" s="7" t="s">
        <v>3911</v>
      </c>
      <c r="O408" s="7" t="s">
        <v>4928</v>
      </c>
      <c r="P408" s="7">
        <v>59</v>
      </c>
      <c r="Q408" s="7">
        <v>18611170</v>
      </c>
      <c r="R408" s="7">
        <v>0.11</v>
      </c>
      <c r="S408" s="7">
        <v>0.1</v>
      </c>
      <c r="T408" s="7">
        <v>18220335.43</v>
      </c>
      <c r="U408" s="7">
        <v>11438807.949999999</v>
      </c>
      <c r="V408" s="7">
        <v>0.06</v>
      </c>
      <c r="W408" s="7">
        <v>0.19</v>
      </c>
      <c r="X408" s="7" t="s">
        <v>1543</v>
      </c>
      <c r="Y408" s="7">
        <v>4183305.92</v>
      </c>
      <c r="Z408" s="7">
        <v>3854879.81</v>
      </c>
      <c r="AA408" s="7">
        <v>60</v>
      </c>
      <c r="AB408" s="7">
        <v>17</v>
      </c>
      <c r="AC408" s="7" t="s">
        <v>353</v>
      </c>
      <c r="AD408" s="7" t="s">
        <v>336</v>
      </c>
      <c r="AE408" s="7">
        <v>0.48</v>
      </c>
      <c r="AF408" s="7" t="s">
        <v>153</v>
      </c>
      <c r="AG408" s="7">
        <v>0.1</v>
      </c>
      <c r="AH408" s="7">
        <v>0.09</v>
      </c>
      <c r="AI408" s="7">
        <v>13</v>
      </c>
      <c r="AJ408" s="7">
        <v>2822</v>
      </c>
      <c r="AK408" s="7"/>
      <c r="AL408" s="7">
        <v>3340051.82</v>
      </c>
      <c r="AM408" s="7" t="s">
        <v>385</v>
      </c>
      <c r="AN408" s="7"/>
      <c r="AO408" s="7">
        <v>77.400000000000006</v>
      </c>
      <c r="AP408" s="7">
        <v>36</v>
      </c>
      <c r="AQ408" s="7" t="s">
        <v>4275</v>
      </c>
      <c r="AR408" s="7" t="s">
        <v>224</v>
      </c>
      <c r="AS408" s="7" t="s">
        <v>377</v>
      </c>
    </row>
    <row r="409" spans="1:45" x14ac:dyDescent="0.3">
      <c r="A409" s="6" t="s">
        <v>1544</v>
      </c>
      <c r="B409" s="6" t="s">
        <v>3349</v>
      </c>
      <c r="C409" s="6" t="s">
        <v>260</v>
      </c>
      <c r="D409" s="6" t="s">
        <v>394</v>
      </c>
      <c r="E409" s="6" t="s">
        <v>4265</v>
      </c>
      <c r="F409" s="6" t="s">
        <v>228</v>
      </c>
      <c r="G409" s="6" t="s">
        <v>38</v>
      </c>
      <c r="H409" s="6" t="s">
        <v>4271</v>
      </c>
      <c r="I409" s="6"/>
      <c r="J409" s="6" t="s">
        <v>130</v>
      </c>
      <c r="K409" s="6" t="s">
        <v>184</v>
      </c>
      <c r="L409" s="6" t="s">
        <v>1545</v>
      </c>
      <c r="M409" s="6" t="s">
        <v>4929</v>
      </c>
      <c r="N409" s="6" t="s">
        <v>4930</v>
      </c>
      <c r="O409" s="6" t="s">
        <v>3912</v>
      </c>
      <c r="P409" s="6">
        <v>35</v>
      </c>
      <c r="Q409" s="6">
        <v>36166571</v>
      </c>
      <c r="R409" s="6">
        <v>0.09</v>
      </c>
      <c r="S409" s="6">
        <v>-0.05</v>
      </c>
      <c r="T409" s="6">
        <v>31266000.629999999</v>
      </c>
      <c r="U409" s="6">
        <v>25310125.16</v>
      </c>
      <c r="V409" s="6">
        <v>0.23</v>
      </c>
      <c r="W409" s="6">
        <v>0.06</v>
      </c>
      <c r="X409" s="6" t="s">
        <v>1546</v>
      </c>
      <c r="Y409" s="6">
        <v>14022760.26</v>
      </c>
      <c r="Z409" s="6">
        <v>6912663.6600000001</v>
      </c>
      <c r="AA409" s="6">
        <v>45</v>
      </c>
      <c r="AB409" s="6">
        <v>17</v>
      </c>
      <c r="AC409" s="6"/>
      <c r="AD409" s="6" t="s">
        <v>455</v>
      </c>
      <c r="AE409" s="6">
        <v>0.28999999999999998</v>
      </c>
      <c r="AF409" s="6" t="s">
        <v>162</v>
      </c>
      <c r="AG409" s="6">
        <v>0.1</v>
      </c>
      <c r="AH409" s="6">
        <v>0.03</v>
      </c>
      <c r="AI409" s="6">
        <v>2</v>
      </c>
      <c r="AJ409" s="6">
        <v>700</v>
      </c>
      <c r="AK409" s="6">
        <v>7372939.0300000003</v>
      </c>
      <c r="AL409" s="6">
        <v>8543549.1899999995</v>
      </c>
      <c r="AM409" s="6" t="s">
        <v>355</v>
      </c>
      <c r="AN409" s="6" t="s">
        <v>356</v>
      </c>
      <c r="AO409" s="6">
        <v>74</v>
      </c>
      <c r="AP409" s="6">
        <v>24</v>
      </c>
      <c r="AQ409" s="6" t="s">
        <v>387</v>
      </c>
      <c r="AR409" s="6" t="s">
        <v>206</v>
      </c>
      <c r="AS409" s="6"/>
    </row>
    <row r="410" spans="1:45" x14ac:dyDescent="0.3">
      <c r="A410" s="7" t="s">
        <v>1547</v>
      </c>
      <c r="B410" s="7" t="s">
        <v>4931</v>
      </c>
      <c r="C410" s="7" t="s">
        <v>251</v>
      </c>
      <c r="D410" s="7" t="s">
        <v>238</v>
      </c>
      <c r="E410" s="7" t="s">
        <v>52</v>
      </c>
      <c r="F410" s="7" t="s">
        <v>75</v>
      </c>
      <c r="G410" s="7" t="s">
        <v>78</v>
      </c>
      <c r="H410" s="7" t="s">
        <v>182</v>
      </c>
      <c r="I410" s="7" t="s">
        <v>191</v>
      </c>
      <c r="J410" s="7" t="s">
        <v>133</v>
      </c>
      <c r="K410" s="7" t="s">
        <v>204</v>
      </c>
      <c r="L410" s="7" t="s">
        <v>1548</v>
      </c>
      <c r="M410" s="7" t="s">
        <v>4932</v>
      </c>
      <c r="N410" s="7"/>
      <c r="O410" s="7" t="s">
        <v>4933</v>
      </c>
      <c r="P410" s="7">
        <v>4</v>
      </c>
      <c r="Q410" s="7">
        <v>6730887</v>
      </c>
      <c r="R410" s="7" t="s">
        <v>3273</v>
      </c>
      <c r="S410" s="7">
        <v>0.12</v>
      </c>
      <c r="T410" s="7">
        <v>7312435.6399999997</v>
      </c>
      <c r="U410" s="7">
        <v>6395849.1299999999</v>
      </c>
      <c r="V410" s="7">
        <v>0.15</v>
      </c>
      <c r="W410" s="7">
        <v>0.06</v>
      </c>
      <c r="X410" s="7" t="s">
        <v>1549</v>
      </c>
      <c r="Y410" s="7">
        <v>4286787.6900000004</v>
      </c>
      <c r="Z410" s="7">
        <v>2383740.3199999998</v>
      </c>
      <c r="AA410" s="7">
        <v>60</v>
      </c>
      <c r="AB410" s="7">
        <v>33</v>
      </c>
      <c r="AC410" s="7" t="s">
        <v>342</v>
      </c>
      <c r="AD410" s="7" t="s">
        <v>336</v>
      </c>
      <c r="AE410" s="7">
        <v>0.36</v>
      </c>
      <c r="AF410" s="7" t="s">
        <v>4303</v>
      </c>
      <c r="AG410" s="7">
        <v>0.1</v>
      </c>
      <c r="AH410" s="7">
        <v>0.09</v>
      </c>
      <c r="AI410" s="7">
        <v>13</v>
      </c>
      <c r="AJ410" s="7">
        <v>627</v>
      </c>
      <c r="AK410" s="7">
        <v>1388361.91</v>
      </c>
      <c r="AL410" s="7">
        <v>787091.01</v>
      </c>
      <c r="AM410" s="7" t="s">
        <v>321</v>
      </c>
      <c r="AN410" s="7" t="s">
        <v>386</v>
      </c>
      <c r="AO410" s="7">
        <v>51.4</v>
      </c>
      <c r="AP410" s="7">
        <v>48</v>
      </c>
      <c r="AQ410" s="7"/>
      <c r="AR410" s="7" t="s">
        <v>224</v>
      </c>
      <c r="AS410" s="7" t="s">
        <v>324</v>
      </c>
    </row>
    <row r="411" spans="1:45" x14ac:dyDescent="0.3">
      <c r="A411" s="6" t="s">
        <v>1550</v>
      </c>
      <c r="B411" s="6" t="s">
        <v>4934</v>
      </c>
      <c r="C411" s="6" t="s">
        <v>237</v>
      </c>
      <c r="D411" s="6" t="s">
        <v>220</v>
      </c>
      <c r="E411" s="6" t="s">
        <v>4270</v>
      </c>
      <c r="F411" s="6" t="s">
        <v>181</v>
      </c>
      <c r="G411" s="6"/>
      <c r="H411" s="6" t="s">
        <v>4326</v>
      </c>
      <c r="I411" s="6" t="s">
        <v>4272</v>
      </c>
      <c r="J411" s="6" t="s">
        <v>111</v>
      </c>
      <c r="K411" s="6" t="s">
        <v>223</v>
      </c>
      <c r="L411" s="6" t="s">
        <v>1551</v>
      </c>
      <c r="M411" s="6" t="s">
        <v>3431</v>
      </c>
      <c r="N411" s="6" t="s">
        <v>4935</v>
      </c>
      <c r="O411" s="6" t="s">
        <v>4274</v>
      </c>
      <c r="P411" s="6">
        <v>19</v>
      </c>
      <c r="Q411" s="6">
        <v>18847899</v>
      </c>
      <c r="R411" s="6">
        <v>0.02</v>
      </c>
      <c r="S411" s="6">
        <v>0.2</v>
      </c>
      <c r="T411" s="6">
        <v>22165129.219999999</v>
      </c>
      <c r="U411" s="6">
        <v>19017138.239999998</v>
      </c>
      <c r="V411" s="6">
        <v>0.17</v>
      </c>
      <c r="W411" s="6">
        <v>0.08</v>
      </c>
      <c r="X411" s="6" t="s">
        <v>1552</v>
      </c>
      <c r="Y411" s="6">
        <v>5481239.3300000001</v>
      </c>
      <c r="Z411" s="6">
        <v>5929889.9199999999</v>
      </c>
      <c r="AA411" s="6">
        <v>45</v>
      </c>
      <c r="AB411" s="6">
        <v>48</v>
      </c>
      <c r="AC411" s="6"/>
      <c r="AD411" s="6" t="s">
        <v>381</v>
      </c>
      <c r="AE411" s="6">
        <v>0.67</v>
      </c>
      <c r="AF411" s="6" t="s">
        <v>4312</v>
      </c>
      <c r="AG411" s="6">
        <v>0.05</v>
      </c>
      <c r="AH411" s="6">
        <v>0.04</v>
      </c>
      <c r="AI411" s="6">
        <v>4</v>
      </c>
      <c r="AJ411" s="6">
        <v>50</v>
      </c>
      <c r="AK411" s="6">
        <v>3418737.6</v>
      </c>
      <c r="AL411" s="6">
        <v>3930557.23</v>
      </c>
      <c r="AM411" s="6" t="s">
        <v>391</v>
      </c>
      <c r="AN411" s="6" t="s">
        <v>322</v>
      </c>
      <c r="AO411" s="6">
        <v>64.900000000000006</v>
      </c>
      <c r="AP411" s="6">
        <v>12</v>
      </c>
      <c r="AQ411" s="6" t="s">
        <v>392</v>
      </c>
      <c r="AR411" s="6" t="s">
        <v>229</v>
      </c>
      <c r="AS411" s="6" t="s">
        <v>377</v>
      </c>
    </row>
    <row r="412" spans="1:45" x14ac:dyDescent="0.3">
      <c r="A412" s="7" t="s">
        <v>1553</v>
      </c>
      <c r="B412" s="7" t="s">
        <v>3915</v>
      </c>
      <c r="C412" s="7" t="s">
        <v>225</v>
      </c>
      <c r="D412" s="7" t="s">
        <v>245</v>
      </c>
      <c r="E412" s="7" t="s">
        <v>52</v>
      </c>
      <c r="F412" s="7"/>
      <c r="G412" s="7" t="s">
        <v>50</v>
      </c>
      <c r="H412" s="7" t="s">
        <v>4280</v>
      </c>
      <c r="I412" s="7" t="s">
        <v>213</v>
      </c>
      <c r="J412" s="7" t="s">
        <v>119</v>
      </c>
      <c r="K412" s="7" t="s">
        <v>326</v>
      </c>
      <c r="L412" s="7" t="s">
        <v>1554</v>
      </c>
      <c r="M412" s="7" t="s">
        <v>3420</v>
      </c>
      <c r="N412" s="7"/>
      <c r="O412" s="7" t="s">
        <v>4585</v>
      </c>
      <c r="P412" s="7">
        <v>57</v>
      </c>
      <c r="Q412" s="7">
        <v>16474098</v>
      </c>
      <c r="R412" s="7">
        <v>0.1</v>
      </c>
      <c r="S412" s="7">
        <v>0.09</v>
      </c>
      <c r="T412" s="7">
        <v>16161090.140000001</v>
      </c>
      <c r="U412" s="7">
        <v>11494753.539999999</v>
      </c>
      <c r="V412" s="7">
        <v>0.2</v>
      </c>
      <c r="W412" s="7">
        <v>0.2</v>
      </c>
      <c r="X412" s="7" t="s">
        <v>1555</v>
      </c>
      <c r="Y412" s="7">
        <v>9558150.3599999994</v>
      </c>
      <c r="Z412" s="7">
        <v>5624193.04</v>
      </c>
      <c r="AA412" s="7">
        <v>120</v>
      </c>
      <c r="AB412" s="7">
        <v>121</v>
      </c>
      <c r="AC412" s="7" t="s">
        <v>376</v>
      </c>
      <c r="AD412" s="7" t="s">
        <v>381</v>
      </c>
      <c r="AE412" s="7">
        <v>0.83</v>
      </c>
      <c r="AF412" s="7" t="s">
        <v>4276</v>
      </c>
      <c r="AG412" s="7">
        <v>0.1</v>
      </c>
      <c r="AH412" s="7">
        <v>0.05</v>
      </c>
      <c r="AI412" s="7">
        <v>2</v>
      </c>
      <c r="AJ412" s="7">
        <v>1717</v>
      </c>
      <c r="AK412" s="7">
        <v>2920481.68</v>
      </c>
      <c r="AL412" s="7">
        <v>4251802.66</v>
      </c>
      <c r="AM412" s="7" t="s">
        <v>385</v>
      </c>
      <c r="AN412" s="7" t="s">
        <v>386</v>
      </c>
      <c r="AO412" s="7">
        <v>69.7</v>
      </c>
      <c r="AP412" s="7">
        <v>60</v>
      </c>
      <c r="AQ412" s="7" t="s">
        <v>392</v>
      </c>
      <c r="AR412" s="7" t="s">
        <v>229</v>
      </c>
      <c r="AS412" s="7" t="s">
        <v>361</v>
      </c>
    </row>
    <row r="413" spans="1:45" x14ac:dyDescent="0.3">
      <c r="A413" s="6" t="s">
        <v>1556</v>
      </c>
      <c r="B413" s="6" t="s">
        <v>4936</v>
      </c>
      <c r="C413" s="6" t="s">
        <v>189</v>
      </c>
      <c r="D413" s="6" t="s">
        <v>394</v>
      </c>
      <c r="E413" s="6" t="s">
        <v>4306</v>
      </c>
      <c r="F413" s="6" t="s">
        <v>75</v>
      </c>
      <c r="G413" s="6" t="s">
        <v>66</v>
      </c>
      <c r="H413" s="6" t="s">
        <v>212</v>
      </c>
      <c r="I413" s="6" t="s">
        <v>233</v>
      </c>
      <c r="J413" s="7" t="s">
        <v>119</v>
      </c>
      <c r="K413" s="6" t="s">
        <v>221</v>
      </c>
      <c r="L413" s="6" t="s">
        <v>1557</v>
      </c>
      <c r="M413" s="6" t="s">
        <v>3311</v>
      </c>
      <c r="N413" s="6" t="s">
        <v>4440</v>
      </c>
      <c r="O413" s="6" t="s">
        <v>3395</v>
      </c>
      <c r="P413" s="6">
        <v>60</v>
      </c>
      <c r="Q413" s="6">
        <v>39954634</v>
      </c>
      <c r="R413" s="6">
        <v>0.06</v>
      </c>
      <c r="S413" s="6">
        <v>-0.02</v>
      </c>
      <c r="T413" s="6">
        <v>36806208.840000004</v>
      </c>
      <c r="U413" s="6">
        <v>29324743.48</v>
      </c>
      <c r="V413" s="6">
        <v>0.08</v>
      </c>
      <c r="W413" s="6">
        <v>0.09</v>
      </c>
      <c r="X413" s="6" t="s">
        <v>1558</v>
      </c>
      <c r="Y413" s="6">
        <v>16695219.35</v>
      </c>
      <c r="Z413" s="6">
        <v>7100867.1699999999</v>
      </c>
      <c r="AA413" s="6">
        <v>90</v>
      </c>
      <c r="AB413" s="6">
        <v>166</v>
      </c>
      <c r="AC413" s="6" t="s">
        <v>376</v>
      </c>
      <c r="AD413" s="6" t="s">
        <v>336</v>
      </c>
      <c r="AE413" s="6">
        <v>0.71</v>
      </c>
      <c r="AF413" s="6" t="s">
        <v>4319</v>
      </c>
      <c r="AG413" s="6">
        <v>0.1</v>
      </c>
      <c r="AH413" s="6">
        <v>0.1</v>
      </c>
      <c r="AI413" s="6">
        <v>7</v>
      </c>
      <c r="AJ413" s="6">
        <v>43</v>
      </c>
      <c r="AK413" s="6">
        <v>3054548.26</v>
      </c>
      <c r="AL413" s="6">
        <v>15672352.25</v>
      </c>
      <c r="AM413" s="6" t="s">
        <v>391</v>
      </c>
      <c r="AN413" s="6" t="s">
        <v>330</v>
      </c>
      <c r="AO413" s="6">
        <v>73.7</v>
      </c>
      <c r="AP413" s="6">
        <v>12</v>
      </c>
      <c r="AQ413" s="6"/>
      <c r="AR413" s="6" t="s">
        <v>192</v>
      </c>
      <c r="AS413" s="6" t="s">
        <v>361</v>
      </c>
    </row>
    <row r="414" spans="1:45" x14ac:dyDescent="0.3">
      <c r="A414" s="7" t="s">
        <v>1559</v>
      </c>
      <c r="B414" s="7" t="s">
        <v>4898</v>
      </c>
      <c r="C414" s="7" t="s">
        <v>272</v>
      </c>
      <c r="D414" s="7" t="s">
        <v>220</v>
      </c>
      <c r="E414" s="7" t="s">
        <v>41</v>
      </c>
      <c r="F414" s="7" t="s">
        <v>350</v>
      </c>
      <c r="G414" s="7" t="s">
        <v>78</v>
      </c>
      <c r="H414" s="7" t="s">
        <v>4326</v>
      </c>
      <c r="I414" s="7" t="s">
        <v>191</v>
      </c>
      <c r="J414" s="6" t="s">
        <v>130</v>
      </c>
      <c r="K414" s="7" t="s">
        <v>199</v>
      </c>
      <c r="L414" s="7" t="s">
        <v>1560</v>
      </c>
      <c r="M414" s="7" t="s">
        <v>4937</v>
      </c>
      <c r="N414" s="7" t="s">
        <v>4666</v>
      </c>
      <c r="O414" s="7" t="s">
        <v>3679</v>
      </c>
      <c r="P414" s="7">
        <v>10</v>
      </c>
      <c r="Q414" s="7">
        <v>8419902</v>
      </c>
      <c r="R414" s="7">
        <v>0.34</v>
      </c>
      <c r="S414" s="7">
        <v>0.05</v>
      </c>
      <c r="T414" s="7">
        <v>5834992.0899999999</v>
      </c>
      <c r="U414" s="7">
        <v>4225021.1100000003</v>
      </c>
      <c r="V414" s="7">
        <v>0.3</v>
      </c>
      <c r="W414" s="7">
        <v>0.14000000000000001</v>
      </c>
      <c r="X414" s="7" t="s">
        <v>1561</v>
      </c>
      <c r="Y414" s="7">
        <v>1266137.3600000001</v>
      </c>
      <c r="Z414" s="7">
        <v>1157972.5</v>
      </c>
      <c r="AA414" s="7">
        <v>90</v>
      </c>
      <c r="AB414" s="7">
        <v>102</v>
      </c>
      <c r="AC414" s="7" t="s">
        <v>329</v>
      </c>
      <c r="AD414" s="7" t="s">
        <v>226</v>
      </c>
      <c r="AE414" s="7">
        <v>0.22</v>
      </c>
      <c r="AF414" s="7" t="s">
        <v>4303</v>
      </c>
      <c r="AG414" s="7">
        <v>0.15</v>
      </c>
      <c r="AH414" s="7">
        <v>0.04</v>
      </c>
      <c r="AI414" s="7">
        <v>4</v>
      </c>
      <c r="AJ414" s="7">
        <v>4521</v>
      </c>
      <c r="AK414" s="7">
        <v>557745.94999999995</v>
      </c>
      <c r="AL414" s="7">
        <v>660197.80000000005</v>
      </c>
      <c r="AM414" s="7" t="s">
        <v>391</v>
      </c>
      <c r="AN414" s="7" t="s">
        <v>321</v>
      </c>
      <c r="AO414" s="7">
        <v>72.599999999999994</v>
      </c>
      <c r="AP414" s="7">
        <v>12</v>
      </c>
      <c r="AQ414" s="7" t="s">
        <v>323</v>
      </c>
      <c r="AR414" s="7" t="s">
        <v>224</v>
      </c>
      <c r="AS414" s="7"/>
    </row>
    <row r="415" spans="1:45" x14ac:dyDescent="0.3">
      <c r="A415" s="6" t="s">
        <v>1562</v>
      </c>
      <c r="B415" s="6" t="s">
        <v>3880</v>
      </c>
      <c r="C415" s="6" t="s">
        <v>279</v>
      </c>
      <c r="D415" s="6" t="s">
        <v>262</v>
      </c>
      <c r="E415" s="6"/>
      <c r="F415" s="6" t="s">
        <v>196</v>
      </c>
      <c r="G415" s="6" t="s">
        <v>73</v>
      </c>
      <c r="H415" s="6" t="s">
        <v>216</v>
      </c>
      <c r="I415" s="6" t="s">
        <v>4372</v>
      </c>
      <c r="J415" s="6" t="s">
        <v>130</v>
      </c>
      <c r="K415" s="6" t="s">
        <v>221</v>
      </c>
      <c r="L415" s="6" t="s">
        <v>1563</v>
      </c>
      <c r="M415" s="6" t="s">
        <v>3898</v>
      </c>
      <c r="N415" s="6" t="s">
        <v>3916</v>
      </c>
      <c r="O415" s="6" t="s">
        <v>4274</v>
      </c>
      <c r="P415" s="6" t="s">
        <v>4275</v>
      </c>
      <c r="Q415" s="6">
        <v>40574837</v>
      </c>
      <c r="R415" s="6">
        <v>0.1</v>
      </c>
      <c r="S415" s="6">
        <v>0.1</v>
      </c>
      <c r="T415" s="6">
        <v>40169088.630000003</v>
      </c>
      <c r="U415" s="6">
        <v>31988085.010000002</v>
      </c>
      <c r="V415" s="6">
        <v>0.28000000000000003</v>
      </c>
      <c r="W415" s="6">
        <v>0.17</v>
      </c>
      <c r="X415" s="6" t="s">
        <v>1564</v>
      </c>
      <c r="Y415" s="6">
        <v>28006122.280000001</v>
      </c>
      <c r="Z415" s="6">
        <v>10223440.5</v>
      </c>
      <c r="AA415" s="6">
        <v>45</v>
      </c>
      <c r="AB415" s="6">
        <v>60</v>
      </c>
      <c r="AC415" s="6" t="s">
        <v>347</v>
      </c>
      <c r="AD415" s="6" t="s">
        <v>336</v>
      </c>
      <c r="AE415" s="6">
        <v>0.31</v>
      </c>
      <c r="AF415" s="6" t="s">
        <v>155</v>
      </c>
      <c r="AG415" s="6">
        <v>0.1</v>
      </c>
      <c r="AH415" s="6">
        <v>0.03</v>
      </c>
      <c r="AI415" s="6">
        <v>13</v>
      </c>
      <c r="AJ415" s="6">
        <v>3427</v>
      </c>
      <c r="AK415" s="6">
        <v>9357020.0800000001</v>
      </c>
      <c r="AL415" s="6">
        <v>12762382.130000001</v>
      </c>
      <c r="AM415" s="6" t="s">
        <v>343</v>
      </c>
      <c r="AN415" s="6" t="s">
        <v>321</v>
      </c>
      <c r="AO415" s="6">
        <v>82.8</v>
      </c>
      <c r="AP415" s="6" t="s">
        <v>4275</v>
      </c>
      <c r="AQ415" s="6" t="s">
        <v>323</v>
      </c>
      <c r="AR415" s="6" t="s">
        <v>192</v>
      </c>
      <c r="AS415" s="6" t="s">
        <v>357</v>
      </c>
    </row>
    <row r="416" spans="1:45" x14ac:dyDescent="0.3">
      <c r="A416" s="7" t="s">
        <v>1565</v>
      </c>
      <c r="B416" s="7" t="s">
        <v>3073</v>
      </c>
      <c r="C416" s="7" t="s">
        <v>231</v>
      </c>
      <c r="D416" s="7" t="s">
        <v>255</v>
      </c>
      <c r="E416" s="7" t="s">
        <v>4265</v>
      </c>
      <c r="F416" s="7" t="s">
        <v>363</v>
      </c>
      <c r="G416" s="7" t="s">
        <v>54</v>
      </c>
      <c r="H416" s="7" t="s">
        <v>4271</v>
      </c>
      <c r="I416" s="7" t="s">
        <v>4372</v>
      </c>
      <c r="J416" s="6" t="s">
        <v>130</v>
      </c>
      <c r="K416" s="7" t="s">
        <v>210</v>
      </c>
      <c r="L416" s="7" t="s">
        <v>1566</v>
      </c>
      <c r="M416" s="7" t="s">
        <v>3309</v>
      </c>
      <c r="N416" s="7"/>
      <c r="O416" s="7" t="s">
        <v>4274</v>
      </c>
      <c r="P416" s="7">
        <v>40</v>
      </c>
      <c r="Q416" s="7">
        <v>13660171</v>
      </c>
      <c r="R416" s="7">
        <v>0.1</v>
      </c>
      <c r="S416" s="7">
        <v>0.17</v>
      </c>
      <c r="T416" s="7">
        <v>14384160.060000001</v>
      </c>
      <c r="U416" s="7">
        <v>12627377.27</v>
      </c>
      <c r="V416" s="7">
        <v>0.4</v>
      </c>
      <c r="W416" s="7">
        <v>0.1</v>
      </c>
      <c r="X416" s="7" t="s">
        <v>1567</v>
      </c>
      <c r="Y416" s="7">
        <v>12145333.5</v>
      </c>
      <c r="Z416" s="7">
        <v>6581443.6600000001</v>
      </c>
      <c r="AA416" s="7">
        <v>60</v>
      </c>
      <c r="AB416" s="7">
        <v>40</v>
      </c>
      <c r="AC416" s="7" t="s">
        <v>342</v>
      </c>
      <c r="AD416" s="7" t="s">
        <v>354</v>
      </c>
      <c r="AE416" s="7">
        <v>0.99</v>
      </c>
      <c r="AF416" s="7" t="s">
        <v>152</v>
      </c>
      <c r="AG416" s="7">
        <v>0.05</v>
      </c>
      <c r="AH416" s="7">
        <v>0.04</v>
      </c>
      <c r="AI416" s="7">
        <v>2</v>
      </c>
      <c r="AJ416" s="7">
        <v>2380</v>
      </c>
      <c r="AK416" s="7">
        <v>726106.68</v>
      </c>
      <c r="AL416" s="7">
        <v>6335269.6600000001</v>
      </c>
      <c r="AM416" s="7"/>
      <c r="AN416" s="7" t="s">
        <v>330</v>
      </c>
      <c r="AO416" s="7">
        <v>50.2</v>
      </c>
      <c r="AP416" s="7">
        <v>24</v>
      </c>
      <c r="AQ416" s="7" t="s">
        <v>4275</v>
      </c>
      <c r="AR416" s="7" t="s">
        <v>206</v>
      </c>
      <c r="AS416" s="7" t="s">
        <v>357</v>
      </c>
    </row>
    <row r="417" spans="1:45" x14ac:dyDescent="0.3">
      <c r="A417" s="6" t="s">
        <v>1568</v>
      </c>
      <c r="B417" s="6" t="s">
        <v>3917</v>
      </c>
      <c r="C417" s="6" t="s">
        <v>241</v>
      </c>
      <c r="D417" s="6" t="s">
        <v>190</v>
      </c>
      <c r="E417" s="6" t="s">
        <v>41</v>
      </c>
      <c r="F417" s="6" t="s">
        <v>350</v>
      </c>
      <c r="G417" s="6" t="s">
        <v>23</v>
      </c>
      <c r="H417" s="6" t="s">
        <v>4275</v>
      </c>
      <c r="I417" s="6" t="s">
        <v>4307</v>
      </c>
      <c r="J417" s="6" t="s">
        <v>105</v>
      </c>
      <c r="K417" s="6" t="s">
        <v>184</v>
      </c>
      <c r="L417" s="6" t="s">
        <v>1569</v>
      </c>
      <c r="M417" s="6" t="s">
        <v>3918</v>
      </c>
      <c r="N417" s="6" t="s">
        <v>3919</v>
      </c>
      <c r="O417" s="6" t="s">
        <v>4274</v>
      </c>
      <c r="P417" s="6">
        <v>55</v>
      </c>
      <c r="Q417" s="6">
        <v>33141023</v>
      </c>
      <c r="R417" s="6">
        <v>0.14000000000000001</v>
      </c>
      <c r="S417" s="6">
        <v>0.17</v>
      </c>
      <c r="T417" s="6">
        <v>33346497.34</v>
      </c>
      <c r="U417" s="6">
        <v>21680765.760000002</v>
      </c>
      <c r="V417" s="6">
        <v>0.32</v>
      </c>
      <c r="W417" s="6">
        <v>0.12</v>
      </c>
      <c r="X417" s="6" t="s">
        <v>1570</v>
      </c>
      <c r="Y417" s="6">
        <v>6982554.8700000001</v>
      </c>
      <c r="Z417" s="6">
        <v>2495551.6800000002</v>
      </c>
      <c r="AA417" s="6">
        <v>120</v>
      </c>
      <c r="AB417" s="6">
        <v>21</v>
      </c>
      <c r="AC417" s="6" t="s">
        <v>353</v>
      </c>
      <c r="AD417" s="6" t="s">
        <v>320</v>
      </c>
      <c r="AE417" s="6">
        <v>0.09</v>
      </c>
      <c r="AF417" s="6" t="s">
        <v>155</v>
      </c>
      <c r="AG417" s="6">
        <v>0.15</v>
      </c>
      <c r="AH417" s="6">
        <v>0.05</v>
      </c>
      <c r="AI417" s="6">
        <v>3</v>
      </c>
      <c r="AJ417" s="6">
        <v>542</v>
      </c>
      <c r="AK417" s="6">
        <v>4245185.0999999996</v>
      </c>
      <c r="AL417" s="6">
        <v>12735516.27</v>
      </c>
      <c r="AM417" s="6" t="s">
        <v>355</v>
      </c>
      <c r="AN417" s="6" t="s">
        <v>386</v>
      </c>
      <c r="AO417" s="6">
        <v>50.1</v>
      </c>
      <c r="AP417" s="6">
        <v>60</v>
      </c>
      <c r="AQ417" s="6" t="s">
        <v>337</v>
      </c>
      <c r="AR417" s="6" t="s">
        <v>224</v>
      </c>
      <c r="AS417" s="6" t="s">
        <v>324</v>
      </c>
    </row>
    <row r="418" spans="1:45" x14ac:dyDescent="0.3">
      <c r="A418" s="7" t="s">
        <v>1571</v>
      </c>
      <c r="B418" s="7" t="s">
        <v>4738</v>
      </c>
      <c r="C418" s="7" t="s">
        <v>252</v>
      </c>
      <c r="D418" s="7" t="s">
        <v>281</v>
      </c>
      <c r="E418" s="7" t="s">
        <v>52</v>
      </c>
      <c r="F418" s="7"/>
      <c r="G418" s="7" t="s">
        <v>57</v>
      </c>
      <c r="H418" s="7" t="s">
        <v>212</v>
      </c>
      <c r="I418" s="7" t="s">
        <v>191</v>
      </c>
      <c r="J418" s="7" t="s">
        <v>133</v>
      </c>
      <c r="K418" s="7" t="s">
        <v>184</v>
      </c>
      <c r="L418" s="7" t="s">
        <v>1572</v>
      </c>
      <c r="M418" s="7" t="s">
        <v>4938</v>
      </c>
      <c r="N418" s="7" t="s">
        <v>4632</v>
      </c>
      <c r="O418" s="7" t="s">
        <v>4939</v>
      </c>
      <c r="P418" s="7">
        <v>17</v>
      </c>
      <c r="Q418" s="7">
        <v>2255243</v>
      </c>
      <c r="R418" s="7">
        <v>0.14000000000000001</v>
      </c>
      <c r="S418" s="7">
        <v>0.1</v>
      </c>
      <c r="T418" s="7">
        <v>2133459.88</v>
      </c>
      <c r="U418" s="7"/>
      <c r="V418" s="7">
        <v>0.23</v>
      </c>
      <c r="W418" s="7">
        <v>0.19</v>
      </c>
      <c r="X418" s="7" t="s">
        <v>1573</v>
      </c>
      <c r="Y418" s="7">
        <v>1246725.4099999999</v>
      </c>
      <c r="Z418" s="7">
        <v>1102572.99</v>
      </c>
      <c r="AA418" s="7">
        <v>90</v>
      </c>
      <c r="AB418" s="7">
        <v>116</v>
      </c>
      <c r="AC418" s="7" t="s">
        <v>347</v>
      </c>
      <c r="AD418" s="7" t="s">
        <v>336</v>
      </c>
      <c r="AE418" s="7">
        <v>0.38</v>
      </c>
      <c r="AF418" s="7" t="s">
        <v>159</v>
      </c>
      <c r="AG418" s="7">
        <v>0.15</v>
      </c>
      <c r="AH418" s="7">
        <v>0.09</v>
      </c>
      <c r="AI418" s="7">
        <v>6</v>
      </c>
      <c r="AJ418" s="7">
        <v>850</v>
      </c>
      <c r="AK418" s="7">
        <v>44352.47</v>
      </c>
      <c r="AL418" s="7">
        <v>906917.42</v>
      </c>
      <c r="AM418" s="7" t="s">
        <v>391</v>
      </c>
      <c r="AN418" s="7" t="s">
        <v>330</v>
      </c>
      <c r="AO418" s="7">
        <v>63</v>
      </c>
      <c r="AP418" s="7">
        <v>60</v>
      </c>
      <c r="AQ418" s="7" t="s">
        <v>387</v>
      </c>
      <c r="AR418" s="7" t="s">
        <v>192</v>
      </c>
      <c r="AS418" s="7" t="s">
        <v>357</v>
      </c>
    </row>
    <row r="419" spans="1:45" x14ac:dyDescent="0.3">
      <c r="A419" s="6" t="s">
        <v>1574</v>
      </c>
      <c r="B419" s="6" t="s">
        <v>4940</v>
      </c>
      <c r="C419" s="6" t="s">
        <v>272</v>
      </c>
      <c r="D419" s="6" t="s">
        <v>190</v>
      </c>
      <c r="E419" s="6" t="s">
        <v>20</v>
      </c>
      <c r="F419" s="6" t="s">
        <v>196</v>
      </c>
      <c r="G419" s="6" t="s">
        <v>16</v>
      </c>
      <c r="H419" s="6" t="s">
        <v>4266</v>
      </c>
      <c r="I419" s="6" t="s">
        <v>240</v>
      </c>
      <c r="J419" s="6" t="s">
        <v>136</v>
      </c>
      <c r="K419" s="6" t="s">
        <v>199</v>
      </c>
      <c r="L419" s="6" t="s">
        <v>1575</v>
      </c>
      <c r="M419" s="6" t="s">
        <v>3419</v>
      </c>
      <c r="N419" s="6"/>
      <c r="O419" s="6" t="s">
        <v>3650</v>
      </c>
      <c r="P419" s="6">
        <v>25</v>
      </c>
      <c r="Q419" s="6">
        <v>27556514</v>
      </c>
      <c r="R419" s="6">
        <v>7.0000000000000007E-2</v>
      </c>
      <c r="S419" s="6">
        <v>0.08</v>
      </c>
      <c r="T419" s="6">
        <v>27677762.66</v>
      </c>
      <c r="U419" s="6">
        <v>23465561.510000002</v>
      </c>
      <c r="V419" s="6">
        <v>0.16</v>
      </c>
      <c r="W419" s="6">
        <v>0.1</v>
      </c>
      <c r="X419" s="6" t="s">
        <v>1576</v>
      </c>
      <c r="Y419" s="6">
        <v>4002829.28</v>
      </c>
      <c r="Z419" s="6" t="s">
        <v>4357</v>
      </c>
      <c r="AA419" s="6">
        <v>45</v>
      </c>
      <c r="AB419" s="6">
        <v>36</v>
      </c>
      <c r="AC419" s="6" t="s">
        <v>376</v>
      </c>
      <c r="AD419" s="6" t="s">
        <v>455</v>
      </c>
      <c r="AE419" s="6">
        <v>0.27</v>
      </c>
      <c r="AF419" s="6" t="s">
        <v>4294</v>
      </c>
      <c r="AG419" s="6">
        <v>0.15</v>
      </c>
      <c r="AH419" s="6">
        <v>0.02</v>
      </c>
      <c r="AI419" s="6">
        <v>5</v>
      </c>
      <c r="AJ419" s="6">
        <v>72</v>
      </c>
      <c r="AK419" s="6">
        <v>3333414.26</v>
      </c>
      <c r="AL419" s="6">
        <v>10519862.17</v>
      </c>
      <c r="AM419" s="6" t="s">
        <v>73</v>
      </c>
      <c r="AN419" s="6"/>
      <c r="AO419" s="6">
        <v>96.4</v>
      </c>
      <c r="AP419" s="6">
        <v>48</v>
      </c>
      <c r="AQ419" s="6" t="s">
        <v>387</v>
      </c>
      <c r="AR419" s="6" t="s">
        <v>224</v>
      </c>
      <c r="AS419" s="6" t="s">
        <v>324</v>
      </c>
    </row>
    <row r="420" spans="1:45" x14ac:dyDescent="0.3">
      <c r="A420" s="7" t="s">
        <v>1577</v>
      </c>
      <c r="B420" s="7" t="s">
        <v>4907</v>
      </c>
      <c r="C420" s="7" t="s">
        <v>241</v>
      </c>
      <c r="D420" s="7" t="s">
        <v>242</v>
      </c>
      <c r="E420" s="7"/>
      <c r="F420" s="7" t="s">
        <v>339</v>
      </c>
      <c r="G420" s="7" t="s">
        <v>73</v>
      </c>
      <c r="H420" s="7" t="s">
        <v>263</v>
      </c>
      <c r="I420" s="7" t="s">
        <v>4372</v>
      </c>
      <c r="J420" s="7" t="s">
        <v>130</v>
      </c>
      <c r="K420" s="7" t="s">
        <v>221</v>
      </c>
      <c r="L420" s="7" t="s">
        <v>1578</v>
      </c>
      <c r="M420" s="7" t="s">
        <v>3651</v>
      </c>
      <c r="N420" s="7"/>
      <c r="O420" s="7" t="s">
        <v>4941</v>
      </c>
      <c r="P420" s="7">
        <v>17</v>
      </c>
      <c r="Q420" s="7">
        <v>1353844</v>
      </c>
      <c r="R420" s="7">
        <v>0.3</v>
      </c>
      <c r="S420" s="7">
        <v>-0.04</v>
      </c>
      <c r="T420" s="7">
        <v>909783.17</v>
      </c>
      <c r="U420" s="7">
        <v>705586.75</v>
      </c>
      <c r="V420" s="7">
        <v>0.1</v>
      </c>
      <c r="W420" s="7">
        <v>0.08</v>
      </c>
      <c r="X420" s="7" t="s">
        <v>1579</v>
      </c>
      <c r="Y420" s="7">
        <v>277562.7</v>
      </c>
      <c r="Z420" s="7">
        <v>221397.26</v>
      </c>
      <c r="AA420" s="7">
        <v>60</v>
      </c>
      <c r="AB420" s="7">
        <v>63</v>
      </c>
      <c r="AC420" s="7" t="s">
        <v>353</v>
      </c>
      <c r="AD420" s="7" t="s">
        <v>320</v>
      </c>
      <c r="AE420" s="7">
        <v>0.33</v>
      </c>
      <c r="AF420" s="7" t="s">
        <v>155</v>
      </c>
      <c r="AG420" s="7">
        <v>0.15</v>
      </c>
      <c r="AH420" s="7">
        <v>0.04</v>
      </c>
      <c r="AI420" s="7">
        <v>4</v>
      </c>
      <c r="AJ420" s="7">
        <v>3307</v>
      </c>
      <c r="AK420" s="7">
        <v>21070.93</v>
      </c>
      <c r="AL420" s="7">
        <v>292058.45</v>
      </c>
      <c r="AM420" s="7" t="s">
        <v>343</v>
      </c>
      <c r="AN420" s="7" t="s">
        <v>356</v>
      </c>
      <c r="AO420" s="7">
        <v>95.2</v>
      </c>
      <c r="AP420" s="7">
        <v>48</v>
      </c>
      <c r="AQ420" s="7"/>
      <c r="AR420" s="7" t="s">
        <v>186</v>
      </c>
      <c r="AS420" s="7"/>
    </row>
    <row r="421" spans="1:45" x14ac:dyDescent="0.3">
      <c r="A421" s="6" t="s">
        <v>1580</v>
      </c>
      <c r="B421" s="6" t="s">
        <v>3480</v>
      </c>
      <c r="C421" s="6" t="s">
        <v>260</v>
      </c>
      <c r="D421" s="6" t="s">
        <v>248</v>
      </c>
      <c r="E421" s="6" t="s">
        <v>20</v>
      </c>
      <c r="F421" s="6" t="s">
        <v>196</v>
      </c>
      <c r="G421" s="6" t="s">
        <v>57</v>
      </c>
      <c r="H421" s="6" t="s">
        <v>4280</v>
      </c>
      <c r="I421" s="6" t="s">
        <v>198</v>
      </c>
      <c r="J421" s="6" t="s">
        <v>136</v>
      </c>
      <c r="K421" s="6" t="s">
        <v>326</v>
      </c>
      <c r="L421" s="6" t="s">
        <v>1581</v>
      </c>
      <c r="M421" s="6" t="s">
        <v>3866</v>
      </c>
      <c r="N421" s="6" t="s">
        <v>4942</v>
      </c>
      <c r="O421" s="6" t="s">
        <v>3504</v>
      </c>
      <c r="P421" s="6">
        <v>60</v>
      </c>
      <c r="Q421" s="6">
        <v>38848837</v>
      </c>
      <c r="R421" s="6">
        <v>0.31</v>
      </c>
      <c r="S421" s="6">
        <v>-0.05</v>
      </c>
      <c r="T421" s="6">
        <v>25465412.649999999</v>
      </c>
      <c r="U421" s="6">
        <v>16348897.4</v>
      </c>
      <c r="V421" s="6">
        <v>0.06</v>
      </c>
      <c r="W421" s="6">
        <v>0.09</v>
      </c>
      <c r="X421" s="6" t="s">
        <v>1582</v>
      </c>
      <c r="Y421" s="6">
        <v>10344982.189999999</v>
      </c>
      <c r="Z421" s="6">
        <v>11087742</v>
      </c>
      <c r="AA421" s="6">
        <v>120</v>
      </c>
      <c r="AB421" s="6">
        <v>164</v>
      </c>
      <c r="AC421" s="6" t="s">
        <v>376</v>
      </c>
      <c r="AD421" s="6" t="s">
        <v>406</v>
      </c>
      <c r="AE421" s="6">
        <v>0.1</v>
      </c>
      <c r="AF421" s="6" t="s">
        <v>4303</v>
      </c>
      <c r="AG421" s="6">
        <v>0.1</v>
      </c>
      <c r="AH421" s="6">
        <v>0.04</v>
      </c>
      <c r="AI421" s="6">
        <v>4</v>
      </c>
      <c r="AJ421" s="6">
        <v>2432</v>
      </c>
      <c r="AK421" s="6">
        <v>3202564.82</v>
      </c>
      <c r="AL421" s="6">
        <v>11303396.58</v>
      </c>
      <c r="AM421" s="6" t="s">
        <v>73</v>
      </c>
      <c r="AN421" s="6" t="s">
        <v>330</v>
      </c>
      <c r="AO421" s="6">
        <v>80.8</v>
      </c>
      <c r="AP421" s="6">
        <v>12</v>
      </c>
      <c r="AQ421" s="6" t="s">
        <v>392</v>
      </c>
      <c r="AR421" s="6" t="s">
        <v>224</v>
      </c>
      <c r="AS421" s="6" t="s">
        <v>188</v>
      </c>
    </row>
    <row r="422" spans="1:45" x14ac:dyDescent="0.3">
      <c r="A422" s="7" t="s">
        <v>1583</v>
      </c>
      <c r="B422" s="7" t="s">
        <v>4943</v>
      </c>
      <c r="C422" s="7" t="s">
        <v>252</v>
      </c>
      <c r="D422" s="7" t="s">
        <v>265</v>
      </c>
      <c r="E422" s="7" t="s">
        <v>41</v>
      </c>
      <c r="F422" s="7" t="s">
        <v>363</v>
      </c>
      <c r="G422" s="7" t="s">
        <v>57</v>
      </c>
      <c r="H422" s="7" t="s">
        <v>197</v>
      </c>
      <c r="I422" s="7" t="s">
        <v>213</v>
      </c>
      <c r="J422" s="6" t="s">
        <v>105</v>
      </c>
      <c r="K422" s="7" t="s">
        <v>223</v>
      </c>
      <c r="L422" s="7" t="s">
        <v>1584</v>
      </c>
      <c r="M422" s="7" t="s">
        <v>4393</v>
      </c>
      <c r="N422" s="7"/>
      <c r="O422" s="7" t="s">
        <v>3921</v>
      </c>
      <c r="P422" s="7">
        <v>24</v>
      </c>
      <c r="Q422" s="7">
        <v>20432083</v>
      </c>
      <c r="R422" s="7" t="s">
        <v>3273</v>
      </c>
      <c r="S422" s="7">
        <v>0.14000000000000001</v>
      </c>
      <c r="T422" s="7">
        <v>19099911.190000001</v>
      </c>
      <c r="U422" s="7">
        <v>13128037.41</v>
      </c>
      <c r="V422" s="7">
        <v>0.13</v>
      </c>
      <c r="W422" s="7">
        <v>0.06</v>
      </c>
      <c r="X422" s="7" t="s">
        <v>1585</v>
      </c>
      <c r="Y422" s="7">
        <v>5401849.5700000003</v>
      </c>
      <c r="Z422" s="7">
        <v>3584102.13</v>
      </c>
      <c r="AA422" s="7">
        <v>45</v>
      </c>
      <c r="AB422" s="7">
        <v>79</v>
      </c>
      <c r="AC422" s="7" t="s">
        <v>376</v>
      </c>
      <c r="AD422" s="7" t="s">
        <v>336</v>
      </c>
      <c r="AE422" s="7">
        <v>0.15</v>
      </c>
      <c r="AF422" s="7" t="s">
        <v>4294</v>
      </c>
      <c r="AG422" s="7">
        <v>0.1</v>
      </c>
      <c r="AH422" s="7">
        <v>0.04</v>
      </c>
      <c r="AI422" s="7">
        <v>12</v>
      </c>
      <c r="AJ422" s="7"/>
      <c r="AK422" s="7"/>
      <c r="AL422" s="7">
        <v>6532940.2400000002</v>
      </c>
      <c r="AM422" s="7" t="s">
        <v>343</v>
      </c>
      <c r="AN422" s="7" t="s">
        <v>356</v>
      </c>
      <c r="AO422" s="7">
        <v>90.5</v>
      </c>
      <c r="AP422" s="7">
        <v>60</v>
      </c>
      <c r="AQ422" s="7" t="s">
        <v>323</v>
      </c>
      <c r="AR422" s="7" t="s">
        <v>206</v>
      </c>
      <c r="AS422" s="7" t="s">
        <v>377</v>
      </c>
    </row>
    <row r="423" spans="1:45" x14ac:dyDescent="0.3">
      <c r="A423" s="6" t="s">
        <v>1586</v>
      </c>
      <c r="B423" s="6" t="s">
        <v>3360</v>
      </c>
      <c r="C423" s="6" t="s">
        <v>284</v>
      </c>
      <c r="D423" s="6" t="s">
        <v>190</v>
      </c>
      <c r="E423" s="6" t="s">
        <v>113</v>
      </c>
      <c r="F423" s="6" t="s">
        <v>367</v>
      </c>
      <c r="G423" s="6" t="s">
        <v>54</v>
      </c>
      <c r="H423" s="6" t="s">
        <v>212</v>
      </c>
      <c r="I423" s="6"/>
      <c r="J423" s="6" t="s">
        <v>111</v>
      </c>
      <c r="K423" s="6" t="s">
        <v>199</v>
      </c>
      <c r="L423" s="6" t="s">
        <v>1587</v>
      </c>
      <c r="M423" s="6" t="s">
        <v>4944</v>
      </c>
      <c r="N423" s="6"/>
      <c r="O423" s="6" t="s">
        <v>4274</v>
      </c>
      <c r="P423" s="6">
        <v>45</v>
      </c>
      <c r="Q423" s="6">
        <v>8992735</v>
      </c>
      <c r="R423" s="6">
        <v>0.02</v>
      </c>
      <c r="S423" s="6">
        <v>-0.03</v>
      </c>
      <c r="T423" s="6">
        <v>8548493.8900000006</v>
      </c>
      <c r="U423" s="6">
        <v>5401561.3899999997</v>
      </c>
      <c r="V423" s="6">
        <v>0.14000000000000001</v>
      </c>
      <c r="W423" s="6">
        <v>0.11</v>
      </c>
      <c r="X423" s="6" t="s">
        <v>1588</v>
      </c>
      <c r="Y423" s="6">
        <v>3799028.63</v>
      </c>
      <c r="Z423" s="6">
        <v>3958925.75</v>
      </c>
      <c r="AA423" s="6">
        <v>45</v>
      </c>
      <c r="AB423" s="6">
        <v>31</v>
      </c>
      <c r="AC423" s="6" t="s">
        <v>342</v>
      </c>
      <c r="AD423" s="6" t="s">
        <v>455</v>
      </c>
      <c r="AE423" s="6">
        <v>0.39</v>
      </c>
      <c r="AF423" s="6" t="s">
        <v>153</v>
      </c>
      <c r="AG423" s="6">
        <v>0.05</v>
      </c>
      <c r="AH423" s="6">
        <v>0.06</v>
      </c>
      <c r="AI423" s="6">
        <v>12</v>
      </c>
      <c r="AJ423" s="6">
        <v>187</v>
      </c>
      <c r="AK423" s="6">
        <v>1314813.6299999999</v>
      </c>
      <c r="AL423" s="6">
        <v>1194908.54</v>
      </c>
      <c r="AM423" s="6" t="s">
        <v>321</v>
      </c>
      <c r="AN423" s="6" t="s">
        <v>322</v>
      </c>
      <c r="AO423" s="6">
        <v>74.400000000000006</v>
      </c>
      <c r="AP423" s="6">
        <v>36</v>
      </c>
      <c r="AQ423" s="6" t="s">
        <v>337</v>
      </c>
      <c r="AR423" s="6" t="s">
        <v>206</v>
      </c>
      <c r="AS423" s="6" t="s">
        <v>188</v>
      </c>
    </row>
    <row r="424" spans="1:45" x14ac:dyDescent="0.3">
      <c r="A424" s="7" t="s">
        <v>1589</v>
      </c>
      <c r="B424" s="7" t="s">
        <v>3586</v>
      </c>
      <c r="C424" s="7" t="s">
        <v>260</v>
      </c>
      <c r="D424" s="7" t="s">
        <v>242</v>
      </c>
      <c r="E424" s="7" t="s">
        <v>52</v>
      </c>
      <c r="F424" s="7" t="s">
        <v>75</v>
      </c>
      <c r="G424" s="7" t="s">
        <v>33</v>
      </c>
      <c r="H424" s="7" t="s">
        <v>236</v>
      </c>
      <c r="I424" s="7" t="s">
        <v>4272</v>
      </c>
      <c r="J424" s="7" t="s">
        <v>133</v>
      </c>
      <c r="K424" s="7" t="s">
        <v>199</v>
      </c>
      <c r="L424" s="7" t="s">
        <v>1590</v>
      </c>
      <c r="M424" s="7" t="s">
        <v>4945</v>
      </c>
      <c r="N424" s="7"/>
      <c r="O424" s="7" t="s">
        <v>4946</v>
      </c>
      <c r="P424" s="7">
        <v>25</v>
      </c>
      <c r="Q424" s="7">
        <v>24927349</v>
      </c>
      <c r="R424" s="7">
        <v>0.13</v>
      </c>
      <c r="S424" s="7">
        <v>0.1</v>
      </c>
      <c r="T424" s="7">
        <v>23855472.989999998</v>
      </c>
      <c r="U424" s="7">
        <v>18709457.18</v>
      </c>
      <c r="V424" s="7">
        <v>0.37</v>
      </c>
      <c r="W424" s="7">
        <v>0.15</v>
      </c>
      <c r="X424" s="7" t="s">
        <v>1591</v>
      </c>
      <c r="Y424" s="7">
        <v>1242601.98</v>
      </c>
      <c r="Z424" s="7">
        <v>819617.34</v>
      </c>
      <c r="AA424" s="7">
        <v>120</v>
      </c>
      <c r="AB424" s="7">
        <v>37</v>
      </c>
      <c r="AC424" s="7" t="s">
        <v>376</v>
      </c>
      <c r="AD424" s="7" t="s">
        <v>354</v>
      </c>
      <c r="AE424" s="7">
        <v>0.26</v>
      </c>
      <c r="AF424" s="7" t="s">
        <v>162</v>
      </c>
      <c r="AG424" s="7">
        <v>0.1</v>
      </c>
      <c r="AH424" s="7">
        <v>0.08</v>
      </c>
      <c r="AI424" s="7">
        <v>11</v>
      </c>
      <c r="AJ424" s="7">
        <v>3867</v>
      </c>
      <c r="AK424" s="7">
        <v>4645212.25</v>
      </c>
      <c r="AL424" s="7"/>
      <c r="AM424" s="7" t="s">
        <v>321</v>
      </c>
      <c r="AN424" s="7" t="s">
        <v>330</v>
      </c>
      <c r="AO424" s="7">
        <v>71</v>
      </c>
      <c r="AP424" s="7" t="s">
        <v>4275</v>
      </c>
      <c r="AQ424" s="7"/>
      <c r="AR424" s="7" t="s">
        <v>206</v>
      </c>
      <c r="AS424" s="7" t="s">
        <v>188</v>
      </c>
    </row>
    <row r="425" spans="1:45" x14ac:dyDescent="0.3">
      <c r="A425" s="6" t="s">
        <v>1592</v>
      </c>
      <c r="B425" s="6" t="s">
        <v>4947</v>
      </c>
      <c r="C425" s="6" t="s">
        <v>278</v>
      </c>
      <c r="D425" s="6" t="s">
        <v>220</v>
      </c>
      <c r="E425" s="6" t="s">
        <v>4265</v>
      </c>
      <c r="F425" s="6" t="s">
        <v>228</v>
      </c>
      <c r="G425" s="6" t="s">
        <v>78</v>
      </c>
      <c r="H425" s="6" t="s">
        <v>4340</v>
      </c>
      <c r="I425" s="6" t="s">
        <v>4372</v>
      </c>
      <c r="J425" s="6" t="s">
        <v>105</v>
      </c>
      <c r="K425" s="6" t="s">
        <v>199</v>
      </c>
      <c r="L425" s="6" t="s">
        <v>1593</v>
      </c>
      <c r="M425" s="6" t="s">
        <v>4948</v>
      </c>
      <c r="N425" s="6" t="s">
        <v>1594</v>
      </c>
      <c r="O425" s="6" t="s">
        <v>4274</v>
      </c>
      <c r="P425" s="6">
        <v>12</v>
      </c>
      <c r="Q425" s="6">
        <v>27498507</v>
      </c>
      <c r="R425" s="6">
        <v>0.24</v>
      </c>
      <c r="S425" s="6">
        <v>0.15</v>
      </c>
      <c r="T425" s="6">
        <v>24033695.120000001</v>
      </c>
      <c r="U425" s="6">
        <v>15808632.550000001</v>
      </c>
      <c r="V425" s="6" t="s">
        <v>4374</v>
      </c>
      <c r="W425" s="6">
        <v>0.19</v>
      </c>
      <c r="X425" s="6" t="s">
        <v>1595</v>
      </c>
      <c r="Y425" s="6">
        <v>13968514.380000001</v>
      </c>
      <c r="Z425" s="6">
        <v>5932480.1600000001</v>
      </c>
      <c r="AA425" s="6">
        <v>45</v>
      </c>
      <c r="AB425" s="6">
        <v>18</v>
      </c>
      <c r="AC425" s="6" t="s">
        <v>353</v>
      </c>
      <c r="AD425" s="6" t="s">
        <v>354</v>
      </c>
      <c r="AE425" s="6">
        <v>0.68</v>
      </c>
      <c r="AF425" s="6" t="s">
        <v>4303</v>
      </c>
      <c r="AG425" s="6">
        <v>0.1</v>
      </c>
      <c r="AH425" s="6">
        <v>0.05</v>
      </c>
      <c r="AI425" s="6">
        <v>14</v>
      </c>
      <c r="AJ425" s="6">
        <v>1226</v>
      </c>
      <c r="AK425" s="6">
        <v>4366897.71</v>
      </c>
      <c r="AL425" s="6"/>
      <c r="AM425" s="6"/>
      <c r="AN425" s="6" t="s">
        <v>322</v>
      </c>
      <c r="AO425" s="6">
        <v>66.8</v>
      </c>
      <c r="AP425" s="6">
        <v>48</v>
      </c>
      <c r="AQ425" s="6" t="s">
        <v>4275</v>
      </c>
      <c r="AR425" s="6" t="s">
        <v>206</v>
      </c>
      <c r="AS425" s="6"/>
    </row>
    <row r="426" spans="1:45" x14ac:dyDescent="0.3">
      <c r="A426" s="7" t="s">
        <v>1596</v>
      </c>
      <c r="B426" s="7" t="s">
        <v>4949</v>
      </c>
      <c r="C426" s="7" t="s">
        <v>252</v>
      </c>
      <c r="D426" s="7" t="s">
        <v>265</v>
      </c>
      <c r="E426" s="7" t="s">
        <v>4306</v>
      </c>
      <c r="F426" s="7" t="s">
        <v>75</v>
      </c>
      <c r="G426" s="7" t="s">
        <v>46</v>
      </c>
      <c r="H426" s="7" t="s">
        <v>216</v>
      </c>
      <c r="I426" s="7" t="s">
        <v>4291</v>
      </c>
      <c r="J426" s="7" t="s">
        <v>119</v>
      </c>
      <c r="K426" s="7" t="s">
        <v>221</v>
      </c>
      <c r="L426" s="7" t="s">
        <v>1597</v>
      </c>
      <c r="M426" s="7" t="s">
        <v>3423</v>
      </c>
      <c r="N426" s="7" t="s">
        <v>3892</v>
      </c>
      <c r="O426" s="7" t="s">
        <v>4950</v>
      </c>
      <c r="P426" s="7">
        <v>54</v>
      </c>
      <c r="Q426" s="7">
        <v>8710071</v>
      </c>
      <c r="R426" s="7">
        <v>0.34</v>
      </c>
      <c r="S426" s="7">
        <v>0.14000000000000001</v>
      </c>
      <c r="T426" s="7">
        <v>6553457.4199999999</v>
      </c>
      <c r="U426" s="7">
        <v>4893484.25</v>
      </c>
      <c r="V426" s="7">
        <v>0.28999999999999998</v>
      </c>
      <c r="W426" s="7">
        <v>0.1</v>
      </c>
      <c r="X426" s="7"/>
      <c r="Y426" s="7">
        <v>3309933.37</v>
      </c>
      <c r="Z426" s="7">
        <v>1675765.51</v>
      </c>
      <c r="AA426" s="7">
        <v>90</v>
      </c>
      <c r="AB426" s="7">
        <v>169</v>
      </c>
      <c r="AC426" s="7" t="s">
        <v>347</v>
      </c>
      <c r="AD426" s="7" t="s">
        <v>406</v>
      </c>
      <c r="AE426" s="7">
        <v>0.56999999999999995</v>
      </c>
      <c r="AF426" s="7" t="s">
        <v>159</v>
      </c>
      <c r="AG426" s="7">
        <v>0.15</v>
      </c>
      <c r="AH426" s="7">
        <v>0.05</v>
      </c>
      <c r="AI426" s="7">
        <v>10</v>
      </c>
      <c r="AJ426" s="7">
        <v>2414</v>
      </c>
      <c r="AK426" s="7">
        <v>371848.6</v>
      </c>
      <c r="AL426" s="7">
        <v>2758139.4</v>
      </c>
      <c r="AM426" s="7" t="s">
        <v>73</v>
      </c>
      <c r="AN426" s="7"/>
      <c r="AO426" s="7">
        <v>73.5</v>
      </c>
      <c r="AP426" s="7">
        <v>36</v>
      </c>
      <c r="AQ426" s="7" t="s">
        <v>387</v>
      </c>
      <c r="AR426" s="7" t="s">
        <v>192</v>
      </c>
      <c r="AS426" s="7" t="s">
        <v>188</v>
      </c>
    </row>
    <row r="427" spans="1:45" x14ac:dyDescent="0.3">
      <c r="A427" s="6" t="s">
        <v>1598</v>
      </c>
      <c r="B427" s="6" t="s">
        <v>3922</v>
      </c>
      <c r="C427" s="6" t="s">
        <v>279</v>
      </c>
      <c r="D427" s="6" t="s">
        <v>215</v>
      </c>
      <c r="E427" s="6"/>
      <c r="F427" s="6"/>
      <c r="G427" s="6" t="s">
        <v>54</v>
      </c>
      <c r="H427" s="6" t="s">
        <v>4280</v>
      </c>
      <c r="I427" s="6" t="s">
        <v>4272</v>
      </c>
      <c r="J427" s="6" t="s">
        <v>130</v>
      </c>
      <c r="K427" s="6" t="s">
        <v>204</v>
      </c>
      <c r="L427" s="6" t="s">
        <v>1599</v>
      </c>
      <c r="M427" s="6" t="s">
        <v>3612</v>
      </c>
      <c r="N427" s="6" t="s">
        <v>3443</v>
      </c>
      <c r="O427" s="6" t="s">
        <v>4951</v>
      </c>
      <c r="P427" s="6">
        <v>14</v>
      </c>
      <c r="Q427" s="6">
        <v>39028817</v>
      </c>
      <c r="R427" s="6">
        <v>0.05</v>
      </c>
      <c r="S427" s="6">
        <v>0.09</v>
      </c>
      <c r="T427" s="6">
        <v>40414340</v>
      </c>
      <c r="U427" s="6">
        <v>26623555.879999999</v>
      </c>
      <c r="V427" s="6">
        <v>0.21</v>
      </c>
      <c r="W427" s="6">
        <v>0.2</v>
      </c>
      <c r="X427" s="6" t="s">
        <v>1600</v>
      </c>
      <c r="Y427" s="6">
        <v>13253574.99</v>
      </c>
      <c r="Z427" s="6">
        <v>9636217.1699999999</v>
      </c>
      <c r="AA427" s="6">
        <v>60</v>
      </c>
      <c r="AB427" s="6">
        <v>29</v>
      </c>
      <c r="AC427" s="6"/>
      <c r="AD427" s="6" t="s">
        <v>381</v>
      </c>
      <c r="AE427" s="6">
        <v>0.18</v>
      </c>
      <c r="AF427" s="6" t="s">
        <v>4294</v>
      </c>
      <c r="AG427" s="6">
        <v>0.15</v>
      </c>
      <c r="AH427" s="6">
        <v>0.01</v>
      </c>
      <c r="AI427" s="6">
        <v>13</v>
      </c>
      <c r="AJ427" s="6">
        <v>4046</v>
      </c>
      <c r="AK427" s="6">
        <v>5117968.6500000004</v>
      </c>
      <c r="AL427" s="6">
        <v>10080634.630000001</v>
      </c>
      <c r="AM427" s="6" t="s">
        <v>355</v>
      </c>
      <c r="AN427" s="6" t="s">
        <v>356</v>
      </c>
      <c r="AO427" s="6">
        <v>85</v>
      </c>
      <c r="AP427" s="6">
        <v>36</v>
      </c>
      <c r="AQ427" s="6" t="s">
        <v>323</v>
      </c>
      <c r="AR427" s="6" t="s">
        <v>206</v>
      </c>
      <c r="AS427" s="6" t="s">
        <v>357</v>
      </c>
    </row>
    <row r="428" spans="1:45" x14ac:dyDescent="0.3">
      <c r="A428" s="7" t="s">
        <v>1601</v>
      </c>
      <c r="B428" s="7" t="s">
        <v>4669</v>
      </c>
      <c r="C428" s="7" t="s">
        <v>254</v>
      </c>
      <c r="D428" s="7" t="s">
        <v>202</v>
      </c>
      <c r="E428" s="7" t="s">
        <v>4270</v>
      </c>
      <c r="F428" s="7" t="s">
        <v>181</v>
      </c>
      <c r="G428" s="7" t="s">
        <v>62</v>
      </c>
      <c r="H428" s="7"/>
      <c r="I428" s="7" t="s">
        <v>4272</v>
      </c>
      <c r="J428" s="7" t="s">
        <v>123</v>
      </c>
      <c r="K428" s="7" t="s">
        <v>204</v>
      </c>
      <c r="L428" s="7" t="s">
        <v>1602</v>
      </c>
      <c r="M428" s="7" t="s">
        <v>3923</v>
      </c>
      <c r="N428" s="7"/>
      <c r="O428" s="7" t="s">
        <v>4274</v>
      </c>
      <c r="P428" s="7">
        <v>59</v>
      </c>
      <c r="Q428" s="7">
        <v>9189525</v>
      </c>
      <c r="R428" s="7">
        <v>0.04</v>
      </c>
      <c r="S428" s="7">
        <v>0.06</v>
      </c>
      <c r="T428" s="7">
        <v>9351260.6400000006</v>
      </c>
      <c r="U428" s="7">
        <v>6035907.7599999998</v>
      </c>
      <c r="V428" s="7">
        <v>0.34</v>
      </c>
      <c r="W428" s="7">
        <v>0.18</v>
      </c>
      <c r="X428" s="7" t="s">
        <v>1603</v>
      </c>
      <c r="Y428" s="7">
        <v>5877633.4299999997</v>
      </c>
      <c r="Z428" s="7">
        <v>6215405.6100000003</v>
      </c>
      <c r="AA428" s="7">
        <v>45</v>
      </c>
      <c r="AB428" s="7">
        <v>63</v>
      </c>
      <c r="AC428" s="7" t="s">
        <v>347</v>
      </c>
      <c r="AD428" s="7" t="s">
        <v>320</v>
      </c>
      <c r="AE428" s="7">
        <v>0.23</v>
      </c>
      <c r="AF428" s="7" t="s">
        <v>155</v>
      </c>
      <c r="AG428" s="7">
        <v>0.15</v>
      </c>
      <c r="AH428" s="7">
        <v>0.08</v>
      </c>
      <c r="AI428" s="7">
        <v>4</v>
      </c>
      <c r="AJ428" s="7">
        <v>4459</v>
      </c>
      <c r="AK428" s="7">
        <v>2322439.71</v>
      </c>
      <c r="AL428" s="7">
        <v>4111245.43</v>
      </c>
      <c r="AM428" s="7" t="s">
        <v>391</v>
      </c>
      <c r="AN428" s="7" t="s">
        <v>356</v>
      </c>
      <c r="AO428" s="7">
        <v>64.599999999999994</v>
      </c>
      <c r="AP428" s="7">
        <v>48</v>
      </c>
      <c r="AQ428" s="7" t="s">
        <v>392</v>
      </c>
      <c r="AR428" s="7" t="s">
        <v>229</v>
      </c>
      <c r="AS428" s="7" t="s">
        <v>188</v>
      </c>
    </row>
    <row r="429" spans="1:45" x14ac:dyDescent="0.3">
      <c r="A429" s="6" t="s">
        <v>1604</v>
      </c>
      <c r="B429" s="6" t="s">
        <v>4952</v>
      </c>
      <c r="C429" s="6" t="s">
        <v>273</v>
      </c>
      <c r="D429" s="6" t="s">
        <v>180</v>
      </c>
      <c r="E429" s="6" t="s">
        <v>4270</v>
      </c>
      <c r="F429" s="6" t="s">
        <v>367</v>
      </c>
      <c r="G429" s="6" t="s">
        <v>57</v>
      </c>
      <c r="H429" s="6" t="s">
        <v>197</v>
      </c>
      <c r="I429" s="6" t="s">
        <v>233</v>
      </c>
      <c r="J429" s="6" t="s">
        <v>127</v>
      </c>
      <c r="K429" s="6" t="s">
        <v>184</v>
      </c>
      <c r="L429" s="6" t="s">
        <v>1605</v>
      </c>
      <c r="M429" s="6" t="s">
        <v>3924</v>
      </c>
      <c r="N429" s="6" t="s">
        <v>3925</v>
      </c>
      <c r="O429" s="6" t="s">
        <v>4274</v>
      </c>
      <c r="P429" s="6">
        <v>60</v>
      </c>
      <c r="Q429" s="6">
        <v>48772164</v>
      </c>
      <c r="R429" s="6">
        <v>0.26</v>
      </c>
      <c r="S429" s="6">
        <v>-0.03</v>
      </c>
      <c r="T429" s="6">
        <v>35008659.32</v>
      </c>
      <c r="U429" s="6">
        <v>28261683.190000001</v>
      </c>
      <c r="V429" s="6">
        <v>7.0000000000000007E-2</v>
      </c>
      <c r="W429" s="6">
        <v>0.18</v>
      </c>
      <c r="X429" s="6" t="s">
        <v>1606</v>
      </c>
      <c r="Y429" s="6">
        <v>7905608.9100000001</v>
      </c>
      <c r="Z429" s="6">
        <v>2426876.88</v>
      </c>
      <c r="AA429" s="6">
        <v>60</v>
      </c>
      <c r="AB429" s="6">
        <v>164</v>
      </c>
      <c r="AC429" s="6" t="s">
        <v>329</v>
      </c>
      <c r="AD429" s="6" t="s">
        <v>455</v>
      </c>
      <c r="AE429" s="6">
        <v>0.69</v>
      </c>
      <c r="AF429" s="6" t="s">
        <v>155</v>
      </c>
      <c r="AG429" s="6">
        <v>0.15</v>
      </c>
      <c r="AH429" s="6">
        <v>0.09</v>
      </c>
      <c r="AI429" s="6">
        <v>13</v>
      </c>
      <c r="AJ429" s="6">
        <v>302</v>
      </c>
      <c r="AK429" s="6">
        <v>5837805.8300000001</v>
      </c>
      <c r="AL429" s="6"/>
      <c r="AM429" s="6"/>
      <c r="AN429" s="6" t="s">
        <v>322</v>
      </c>
      <c r="AO429" s="6">
        <v>86.7</v>
      </c>
      <c r="AP429" s="6" t="s">
        <v>4275</v>
      </c>
      <c r="AQ429" s="6" t="s">
        <v>387</v>
      </c>
      <c r="AR429" s="6" t="s">
        <v>224</v>
      </c>
      <c r="AS429" s="6" t="s">
        <v>324</v>
      </c>
    </row>
    <row r="430" spans="1:45" x14ac:dyDescent="0.3">
      <c r="A430" s="7" t="s">
        <v>1607</v>
      </c>
      <c r="B430" s="7" t="s">
        <v>4953</v>
      </c>
      <c r="C430" s="7" t="s">
        <v>258</v>
      </c>
      <c r="D430" s="7" t="s">
        <v>202</v>
      </c>
      <c r="E430" s="7" t="s">
        <v>113</v>
      </c>
      <c r="F430" s="7" t="s">
        <v>367</v>
      </c>
      <c r="G430" s="7" t="s">
        <v>16</v>
      </c>
      <c r="H430" s="7" t="s">
        <v>263</v>
      </c>
      <c r="I430" s="7" t="s">
        <v>233</v>
      </c>
      <c r="J430" s="7" t="s">
        <v>111</v>
      </c>
      <c r="K430" s="7" t="s">
        <v>333</v>
      </c>
      <c r="L430" s="7" t="s">
        <v>1608</v>
      </c>
      <c r="M430" s="7" t="s">
        <v>3926</v>
      </c>
      <c r="N430" s="7" t="s">
        <v>4954</v>
      </c>
      <c r="O430" s="7" t="s">
        <v>3883</v>
      </c>
      <c r="P430" s="7" t="s">
        <v>4275</v>
      </c>
      <c r="Q430" s="7">
        <v>13013241</v>
      </c>
      <c r="R430" s="7">
        <v>0.19</v>
      </c>
      <c r="S430" s="7">
        <v>0.11</v>
      </c>
      <c r="T430" s="7">
        <v>11700204.98</v>
      </c>
      <c r="U430" s="7">
        <v>10276909</v>
      </c>
      <c r="V430" s="7">
        <v>0.33</v>
      </c>
      <c r="W430" s="7">
        <v>0.2</v>
      </c>
      <c r="X430" s="7" t="s">
        <v>1609</v>
      </c>
      <c r="Y430" s="7">
        <v>3314368.48</v>
      </c>
      <c r="Z430" s="7">
        <v>2706450.27</v>
      </c>
      <c r="AA430" s="7">
        <v>90</v>
      </c>
      <c r="AB430" s="7">
        <v>80</v>
      </c>
      <c r="AC430" s="7" t="s">
        <v>342</v>
      </c>
      <c r="AD430" s="7" t="s">
        <v>336</v>
      </c>
      <c r="AE430" s="7">
        <v>0.48</v>
      </c>
      <c r="AF430" s="7" t="s">
        <v>4319</v>
      </c>
      <c r="AG430" s="7">
        <v>0.1</v>
      </c>
      <c r="AH430" s="7">
        <v>0.06</v>
      </c>
      <c r="AI430" s="7">
        <v>6</v>
      </c>
      <c r="AJ430" s="7">
        <v>3602</v>
      </c>
      <c r="AK430" s="7">
        <v>2214192.73</v>
      </c>
      <c r="AL430" s="7">
        <v>4277574.29</v>
      </c>
      <c r="AM430" s="7"/>
      <c r="AN430" s="7" t="s">
        <v>321</v>
      </c>
      <c r="AO430" s="7"/>
      <c r="AP430" s="7">
        <v>12</v>
      </c>
      <c r="AQ430" s="7" t="s">
        <v>323</v>
      </c>
      <c r="AR430" s="7" t="s">
        <v>186</v>
      </c>
      <c r="AS430" s="7" t="s">
        <v>361</v>
      </c>
    </row>
    <row r="431" spans="1:45" x14ac:dyDescent="0.3">
      <c r="A431" s="6" t="s">
        <v>1610</v>
      </c>
      <c r="B431" s="6" t="s">
        <v>3927</v>
      </c>
      <c r="C431" s="6" t="s">
        <v>214</v>
      </c>
      <c r="D431" s="6" t="s">
        <v>281</v>
      </c>
      <c r="E431" s="6" t="s">
        <v>52</v>
      </c>
      <c r="F431" s="6" t="s">
        <v>75</v>
      </c>
      <c r="G431" s="6" t="s">
        <v>62</v>
      </c>
      <c r="H431" s="6" t="s">
        <v>4275</v>
      </c>
      <c r="I431" s="6" t="s">
        <v>4289</v>
      </c>
      <c r="J431" s="7" t="s">
        <v>119</v>
      </c>
      <c r="K431" s="6" t="s">
        <v>223</v>
      </c>
      <c r="L431" s="6" t="s">
        <v>1611</v>
      </c>
      <c r="M431" s="6" t="s">
        <v>4955</v>
      </c>
      <c r="N431" s="6" t="s">
        <v>3929</v>
      </c>
      <c r="O431" s="6" t="s">
        <v>4956</v>
      </c>
      <c r="P431" s="6">
        <v>52</v>
      </c>
      <c r="Q431" s="6">
        <v>17351912</v>
      </c>
      <c r="R431" s="6">
        <v>0.13</v>
      </c>
      <c r="S431" s="6">
        <v>0.08</v>
      </c>
      <c r="T431" s="6">
        <v>16303856.52</v>
      </c>
      <c r="U431" s="6">
        <v>10523935.140000001</v>
      </c>
      <c r="V431" s="6">
        <v>0.12</v>
      </c>
      <c r="W431" s="6">
        <v>0.19</v>
      </c>
      <c r="X431" s="6" t="s">
        <v>1612</v>
      </c>
      <c r="Y431" s="6">
        <v>8964725.8000000007</v>
      </c>
      <c r="Z431" s="6">
        <v>5715780.1900000004</v>
      </c>
      <c r="AA431" s="6">
        <v>90</v>
      </c>
      <c r="AB431" s="6">
        <v>39</v>
      </c>
      <c r="AC431" s="6" t="s">
        <v>353</v>
      </c>
      <c r="AD431" s="6" t="s">
        <v>455</v>
      </c>
      <c r="AE431" s="6">
        <v>0.56000000000000005</v>
      </c>
      <c r="AF431" s="6" t="s">
        <v>4319</v>
      </c>
      <c r="AG431" s="6">
        <v>0.05</v>
      </c>
      <c r="AH431" s="6">
        <v>0.04</v>
      </c>
      <c r="AI431" s="6">
        <v>7</v>
      </c>
      <c r="AJ431" s="6">
        <v>1828</v>
      </c>
      <c r="AK431" s="6">
        <v>587190.65</v>
      </c>
      <c r="AL431" s="6">
        <v>6447538.5</v>
      </c>
      <c r="AM431" s="6" t="s">
        <v>73</v>
      </c>
      <c r="AN431" s="6" t="s">
        <v>330</v>
      </c>
      <c r="AO431" s="6">
        <v>87.7</v>
      </c>
      <c r="AP431" s="6" t="s">
        <v>4275</v>
      </c>
      <c r="AQ431" s="6" t="s">
        <v>337</v>
      </c>
      <c r="AR431" s="6" t="s">
        <v>224</v>
      </c>
      <c r="AS431" s="6" t="s">
        <v>361</v>
      </c>
    </row>
    <row r="432" spans="1:45" x14ac:dyDescent="0.3">
      <c r="A432" s="7" t="s">
        <v>1613</v>
      </c>
      <c r="B432" s="7" t="s">
        <v>4957</v>
      </c>
      <c r="C432" s="7" t="s">
        <v>217</v>
      </c>
      <c r="D432" s="7" t="s">
        <v>255</v>
      </c>
      <c r="E432" s="7"/>
      <c r="F432" s="7" t="s">
        <v>31</v>
      </c>
      <c r="G432" s="7" t="s">
        <v>57</v>
      </c>
      <c r="H432" s="7" t="s">
        <v>212</v>
      </c>
      <c r="I432" s="7" t="s">
        <v>4272</v>
      </c>
      <c r="J432" s="7" t="s">
        <v>130</v>
      </c>
      <c r="K432" s="7" t="s">
        <v>326</v>
      </c>
      <c r="L432" s="7" t="s">
        <v>1614</v>
      </c>
      <c r="M432" s="7" t="s">
        <v>4958</v>
      </c>
      <c r="N432" s="7" t="s">
        <v>4702</v>
      </c>
      <c r="O432" s="7" t="s">
        <v>3635</v>
      </c>
      <c r="P432" s="7" t="s">
        <v>4275</v>
      </c>
      <c r="Q432" s="7">
        <v>36731951</v>
      </c>
      <c r="R432" s="7">
        <v>0.17</v>
      </c>
      <c r="S432" s="7">
        <v>0</v>
      </c>
      <c r="T432" s="7">
        <v>30487519.329999998</v>
      </c>
      <c r="U432" s="7">
        <v>24844230.600000001</v>
      </c>
      <c r="V432" s="7">
        <v>0.12</v>
      </c>
      <c r="W432" s="7">
        <v>0.15</v>
      </c>
      <c r="X432" s="7" t="s">
        <v>1615</v>
      </c>
      <c r="Y432" s="7">
        <v>25242942.559999999</v>
      </c>
      <c r="Z432" s="7">
        <v>18380312.890000001</v>
      </c>
      <c r="AA432" s="7">
        <v>120</v>
      </c>
      <c r="AB432" s="7">
        <v>121</v>
      </c>
      <c r="AC432" s="7" t="s">
        <v>347</v>
      </c>
      <c r="AD432" s="7" t="s">
        <v>354</v>
      </c>
      <c r="AE432" s="7">
        <v>0.17</v>
      </c>
      <c r="AF432" s="7" t="s">
        <v>159</v>
      </c>
      <c r="AG432" s="7">
        <v>0.15</v>
      </c>
      <c r="AH432" s="7">
        <v>0.09</v>
      </c>
      <c r="AI432" s="7">
        <v>14</v>
      </c>
      <c r="AJ432" s="7">
        <v>3672</v>
      </c>
      <c r="AK432" s="7">
        <v>1268439.44</v>
      </c>
      <c r="AL432" s="7">
        <v>14364739.48</v>
      </c>
      <c r="AM432" s="7" t="s">
        <v>385</v>
      </c>
      <c r="AN432" s="7" t="s">
        <v>330</v>
      </c>
      <c r="AO432" s="7">
        <v>83.9</v>
      </c>
      <c r="AP432" s="7">
        <v>48</v>
      </c>
      <c r="AQ432" s="7"/>
      <c r="AR432" s="7" t="s">
        <v>186</v>
      </c>
      <c r="AS432" s="7" t="s">
        <v>377</v>
      </c>
    </row>
    <row r="433" spans="1:45" x14ac:dyDescent="0.3">
      <c r="A433" s="6" t="s">
        <v>1616</v>
      </c>
      <c r="B433" s="6" t="s">
        <v>4913</v>
      </c>
      <c r="C433" s="6" t="s">
        <v>219</v>
      </c>
      <c r="D433" s="6" t="s">
        <v>232</v>
      </c>
      <c r="E433" s="6" t="s">
        <v>4376</v>
      </c>
      <c r="F433" s="6" t="s">
        <v>35</v>
      </c>
      <c r="G433" s="6" t="s">
        <v>38</v>
      </c>
      <c r="H433" s="6" t="s">
        <v>182</v>
      </c>
      <c r="I433" s="6" t="s">
        <v>198</v>
      </c>
      <c r="J433" s="6" t="s">
        <v>136</v>
      </c>
      <c r="K433" s="6" t="s">
        <v>221</v>
      </c>
      <c r="L433" s="6" t="s">
        <v>1617</v>
      </c>
      <c r="M433" s="6" t="s">
        <v>3931</v>
      </c>
      <c r="N433" s="6" t="s">
        <v>3627</v>
      </c>
      <c r="O433" s="6" t="s">
        <v>4959</v>
      </c>
      <c r="P433" s="6">
        <v>26</v>
      </c>
      <c r="Q433" s="6">
        <v>41130628</v>
      </c>
      <c r="R433" s="6">
        <v>0.16</v>
      </c>
      <c r="S433" s="6">
        <v>0.14000000000000001</v>
      </c>
      <c r="T433" s="6">
        <v>39386689.369999997</v>
      </c>
      <c r="U433" s="6">
        <v>29282909.649999999</v>
      </c>
      <c r="V433" s="6">
        <v>7.0000000000000007E-2</v>
      </c>
      <c r="W433" s="6">
        <v>7.0000000000000007E-2</v>
      </c>
      <c r="X433" s="6" t="s">
        <v>1618</v>
      </c>
      <c r="Y433" s="6">
        <v>15449054.59</v>
      </c>
      <c r="Z433" s="6">
        <v>10261372.720000001</v>
      </c>
      <c r="AA433" s="6">
        <v>60</v>
      </c>
      <c r="AB433" s="6">
        <v>11</v>
      </c>
      <c r="AC433" s="6" t="s">
        <v>347</v>
      </c>
      <c r="AD433" s="6" t="s">
        <v>320</v>
      </c>
      <c r="AE433" s="6">
        <v>0.62</v>
      </c>
      <c r="AF433" s="6" t="s">
        <v>4312</v>
      </c>
      <c r="AG433" s="6">
        <v>0.15</v>
      </c>
      <c r="AH433" s="6">
        <v>7.0000000000000007E-2</v>
      </c>
      <c r="AI433" s="6">
        <v>7</v>
      </c>
      <c r="AJ433" s="6">
        <v>797</v>
      </c>
      <c r="AK433" s="6"/>
      <c r="AL433" s="6">
        <v>16996208.16</v>
      </c>
      <c r="AM433" s="6" t="s">
        <v>321</v>
      </c>
      <c r="AN433" s="6" t="s">
        <v>330</v>
      </c>
      <c r="AO433" s="6">
        <v>79.3</v>
      </c>
      <c r="AP433" s="6">
        <v>12</v>
      </c>
      <c r="AQ433" s="6" t="s">
        <v>387</v>
      </c>
      <c r="AR433" s="6" t="s">
        <v>224</v>
      </c>
      <c r="AS433" s="6" t="s">
        <v>361</v>
      </c>
    </row>
    <row r="434" spans="1:45" x14ac:dyDescent="0.3">
      <c r="A434" s="7" t="s">
        <v>1619</v>
      </c>
      <c r="B434" s="7" t="s">
        <v>4960</v>
      </c>
      <c r="C434" s="7" t="s">
        <v>237</v>
      </c>
      <c r="D434" s="7" t="s">
        <v>238</v>
      </c>
      <c r="E434" s="7" t="s">
        <v>4270</v>
      </c>
      <c r="F434" s="7" t="s">
        <v>181</v>
      </c>
      <c r="G434" s="7" t="s">
        <v>23</v>
      </c>
      <c r="H434" s="7" t="s">
        <v>4271</v>
      </c>
      <c r="I434" s="7" t="s">
        <v>191</v>
      </c>
      <c r="J434" s="7" t="s">
        <v>123</v>
      </c>
      <c r="K434" s="7" t="s">
        <v>326</v>
      </c>
      <c r="L434" s="7" t="s">
        <v>1620</v>
      </c>
      <c r="M434" s="7" t="s">
        <v>4961</v>
      </c>
      <c r="N434" s="7" t="s">
        <v>4639</v>
      </c>
      <c r="O434" s="7" t="s">
        <v>4274</v>
      </c>
      <c r="P434" s="7">
        <v>34</v>
      </c>
      <c r="Q434" s="7">
        <v>17759314</v>
      </c>
      <c r="R434" s="7">
        <v>0.3</v>
      </c>
      <c r="S434" s="7">
        <v>0.18</v>
      </c>
      <c r="T434" s="7">
        <v>14669193.359999999</v>
      </c>
      <c r="U434" s="7">
        <v>12398197.449999999</v>
      </c>
      <c r="V434" s="7">
        <v>0.18</v>
      </c>
      <c r="W434" s="7">
        <v>0.17</v>
      </c>
      <c r="X434" s="7" t="s">
        <v>1621</v>
      </c>
      <c r="Y434" s="7">
        <v>8188231.6399999997</v>
      </c>
      <c r="Z434" s="7">
        <v>8113011.5499999998</v>
      </c>
      <c r="AA434" s="7">
        <v>45</v>
      </c>
      <c r="AB434" s="7">
        <v>57</v>
      </c>
      <c r="AC434" s="7"/>
      <c r="AD434" s="7" t="s">
        <v>381</v>
      </c>
      <c r="AE434" s="7">
        <v>0.35</v>
      </c>
      <c r="AF434" s="7" t="s">
        <v>152</v>
      </c>
      <c r="AG434" s="7">
        <v>0.15</v>
      </c>
      <c r="AH434" s="7">
        <v>0.06</v>
      </c>
      <c r="AI434" s="7">
        <v>6</v>
      </c>
      <c r="AJ434" s="7">
        <v>4090</v>
      </c>
      <c r="AK434" s="7">
        <v>1272150.55</v>
      </c>
      <c r="AL434" s="7"/>
      <c r="AM434" s="7" t="s">
        <v>343</v>
      </c>
      <c r="AN434" s="7" t="s">
        <v>322</v>
      </c>
      <c r="AO434" s="7">
        <v>76.900000000000006</v>
      </c>
      <c r="AP434" s="7" t="s">
        <v>4275</v>
      </c>
      <c r="AQ434" s="7" t="s">
        <v>323</v>
      </c>
      <c r="AR434" s="7" t="s">
        <v>192</v>
      </c>
      <c r="AS434" s="7" t="s">
        <v>324</v>
      </c>
    </row>
    <row r="435" spans="1:45" x14ac:dyDescent="0.3">
      <c r="A435" s="6" t="s">
        <v>1622</v>
      </c>
      <c r="B435" s="6" t="s">
        <v>4962</v>
      </c>
      <c r="C435" s="6" t="s">
        <v>235</v>
      </c>
      <c r="D435" s="6" t="s">
        <v>220</v>
      </c>
      <c r="E435" s="6" t="s">
        <v>4376</v>
      </c>
      <c r="F435" s="6" t="s">
        <v>196</v>
      </c>
      <c r="G435" s="6" t="s">
        <v>50</v>
      </c>
      <c r="H435" s="6" t="s">
        <v>4326</v>
      </c>
      <c r="I435" s="6" t="s">
        <v>183</v>
      </c>
      <c r="J435" s="6" t="s">
        <v>136</v>
      </c>
      <c r="K435" s="6" t="s">
        <v>221</v>
      </c>
      <c r="L435" s="6" t="s">
        <v>1623</v>
      </c>
      <c r="M435" s="6" t="s">
        <v>3889</v>
      </c>
      <c r="N435" s="6" t="s">
        <v>4848</v>
      </c>
      <c r="O435" s="6" t="s">
        <v>4963</v>
      </c>
      <c r="P435" s="6" t="s">
        <v>4275</v>
      </c>
      <c r="Q435" s="6">
        <v>20614127</v>
      </c>
      <c r="R435" s="6">
        <v>0.24</v>
      </c>
      <c r="S435" s="6">
        <v>0.04</v>
      </c>
      <c r="T435" s="6">
        <v>16293405.98</v>
      </c>
      <c r="U435" s="6">
        <v>10333073.060000001</v>
      </c>
      <c r="V435" s="6" t="s">
        <v>4374</v>
      </c>
      <c r="W435" s="6">
        <v>0.19</v>
      </c>
      <c r="X435" s="6" t="s">
        <v>1624</v>
      </c>
      <c r="Y435" s="6">
        <v>1056591.8500000001</v>
      </c>
      <c r="Z435" s="6">
        <v>389684.99</v>
      </c>
      <c r="AA435" s="6">
        <v>30</v>
      </c>
      <c r="AB435" s="6">
        <v>144</v>
      </c>
      <c r="AC435" s="6" t="s">
        <v>329</v>
      </c>
      <c r="AD435" s="6" t="s">
        <v>455</v>
      </c>
      <c r="AE435" s="6">
        <v>0.77</v>
      </c>
      <c r="AF435" s="6"/>
      <c r="AG435" s="6">
        <v>0.1</v>
      </c>
      <c r="AH435" s="6">
        <v>0.03</v>
      </c>
      <c r="AI435" s="6">
        <v>4</v>
      </c>
      <c r="AJ435" s="6">
        <v>1899</v>
      </c>
      <c r="AK435" s="6">
        <v>3892870.07</v>
      </c>
      <c r="AL435" s="6"/>
      <c r="AM435" s="6" t="s">
        <v>385</v>
      </c>
      <c r="AN435" s="6"/>
      <c r="AO435" s="6">
        <v>98.4</v>
      </c>
      <c r="AP435" s="6">
        <v>60</v>
      </c>
      <c r="AQ435" s="6" t="s">
        <v>4275</v>
      </c>
      <c r="AR435" s="6" t="s">
        <v>186</v>
      </c>
      <c r="AS435" s="6" t="s">
        <v>188</v>
      </c>
    </row>
    <row r="436" spans="1:45" x14ac:dyDescent="0.3">
      <c r="A436" s="7" t="s">
        <v>1625</v>
      </c>
      <c r="B436" s="7" t="s">
        <v>3934</v>
      </c>
      <c r="C436" s="7" t="s">
        <v>243</v>
      </c>
      <c r="D436" s="7" t="s">
        <v>394</v>
      </c>
      <c r="E436" s="7" t="s">
        <v>113</v>
      </c>
      <c r="F436" s="7" t="s">
        <v>367</v>
      </c>
      <c r="G436" s="7" t="s">
        <v>66</v>
      </c>
      <c r="H436" s="7" t="s">
        <v>4326</v>
      </c>
      <c r="I436" s="7" t="s">
        <v>233</v>
      </c>
      <c r="J436" s="7" t="s">
        <v>111</v>
      </c>
      <c r="K436" s="7" t="s">
        <v>223</v>
      </c>
      <c r="L436" s="7" t="s">
        <v>1626</v>
      </c>
      <c r="M436" s="7" t="s">
        <v>3383</v>
      </c>
      <c r="N436" s="7" t="s">
        <v>3935</v>
      </c>
      <c r="O436" s="7" t="s">
        <v>4274</v>
      </c>
      <c r="P436" s="7">
        <v>38</v>
      </c>
      <c r="Q436" s="7">
        <v>15005899</v>
      </c>
      <c r="R436" s="7">
        <v>0.23</v>
      </c>
      <c r="S436" s="7">
        <v>0.05</v>
      </c>
      <c r="T436" s="7">
        <v>12132269.34</v>
      </c>
      <c r="U436" s="7">
        <v>9733755.5399999991</v>
      </c>
      <c r="V436" s="7">
        <v>0.05</v>
      </c>
      <c r="W436" s="7">
        <v>0.14000000000000001</v>
      </c>
      <c r="X436" s="7" t="s">
        <v>1627</v>
      </c>
      <c r="Y436" s="7">
        <v>1519474.44</v>
      </c>
      <c r="Z436" s="7">
        <v>1392220.8</v>
      </c>
      <c r="AA436" s="7">
        <v>90</v>
      </c>
      <c r="AB436" s="7">
        <v>44</v>
      </c>
      <c r="AC436" s="7" t="s">
        <v>342</v>
      </c>
      <c r="AD436" s="7" t="s">
        <v>354</v>
      </c>
      <c r="AE436" s="7">
        <v>0.55000000000000004</v>
      </c>
      <c r="AF436" s="7" t="s">
        <v>4319</v>
      </c>
      <c r="AG436" s="7">
        <v>0.15</v>
      </c>
      <c r="AH436" s="7">
        <v>0.01</v>
      </c>
      <c r="AI436" s="7">
        <v>2</v>
      </c>
      <c r="AJ436" s="7">
        <v>785</v>
      </c>
      <c r="AK436" s="7">
        <v>2998006.89</v>
      </c>
      <c r="AL436" s="7">
        <v>1892298.29</v>
      </c>
      <c r="AM436" s="7" t="s">
        <v>355</v>
      </c>
      <c r="AN436" s="7" t="s">
        <v>330</v>
      </c>
      <c r="AO436" s="7">
        <v>80.2</v>
      </c>
      <c r="AP436" s="7">
        <v>24</v>
      </c>
      <c r="AQ436" s="7"/>
      <c r="AR436" s="7" t="s">
        <v>229</v>
      </c>
      <c r="AS436" s="7"/>
    </row>
    <row r="437" spans="1:45" x14ac:dyDescent="0.3">
      <c r="A437" s="6" t="s">
        <v>1628</v>
      </c>
      <c r="B437" s="6" t="s">
        <v>4964</v>
      </c>
      <c r="C437" s="6" t="s">
        <v>260</v>
      </c>
      <c r="D437" s="6" t="s">
        <v>209</v>
      </c>
      <c r="E437" s="6" t="s">
        <v>113</v>
      </c>
      <c r="F437" s="6" t="s">
        <v>367</v>
      </c>
      <c r="G437" s="6" t="s">
        <v>80</v>
      </c>
      <c r="H437" s="6" t="s">
        <v>4326</v>
      </c>
      <c r="I437" s="6" t="s">
        <v>4372</v>
      </c>
      <c r="J437" s="6" t="s">
        <v>127</v>
      </c>
      <c r="K437" s="6" t="s">
        <v>184</v>
      </c>
      <c r="L437" s="6" t="s">
        <v>1629</v>
      </c>
      <c r="M437" s="6" t="s">
        <v>4965</v>
      </c>
      <c r="N437" s="6" t="s">
        <v>3937</v>
      </c>
      <c r="O437" s="6" t="s">
        <v>3653</v>
      </c>
      <c r="P437" s="6">
        <v>44</v>
      </c>
      <c r="Q437" s="6">
        <v>32340864</v>
      </c>
      <c r="R437" s="6">
        <v>0.24</v>
      </c>
      <c r="S437" s="6">
        <v>-0.03</v>
      </c>
      <c r="T437" s="6">
        <v>23841684.940000001</v>
      </c>
      <c r="U437" s="6">
        <v>20684979.149999999</v>
      </c>
      <c r="V437" s="6">
        <v>0.26</v>
      </c>
      <c r="W437" s="6">
        <v>0.12</v>
      </c>
      <c r="X437" s="6" t="s">
        <v>1630</v>
      </c>
      <c r="Y437" s="6">
        <v>11228328.869999999</v>
      </c>
      <c r="Z437" s="6">
        <v>6944752.6500000004</v>
      </c>
      <c r="AA437" s="6">
        <v>45</v>
      </c>
      <c r="AB437" s="6">
        <v>169</v>
      </c>
      <c r="AC437" s="6" t="s">
        <v>342</v>
      </c>
      <c r="AD437" s="6" t="s">
        <v>381</v>
      </c>
      <c r="AE437" s="6">
        <v>0.55000000000000004</v>
      </c>
      <c r="AF437" s="6" t="s">
        <v>4276</v>
      </c>
      <c r="AG437" s="6">
        <v>0.05</v>
      </c>
      <c r="AH437" s="6">
        <v>0.05</v>
      </c>
      <c r="AI437" s="6">
        <v>7</v>
      </c>
      <c r="AJ437" s="6">
        <v>2806</v>
      </c>
      <c r="AK437" s="6">
        <v>3110448.63</v>
      </c>
      <c r="AL437" s="6">
        <v>5461806.46</v>
      </c>
      <c r="AM437" s="6" t="s">
        <v>321</v>
      </c>
      <c r="AN437" s="6" t="s">
        <v>348</v>
      </c>
      <c r="AO437" s="6">
        <v>90.4</v>
      </c>
      <c r="AP437" s="6">
        <v>48</v>
      </c>
      <c r="AQ437" s="6" t="s">
        <v>392</v>
      </c>
      <c r="AR437" s="6" t="s">
        <v>206</v>
      </c>
      <c r="AS437" s="6" t="s">
        <v>324</v>
      </c>
    </row>
    <row r="438" spans="1:45" x14ac:dyDescent="0.3">
      <c r="A438" s="7" t="s">
        <v>1631</v>
      </c>
      <c r="B438" s="7" t="s">
        <v>3938</v>
      </c>
      <c r="C438" s="7" t="s">
        <v>258</v>
      </c>
      <c r="D438" s="7" t="s">
        <v>262</v>
      </c>
      <c r="E438" s="7" t="s">
        <v>113</v>
      </c>
      <c r="F438" s="7" t="s">
        <v>367</v>
      </c>
      <c r="G438" s="7" t="s">
        <v>78</v>
      </c>
      <c r="H438" s="7" t="s">
        <v>236</v>
      </c>
      <c r="I438" s="7" t="s">
        <v>4307</v>
      </c>
      <c r="J438" s="7" t="s">
        <v>123</v>
      </c>
      <c r="K438" s="7" t="s">
        <v>223</v>
      </c>
      <c r="L438" s="7" t="s">
        <v>1632</v>
      </c>
      <c r="M438" s="7" t="s">
        <v>4966</v>
      </c>
      <c r="N438" s="7" t="s">
        <v>4967</v>
      </c>
      <c r="O438" s="7" t="s">
        <v>3940</v>
      </c>
      <c r="P438" s="7">
        <v>31</v>
      </c>
      <c r="Q438" s="7">
        <v>21479400</v>
      </c>
      <c r="R438" s="7">
        <v>0.02</v>
      </c>
      <c r="S438" s="7">
        <v>-0.03</v>
      </c>
      <c r="T438" s="7">
        <v>20418317.640000001</v>
      </c>
      <c r="U438" s="7">
        <v>17696516.800000001</v>
      </c>
      <c r="V438" s="7">
        <v>0.21</v>
      </c>
      <c r="W438" s="7">
        <v>0.06</v>
      </c>
      <c r="X438" s="7" t="s">
        <v>1154</v>
      </c>
      <c r="Y438" s="7">
        <v>13353479.970000001</v>
      </c>
      <c r="Z438" s="7">
        <v>13995172.15</v>
      </c>
      <c r="AA438" s="7">
        <v>30</v>
      </c>
      <c r="AB438" s="7">
        <v>113</v>
      </c>
      <c r="AC438" s="7" t="s">
        <v>353</v>
      </c>
      <c r="AD438" s="7" t="s">
        <v>406</v>
      </c>
      <c r="AE438" s="7">
        <v>0.15</v>
      </c>
      <c r="AF438" s="7" t="s">
        <v>4276</v>
      </c>
      <c r="AG438" s="7">
        <v>0.1</v>
      </c>
      <c r="AH438" s="7">
        <v>0.04</v>
      </c>
      <c r="AI438" s="7">
        <v>6</v>
      </c>
      <c r="AJ438" s="7">
        <v>1238</v>
      </c>
      <c r="AK438" s="7">
        <v>470322.36</v>
      </c>
      <c r="AL438" s="7">
        <v>5238727.9800000004</v>
      </c>
      <c r="AM438" s="7" t="s">
        <v>321</v>
      </c>
      <c r="AN438" s="7" t="s">
        <v>322</v>
      </c>
      <c r="AO438" s="7">
        <v>88.7</v>
      </c>
      <c r="AP438" s="7">
        <v>48</v>
      </c>
      <c r="AQ438" s="7" t="s">
        <v>387</v>
      </c>
      <c r="AR438" s="7" t="s">
        <v>224</v>
      </c>
      <c r="AS438" s="7" t="s">
        <v>188</v>
      </c>
    </row>
    <row r="439" spans="1:45" x14ac:dyDescent="0.3">
      <c r="A439" s="6" t="s">
        <v>1633</v>
      </c>
      <c r="B439" s="6" t="s">
        <v>3941</v>
      </c>
      <c r="C439" s="6" t="s">
        <v>279</v>
      </c>
      <c r="D439" s="6" t="s">
        <v>180</v>
      </c>
      <c r="E439" s="6" t="s">
        <v>36</v>
      </c>
      <c r="F439" s="6" t="s">
        <v>339</v>
      </c>
      <c r="G439" s="6" t="s">
        <v>28</v>
      </c>
      <c r="H439" s="6" t="s">
        <v>4275</v>
      </c>
      <c r="I439" s="6" t="s">
        <v>240</v>
      </c>
      <c r="J439" s="6" t="s">
        <v>115</v>
      </c>
      <c r="K439" s="6" t="s">
        <v>199</v>
      </c>
      <c r="L439" s="6" t="s">
        <v>1634</v>
      </c>
      <c r="M439" s="6" t="s">
        <v>4968</v>
      </c>
      <c r="N439" s="6" t="s">
        <v>3338</v>
      </c>
      <c r="O439" s="6" t="s">
        <v>4642</v>
      </c>
      <c r="P439" s="6">
        <v>45</v>
      </c>
      <c r="Q439" s="6">
        <v>11075054</v>
      </c>
      <c r="R439" s="6">
        <v>0.09</v>
      </c>
      <c r="S439" s="6">
        <v>0</v>
      </c>
      <c r="T439" s="6">
        <v>10078299.140000001</v>
      </c>
      <c r="U439" s="6">
        <v>7158047.2400000002</v>
      </c>
      <c r="V439" s="6">
        <v>0.32</v>
      </c>
      <c r="W439" s="6">
        <v>0.12</v>
      </c>
      <c r="X439" s="6" t="s">
        <v>1635</v>
      </c>
      <c r="Y439" s="6">
        <v>5684351.0800000001</v>
      </c>
      <c r="Z439" s="6">
        <v>5438058.6799999997</v>
      </c>
      <c r="AA439" s="6">
        <v>120</v>
      </c>
      <c r="AB439" s="6">
        <v>5</v>
      </c>
      <c r="AC439" s="6" t="s">
        <v>376</v>
      </c>
      <c r="AD439" s="6" t="s">
        <v>336</v>
      </c>
      <c r="AE439" s="6">
        <v>0.41</v>
      </c>
      <c r="AF439" s="6" t="s">
        <v>159</v>
      </c>
      <c r="AG439" s="6">
        <v>0.05</v>
      </c>
      <c r="AH439" s="6">
        <v>0.01</v>
      </c>
      <c r="AI439" s="6">
        <v>15</v>
      </c>
      <c r="AJ439" s="6">
        <v>2083</v>
      </c>
      <c r="AK439" s="6">
        <v>708908.12</v>
      </c>
      <c r="AL439" s="6">
        <v>1272217.8700000001</v>
      </c>
      <c r="AM439" s="6" t="s">
        <v>355</v>
      </c>
      <c r="AN439" s="6" t="s">
        <v>321</v>
      </c>
      <c r="AO439" s="6">
        <v>77.099999999999994</v>
      </c>
      <c r="AP439" s="6">
        <v>48</v>
      </c>
      <c r="AQ439" s="6" t="s">
        <v>387</v>
      </c>
      <c r="AR439" s="6" t="s">
        <v>186</v>
      </c>
      <c r="AS439" s="6" t="s">
        <v>361</v>
      </c>
    </row>
    <row r="440" spans="1:45" x14ac:dyDescent="0.3">
      <c r="A440" s="7" t="s">
        <v>1636</v>
      </c>
      <c r="B440" s="7" t="s">
        <v>4520</v>
      </c>
      <c r="C440" s="7" t="s">
        <v>277</v>
      </c>
      <c r="D440" s="7"/>
      <c r="E440" s="7"/>
      <c r="F440" s="7" t="s">
        <v>31</v>
      </c>
      <c r="G440" s="7" t="s">
        <v>50</v>
      </c>
      <c r="H440" s="7" t="s">
        <v>4280</v>
      </c>
      <c r="I440" s="7"/>
      <c r="J440" s="7" t="s">
        <v>130</v>
      </c>
      <c r="K440" s="7" t="s">
        <v>199</v>
      </c>
      <c r="L440" s="7" t="s">
        <v>1637</v>
      </c>
      <c r="M440" s="7" t="s">
        <v>3936</v>
      </c>
      <c r="N440" s="7" t="s">
        <v>3805</v>
      </c>
      <c r="O440" s="7" t="s">
        <v>4969</v>
      </c>
      <c r="P440" s="7">
        <v>44</v>
      </c>
      <c r="Q440" s="7">
        <v>13507630</v>
      </c>
      <c r="R440" s="7" t="s">
        <v>3273</v>
      </c>
      <c r="S440" s="7">
        <v>0.09</v>
      </c>
      <c r="T440" s="7">
        <v>10600788.02</v>
      </c>
      <c r="U440" s="7">
        <v>7135989.5199999996</v>
      </c>
      <c r="V440" s="7">
        <v>0.2</v>
      </c>
      <c r="W440" s="7">
        <v>0.14000000000000001</v>
      </c>
      <c r="X440" s="7" t="s">
        <v>1638</v>
      </c>
      <c r="Y440" s="7">
        <v>8244521.04</v>
      </c>
      <c r="Z440" s="7">
        <v>6835370.5300000003</v>
      </c>
      <c r="AA440" s="7">
        <v>60</v>
      </c>
      <c r="AB440" s="7">
        <v>168</v>
      </c>
      <c r="AC440" s="7" t="s">
        <v>347</v>
      </c>
      <c r="AD440" s="7" t="s">
        <v>226</v>
      </c>
      <c r="AE440" s="7">
        <v>0.56000000000000005</v>
      </c>
      <c r="AF440" s="7" t="s">
        <v>155</v>
      </c>
      <c r="AG440" s="7">
        <v>0.1</v>
      </c>
      <c r="AH440" s="7">
        <v>7.0000000000000007E-2</v>
      </c>
      <c r="AI440" s="7">
        <v>13</v>
      </c>
      <c r="AJ440" s="7">
        <v>2968</v>
      </c>
      <c r="AK440" s="7">
        <v>289747.64</v>
      </c>
      <c r="AL440" s="7">
        <v>2201316.92</v>
      </c>
      <c r="AM440" s="7" t="s">
        <v>355</v>
      </c>
      <c r="AN440" s="7" t="s">
        <v>386</v>
      </c>
      <c r="AO440" s="7">
        <v>51.6</v>
      </c>
      <c r="AP440" s="7">
        <v>12</v>
      </c>
      <c r="AQ440" s="7" t="s">
        <v>392</v>
      </c>
      <c r="AR440" s="7" t="s">
        <v>224</v>
      </c>
      <c r="AS440" s="7"/>
    </row>
    <row r="441" spans="1:45" x14ac:dyDescent="0.3">
      <c r="A441" s="6" t="s">
        <v>1639</v>
      </c>
      <c r="B441" s="6" t="s">
        <v>4970</v>
      </c>
      <c r="C441" s="6" t="s">
        <v>249</v>
      </c>
      <c r="D441" s="6" t="s">
        <v>262</v>
      </c>
      <c r="E441" s="6" t="s">
        <v>36</v>
      </c>
      <c r="F441" s="6" t="s">
        <v>19</v>
      </c>
      <c r="G441" s="6" t="s">
        <v>66</v>
      </c>
      <c r="H441" s="6" t="s">
        <v>182</v>
      </c>
      <c r="I441" s="6" t="s">
        <v>183</v>
      </c>
      <c r="J441" s="6" t="s">
        <v>115</v>
      </c>
      <c r="K441" s="6" t="s">
        <v>223</v>
      </c>
      <c r="L441" s="6" t="s">
        <v>1640</v>
      </c>
      <c r="M441" s="6" t="s">
        <v>3746</v>
      </c>
      <c r="N441" s="6" t="s">
        <v>4971</v>
      </c>
      <c r="O441" s="6" t="s">
        <v>3814</v>
      </c>
      <c r="P441" s="6">
        <v>32</v>
      </c>
      <c r="Q441" s="6">
        <v>3265425</v>
      </c>
      <c r="R441" s="6">
        <v>0.25</v>
      </c>
      <c r="S441" s="6">
        <v>0.06</v>
      </c>
      <c r="T441" s="6">
        <v>2596012.88</v>
      </c>
      <c r="U441" s="6">
        <v>2158671.96</v>
      </c>
      <c r="V441" s="6">
        <v>0.28999999999999998</v>
      </c>
      <c r="W441" s="6">
        <v>0.17</v>
      </c>
      <c r="X441" s="6" t="s">
        <v>1641</v>
      </c>
      <c r="Y441" s="6">
        <v>2148139.85</v>
      </c>
      <c r="Z441" s="6">
        <v>1486551.2</v>
      </c>
      <c r="AA441" s="6">
        <v>45</v>
      </c>
      <c r="AB441" s="6">
        <v>152</v>
      </c>
      <c r="AC441" s="6" t="s">
        <v>342</v>
      </c>
      <c r="AD441" s="6" t="s">
        <v>354</v>
      </c>
      <c r="AE441" s="6" t="s">
        <v>4467</v>
      </c>
      <c r="AF441" s="6" t="s">
        <v>4319</v>
      </c>
      <c r="AG441" s="6">
        <v>0.15</v>
      </c>
      <c r="AH441" s="6">
        <v>0.08</v>
      </c>
      <c r="AI441" s="6">
        <v>11</v>
      </c>
      <c r="AJ441" s="6">
        <v>833</v>
      </c>
      <c r="AK441" s="6">
        <v>194623.45</v>
      </c>
      <c r="AL441" s="6">
        <v>289914.92</v>
      </c>
      <c r="AM441" s="6" t="s">
        <v>321</v>
      </c>
      <c r="AN441" s="6"/>
      <c r="AO441" s="6">
        <v>92.9</v>
      </c>
      <c r="AP441" s="6">
        <v>24</v>
      </c>
      <c r="AQ441" s="6" t="s">
        <v>337</v>
      </c>
      <c r="AR441" s="6" t="s">
        <v>229</v>
      </c>
      <c r="AS441" s="6" t="s">
        <v>357</v>
      </c>
    </row>
    <row r="442" spans="1:45" x14ac:dyDescent="0.3">
      <c r="A442" s="7" t="s">
        <v>1642</v>
      </c>
      <c r="B442" s="7" t="s">
        <v>4972</v>
      </c>
      <c r="C442" s="7" t="s">
        <v>271</v>
      </c>
      <c r="D442" s="7" t="s">
        <v>238</v>
      </c>
      <c r="E442" s="7" t="s">
        <v>4325</v>
      </c>
      <c r="F442" s="7" t="s">
        <v>19</v>
      </c>
      <c r="G442" s="7" t="s">
        <v>38</v>
      </c>
      <c r="H442" s="7" t="s">
        <v>4326</v>
      </c>
      <c r="I442" s="7" t="s">
        <v>4289</v>
      </c>
      <c r="J442" s="7" t="s">
        <v>115</v>
      </c>
      <c r="K442" s="7" t="s">
        <v>223</v>
      </c>
      <c r="L442" s="7" t="s">
        <v>1643</v>
      </c>
      <c r="M442" s="7" t="s">
        <v>4973</v>
      </c>
      <c r="N442" s="7" t="s">
        <v>4904</v>
      </c>
      <c r="O442" s="7" t="s">
        <v>3943</v>
      </c>
      <c r="P442" s="7">
        <v>37</v>
      </c>
      <c r="Q442" s="7">
        <v>45017844</v>
      </c>
      <c r="R442" s="7">
        <v>0.13</v>
      </c>
      <c r="S442" s="7">
        <v>0.12</v>
      </c>
      <c r="T442" s="7">
        <v>43865387.189999998</v>
      </c>
      <c r="U442" s="7">
        <v>31790120.760000002</v>
      </c>
      <c r="V442" s="7">
        <v>0.2</v>
      </c>
      <c r="W442" s="7">
        <v>0.11</v>
      </c>
      <c r="X442" s="7" t="s">
        <v>1644</v>
      </c>
      <c r="Y442" s="7">
        <v>21714976.280000001</v>
      </c>
      <c r="Z442" s="7">
        <v>15129435.189999999</v>
      </c>
      <c r="AA442" s="7">
        <v>120</v>
      </c>
      <c r="AB442" s="7">
        <v>50</v>
      </c>
      <c r="AC442" s="7" t="s">
        <v>353</v>
      </c>
      <c r="AD442" s="7" t="s">
        <v>336</v>
      </c>
      <c r="AE442" s="7">
        <v>0.56999999999999995</v>
      </c>
      <c r="AF442" s="7" t="s">
        <v>4303</v>
      </c>
      <c r="AG442" s="7">
        <v>0.15</v>
      </c>
      <c r="AH442" s="7">
        <v>0.04</v>
      </c>
      <c r="AI442" s="7">
        <v>9</v>
      </c>
      <c r="AJ442" s="7">
        <v>1376</v>
      </c>
      <c r="AK442" s="7">
        <v>3473501.22</v>
      </c>
      <c r="AL442" s="7">
        <v>17603310.449999999</v>
      </c>
      <c r="AM442" s="7" t="s">
        <v>355</v>
      </c>
      <c r="AN442" s="7"/>
      <c r="AO442" s="7">
        <v>54.3</v>
      </c>
      <c r="AP442" s="7" t="s">
        <v>4275</v>
      </c>
      <c r="AQ442" s="7"/>
      <c r="AR442" s="7" t="s">
        <v>192</v>
      </c>
      <c r="AS442" s="7" t="s">
        <v>377</v>
      </c>
    </row>
    <row r="443" spans="1:45" x14ac:dyDescent="0.3">
      <c r="A443" s="6" t="s">
        <v>1645</v>
      </c>
      <c r="B443" s="6" t="s">
        <v>4974</v>
      </c>
      <c r="C443" s="6" t="s">
        <v>268</v>
      </c>
      <c r="D443" s="6" t="s">
        <v>394</v>
      </c>
      <c r="E443" s="6" t="s">
        <v>36</v>
      </c>
      <c r="F443" s="6" t="s">
        <v>19</v>
      </c>
      <c r="G443" s="6" t="s">
        <v>54</v>
      </c>
      <c r="H443" s="6" t="s">
        <v>182</v>
      </c>
      <c r="I443" s="6" t="s">
        <v>240</v>
      </c>
      <c r="J443" s="6" t="s">
        <v>115</v>
      </c>
      <c r="K443" s="6" t="s">
        <v>221</v>
      </c>
      <c r="L443" s="6" t="s">
        <v>1646</v>
      </c>
      <c r="M443" s="6" t="s">
        <v>3944</v>
      </c>
      <c r="N443" s="6" t="s">
        <v>4975</v>
      </c>
      <c r="O443" s="6" t="s">
        <v>4976</v>
      </c>
      <c r="P443" s="6">
        <v>25</v>
      </c>
      <c r="Q443" s="6">
        <v>41903880</v>
      </c>
      <c r="R443" s="6">
        <v>0.33</v>
      </c>
      <c r="S443" s="6">
        <v>0.06</v>
      </c>
      <c r="T443" s="6">
        <v>29760135.579999998</v>
      </c>
      <c r="U443" s="6">
        <v>18663636.140000001</v>
      </c>
      <c r="V443" s="6">
        <v>0.1</v>
      </c>
      <c r="W443" s="6">
        <v>7.0000000000000007E-2</v>
      </c>
      <c r="X443" s="6" t="s">
        <v>1647</v>
      </c>
      <c r="Y443" s="6">
        <v>7408344.46</v>
      </c>
      <c r="Z443" s="6">
        <v>5799295.5800000001</v>
      </c>
      <c r="AA443" s="6">
        <v>90</v>
      </c>
      <c r="AB443" s="6">
        <v>62</v>
      </c>
      <c r="AC443" s="6" t="s">
        <v>342</v>
      </c>
      <c r="AD443" s="6" t="s">
        <v>455</v>
      </c>
      <c r="AE443" s="6">
        <v>7.0000000000000007E-2</v>
      </c>
      <c r="AF443" s="6" t="s">
        <v>4276</v>
      </c>
      <c r="AG443" s="6">
        <v>0.05</v>
      </c>
      <c r="AH443" s="6">
        <v>0.09</v>
      </c>
      <c r="AI443" s="6">
        <v>10</v>
      </c>
      <c r="AJ443" s="6">
        <v>4539</v>
      </c>
      <c r="AK443" s="6">
        <v>5539578.7800000003</v>
      </c>
      <c r="AL443" s="6">
        <v>6015734.0499999998</v>
      </c>
      <c r="AM443" s="6"/>
      <c r="AN443" s="6" t="s">
        <v>348</v>
      </c>
      <c r="AO443" s="6">
        <v>70</v>
      </c>
      <c r="AP443" s="6">
        <v>36</v>
      </c>
      <c r="AQ443" s="6" t="s">
        <v>4275</v>
      </c>
      <c r="AR443" s="6" t="s">
        <v>186</v>
      </c>
      <c r="AS443" s="6" t="s">
        <v>324</v>
      </c>
    </row>
    <row r="444" spans="1:45" x14ac:dyDescent="0.3">
      <c r="A444" s="7" t="s">
        <v>1648</v>
      </c>
      <c r="B444" s="7" t="s">
        <v>3945</v>
      </c>
      <c r="C444" s="7" t="s">
        <v>217</v>
      </c>
      <c r="D444" s="7" t="s">
        <v>202</v>
      </c>
      <c r="E444" s="7" t="s">
        <v>4376</v>
      </c>
      <c r="F444" s="7" t="s">
        <v>196</v>
      </c>
      <c r="G444" s="7" t="s">
        <v>23</v>
      </c>
      <c r="H444" s="7" t="s">
        <v>182</v>
      </c>
      <c r="I444" s="7" t="s">
        <v>4372</v>
      </c>
      <c r="J444" s="7" t="s">
        <v>136</v>
      </c>
      <c r="K444" s="7" t="s">
        <v>333</v>
      </c>
      <c r="L444" s="7" t="s">
        <v>1649</v>
      </c>
      <c r="M444" s="7" t="s">
        <v>3573</v>
      </c>
      <c r="N444" s="7" t="s">
        <v>4461</v>
      </c>
      <c r="O444" s="7" t="s">
        <v>4415</v>
      </c>
      <c r="P444" s="7">
        <v>35</v>
      </c>
      <c r="Q444" s="7">
        <v>39825776</v>
      </c>
      <c r="R444" s="7">
        <v>0.02</v>
      </c>
      <c r="S444" s="7">
        <v>0.02</v>
      </c>
      <c r="T444" s="7">
        <v>39809845.689999998</v>
      </c>
      <c r="U444" s="7">
        <v>28989856.640000001</v>
      </c>
      <c r="V444" s="7">
        <v>0.08</v>
      </c>
      <c r="W444" s="7">
        <v>0.06</v>
      </c>
      <c r="X444" s="7" t="s">
        <v>1650</v>
      </c>
      <c r="Y444" s="7">
        <v>10746535.550000001</v>
      </c>
      <c r="Z444" s="7" t="s">
        <v>4357</v>
      </c>
      <c r="AA444" s="7">
        <v>120</v>
      </c>
      <c r="AB444" s="7">
        <v>52</v>
      </c>
      <c r="AC444" s="7" t="s">
        <v>342</v>
      </c>
      <c r="AD444" s="7" t="s">
        <v>320</v>
      </c>
      <c r="AE444" s="7">
        <v>0.66</v>
      </c>
      <c r="AF444" s="7" t="s">
        <v>4361</v>
      </c>
      <c r="AG444" s="7">
        <v>0.05</v>
      </c>
      <c r="AH444" s="7">
        <v>0.05</v>
      </c>
      <c r="AI444" s="7">
        <v>11</v>
      </c>
      <c r="AJ444" s="7">
        <v>2026</v>
      </c>
      <c r="AK444" s="7">
        <v>9035851.4399999995</v>
      </c>
      <c r="AL444" s="7">
        <v>11029772.9</v>
      </c>
      <c r="AM444" s="7" t="s">
        <v>321</v>
      </c>
      <c r="AN444" s="7" t="s">
        <v>348</v>
      </c>
      <c r="AO444" s="7">
        <v>91</v>
      </c>
      <c r="AP444" s="7">
        <v>48</v>
      </c>
      <c r="AQ444" s="7" t="s">
        <v>337</v>
      </c>
      <c r="AR444" s="7" t="s">
        <v>229</v>
      </c>
      <c r="AS444" s="7" t="s">
        <v>357</v>
      </c>
    </row>
    <row r="445" spans="1:45" x14ac:dyDescent="0.3">
      <c r="A445" s="6" t="s">
        <v>1651</v>
      </c>
      <c r="B445" s="6" t="s">
        <v>3946</v>
      </c>
      <c r="C445" s="6" t="s">
        <v>264</v>
      </c>
      <c r="D445" s="6" t="s">
        <v>262</v>
      </c>
      <c r="E445" s="6" t="s">
        <v>4265</v>
      </c>
      <c r="F445" s="6" t="s">
        <v>350</v>
      </c>
      <c r="G445" s="6"/>
      <c r="H445" s="6" t="s">
        <v>236</v>
      </c>
      <c r="I445" s="6" t="s">
        <v>198</v>
      </c>
      <c r="J445" s="6" t="s">
        <v>130</v>
      </c>
      <c r="K445" s="6" t="s">
        <v>184</v>
      </c>
      <c r="L445" s="6" t="s">
        <v>1652</v>
      </c>
      <c r="M445" s="6" t="s">
        <v>4295</v>
      </c>
      <c r="N445" s="6" t="s">
        <v>3579</v>
      </c>
      <c r="O445" s="6" t="s">
        <v>4274</v>
      </c>
      <c r="P445" s="6">
        <v>6</v>
      </c>
      <c r="Q445" s="6">
        <v>265687</v>
      </c>
      <c r="R445" s="6">
        <v>0.16</v>
      </c>
      <c r="S445" s="6">
        <v>0.02</v>
      </c>
      <c r="T445" s="6">
        <v>227640.62</v>
      </c>
      <c r="U445" s="6">
        <v>177872.94</v>
      </c>
      <c r="V445" s="6">
        <v>0.12</v>
      </c>
      <c r="W445" s="6">
        <v>0.11</v>
      </c>
      <c r="X445" s="6" t="s">
        <v>1653</v>
      </c>
      <c r="Y445" s="6">
        <v>175938.03</v>
      </c>
      <c r="Z445" s="6">
        <v>157005</v>
      </c>
      <c r="AA445" s="6">
        <v>30</v>
      </c>
      <c r="AB445" s="6">
        <v>96</v>
      </c>
      <c r="AC445" s="6"/>
      <c r="AD445" s="6" t="s">
        <v>455</v>
      </c>
      <c r="AE445" s="6">
        <v>0.86</v>
      </c>
      <c r="AF445" s="6" t="s">
        <v>159</v>
      </c>
      <c r="AG445" s="6">
        <v>0.05</v>
      </c>
      <c r="AH445" s="6">
        <v>0.03</v>
      </c>
      <c r="AI445" s="6">
        <v>10</v>
      </c>
      <c r="AJ445" s="6">
        <v>1207</v>
      </c>
      <c r="AK445" s="6">
        <v>26750.45</v>
      </c>
      <c r="AL445" s="6">
        <v>26830.04</v>
      </c>
      <c r="AM445" s="6" t="s">
        <v>73</v>
      </c>
      <c r="AN445" s="6" t="s">
        <v>356</v>
      </c>
      <c r="AO445" s="6">
        <v>67.400000000000006</v>
      </c>
      <c r="AP445" s="6">
        <v>60</v>
      </c>
      <c r="AQ445" s="6" t="s">
        <v>323</v>
      </c>
      <c r="AR445" s="6" t="s">
        <v>224</v>
      </c>
      <c r="AS445" s="6"/>
    </row>
    <row r="446" spans="1:45" x14ac:dyDescent="0.3">
      <c r="A446" s="7" t="s">
        <v>1654</v>
      </c>
      <c r="B446" s="7" t="s">
        <v>3403</v>
      </c>
      <c r="C446" s="7" t="s">
        <v>217</v>
      </c>
      <c r="D446" s="7" t="s">
        <v>253</v>
      </c>
      <c r="E446" s="7" t="s">
        <v>20</v>
      </c>
      <c r="F446" s="7" t="s">
        <v>31</v>
      </c>
      <c r="G446" s="7"/>
      <c r="H446" s="7" t="s">
        <v>4266</v>
      </c>
      <c r="I446" s="7" t="s">
        <v>4272</v>
      </c>
      <c r="J446" s="7" t="s">
        <v>136</v>
      </c>
      <c r="K446" s="7" t="s">
        <v>210</v>
      </c>
      <c r="L446" s="7" t="s">
        <v>1655</v>
      </c>
      <c r="M446" s="7" t="s">
        <v>4977</v>
      </c>
      <c r="N446" s="7" t="s">
        <v>4978</v>
      </c>
      <c r="O446" s="7" t="s">
        <v>4501</v>
      </c>
      <c r="P446" s="7">
        <v>30</v>
      </c>
      <c r="Q446" s="7">
        <v>19045328</v>
      </c>
      <c r="R446" s="7">
        <v>0.14000000000000001</v>
      </c>
      <c r="S446" s="7">
        <v>-0.02</v>
      </c>
      <c r="T446" s="7">
        <v>16051402.439999999</v>
      </c>
      <c r="U446" s="7">
        <v>9853183.7699999996</v>
      </c>
      <c r="V446" s="7" t="s">
        <v>4374</v>
      </c>
      <c r="W446" s="7">
        <v>7.0000000000000007E-2</v>
      </c>
      <c r="X446" s="7" t="s">
        <v>1656</v>
      </c>
      <c r="Y446" s="7">
        <v>5038996.24</v>
      </c>
      <c r="Z446" s="7">
        <v>2111933.0299999998</v>
      </c>
      <c r="AA446" s="7">
        <v>30</v>
      </c>
      <c r="AB446" s="7">
        <v>61</v>
      </c>
      <c r="AC446" s="7" t="s">
        <v>376</v>
      </c>
      <c r="AD446" s="7" t="s">
        <v>320</v>
      </c>
      <c r="AE446" s="7">
        <v>0.55000000000000004</v>
      </c>
      <c r="AF446" s="7" t="s">
        <v>162</v>
      </c>
      <c r="AG446" s="7">
        <v>0.15</v>
      </c>
      <c r="AH446" s="7">
        <v>0.03</v>
      </c>
      <c r="AI446" s="7">
        <v>7</v>
      </c>
      <c r="AJ446" s="7">
        <v>3562</v>
      </c>
      <c r="AK446" s="7">
        <v>2390769.4</v>
      </c>
      <c r="AL446" s="7">
        <v>1782248.54</v>
      </c>
      <c r="AM446" s="7" t="s">
        <v>321</v>
      </c>
      <c r="AN446" s="7" t="s">
        <v>386</v>
      </c>
      <c r="AO446" s="7">
        <v>55</v>
      </c>
      <c r="AP446" s="7">
        <v>60</v>
      </c>
      <c r="AQ446" s="7" t="s">
        <v>392</v>
      </c>
      <c r="AR446" s="7" t="s">
        <v>186</v>
      </c>
      <c r="AS446" s="7" t="s">
        <v>377</v>
      </c>
    </row>
    <row r="447" spans="1:45" x14ac:dyDescent="0.3">
      <c r="A447" s="6" t="s">
        <v>1657</v>
      </c>
      <c r="B447" s="6" t="s">
        <v>3381</v>
      </c>
      <c r="C447" s="6" t="s">
        <v>258</v>
      </c>
      <c r="D447" s="6" t="s">
        <v>274</v>
      </c>
      <c r="E447" s="6" t="s">
        <v>41</v>
      </c>
      <c r="F447" s="6" t="s">
        <v>228</v>
      </c>
      <c r="G447" s="6" t="s">
        <v>46</v>
      </c>
      <c r="H447" s="6" t="s">
        <v>197</v>
      </c>
      <c r="I447" s="6" t="s">
        <v>233</v>
      </c>
      <c r="J447" s="6" t="s">
        <v>105</v>
      </c>
      <c r="K447" s="6" t="s">
        <v>326</v>
      </c>
      <c r="L447" s="6" t="s">
        <v>1658</v>
      </c>
      <c r="M447" s="6" t="s">
        <v>3947</v>
      </c>
      <c r="N447" s="6"/>
      <c r="O447" s="6" t="s">
        <v>3948</v>
      </c>
      <c r="P447" s="6">
        <v>51</v>
      </c>
      <c r="Q447" s="6">
        <v>7590644</v>
      </c>
      <c r="R447" s="6">
        <v>0.31</v>
      </c>
      <c r="S447" s="6">
        <v>0.1</v>
      </c>
      <c r="T447" s="6">
        <v>5761298.7999999998</v>
      </c>
      <c r="U447" s="6">
        <v>5053235.08</v>
      </c>
      <c r="V447" s="6">
        <v>0.13</v>
      </c>
      <c r="W447" s="6">
        <v>0.05</v>
      </c>
      <c r="X447" s="6" t="s">
        <v>1659</v>
      </c>
      <c r="Y447" s="6">
        <v>682298.03</v>
      </c>
      <c r="Z447" s="6">
        <v>349244.56</v>
      </c>
      <c r="AA447" s="6">
        <v>60</v>
      </c>
      <c r="AB447" s="6">
        <v>93</v>
      </c>
      <c r="AC447" s="6"/>
      <c r="AD447" s="6" t="s">
        <v>406</v>
      </c>
      <c r="AE447" s="6">
        <v>0.28999999999999998</v>
      </c>
      <c r="AF447" s="6" t="s">
        <v>152</v>
      </c>
      <c r="AG447" s="6">
        <v>0.1</v>
      </c>
      <c r="AH447" s="6">
        <v>0.05</v>
      </c>
      <c r="AI447" s="6">
        <v>15</v>
      </c>
      <c r="AJ447" s="6">
        <v>3924</v>
      </c>
      <c r="AK447" s="6">
        <v>1205999.93</v>
      </c>
      <c r="AL447" s="6"/>
      <c r="AM447" s="6"/>
      <c r="AN447" s="6" t="s">
        <v>386</v>
      </c>
      <c r="AO447" s="6">
        <v>72.900000000000006</v>
      </c>
      <c r="AP447" s="6">
        <v>24</v>
      </c>
      <c r="AQ447" s="6"/>
      <c r="AR447" s="6" t="s">
        <v>186</v>
      </c>
      <c r="AS447" s="6" t="s">
        <v>377</v>
      </c>
    </row>
    <row r="448" spans="1:45" x14ac:dyDescent="0.3">
      <c r="A448" s="7" t="s">
        <v>1660</v>
      </c>
      <c r="B448" s="7" t="s">
        <v>3384</v>
      </c>
      <c r="C448" s="7" t="s">
        <v>217</v>
      </c>
      <c r="D448" s="7" t="s">
        <v>274</v>
      </c>
      <c r="E448" s="7" t="s">
        <v>41</v>
      </c>
      <c r="F448" s="7" t="s">
        <v>363</v>
      </c>
      <c r="G448" s="7" t="s">
        <v>66</v>
      </c>
      <c r="H448" s="7" t="s">
        <v>212</v>
      </c>
      <c r="I448" s="7" t="s">
        <v>191</v>
      </c>
      <c r="J448" s="6" t="s">
        <v>105</v>
      </c>
      <c r="K448" s="7" t="s">
        <v>199</v>
      </c>
      <c r="L448" s="7" t="s">
        <v>1661</v>
      </c>
      <c r="M448" s="7" t="s">
        <v>4684</v>
      </c>
      <c r="N448" s="7" t="s">
        <v>4979</v>
      </c>
      <c r="O448" s="7" t="s">
        <v>3949</v>
      </c>
      <c r="P448" s="7">
        <v>60</v>
      </c>
      <c r="Q448" s="7">
        <v>26438378</v>
      </c>
      <c r="R448" s="7">
        <v>0.31</v>
      </c>
      <c r="S448" s="7">
        <v>-0.01</v>
      </c>
      <c r="T448" s="7">
        <v>18060056.010000002</v>
      </c>
      <c r="U448" s="7">
        <v>10954403.619999999</v>
      </c>
      <c r="V448" s="7">
        <v>0.25</v>
      </c>
      <c r="W448" s="7">
        <v>0.19</v>
      </c>
      <c r="X448" s="7" t="s">
        <v>1662</v>
      </c>
      <c r="Y448" s="7">
        <v>7415883.0800000001</v>
      </c>
      <c r="Z448" s="7">
        <v>6540934.8600000003</v>
      </c>
      <c r="AA448" s="7">
        <v>30</v>
      </c>
      <c r="AB448" s="7">
        <v>76</v>
      </c>
      <c r="AC448" s="7"/>
      <c r="AD448" s="7" t="s">
        <v>354</v>
      </c>
      <c r="AE448" s="7">
        <v>0.94</v>
      </c>
      <c r="AF448" s="7" t="s">
        <v>4361</v>
      </c>
      <c r="AG448" s="7">
        <v>0.05</v>
      </c>
      <c r="AH448" s="7">
        <v>0.02</v>
      </c>
      <c r="AI448" s="7">
        <v>14</v>
      </c>
      <c r="AJ448" s="7">
        <v>1876</v>
      </c>
      <c r="AK448" s="7">
        <v>1304171.3700000001</v>
      </c>
      <c r="AL448" s="7">
        <v>7336051.3499999996</v>
      </c>
      <c r="AM448" s="7" t="s">
        <v>391</v>
      </c>
      <c r="AN448" s="7" t="s">
        <v>321</v>
      </c>
      <c r="AO448" s="7"/>
      <c r="AP448" s="7">
        <v>24</v>
      </c>
      <c r="AQ448" s="7" t="s">
        <v>323</v>
      </c>
      <c r="AR448" s="7" t="s">
        <v>192</v>
      </c>
      <c r="AS448" s="7" t="s">
        <v>188</v>
      </c>
    </row>
    <row r="449" spans="1:45" x14ac:dyDescent="0.3">
      <c r="A449" s="6" t="s">
        <v>1155</v>
      </c>
      <c r="B449" s="6" t="s">
        <v>4980</v>
      </c>
      <c r="C449" s="6" t="s">
        <v>285</v>
      </c>
      <c r="D449" s="6" t="s">
        <v>394</v>
      </c>
      <c r="E449" s="6" t="s">
        <v>113</v>
      </c>
      <c r="F449" s="6"/>
      <c r="G449" s="6" t="s">
        <v>28</v>
      </c>
      <c r="H449" s="6" t="s">
        <v>212</v>
      </c>
      <c r="I449" s="6" t="s">
        <v>246</v>
      </c>
      <c r="J449" s="6" t="s">
        <v>123</v>
      </c>
      <c r="K449" s="6" t="s">
        <v>333</v>
      </c>
      <c r="L449" s="6" t="s">
        <v>3950</v>
      </c>
      <c r="M449" s="6" t="s">
        <v>4483</v>
      </c>
      <c r="N449" s="6" t="s">
        <v>4867</v>
      </c>
      <c r="O449" s="6" t="s">
        <v>4981</v>
      </c>
      <c r="P449" s="6">
        <v>58</v>
      </c>
      <c r="Q449" s="6">
        <v>22334553</v>
      </c>
      <c r="R449" s="6">
        <v>0.21</v>
      </c>
      <c r="S449" s="6">
        <v>0.02</v>
      </c>
      <c r="T449" s="6">
        <v>17997182.809999999</v>
      </c>
      <c r="U449" s="6">
        <v>13445690.9</v>
      </c>
      <c r="V449" s="6">
        <v>0.24</v>
      </c>
      <c r="W449" s="6">
        <v>0.11</v>
      </c>
      <c r="X449" s="6" t="s">
        <v>3952</v>
      </c>
      <c r="Y449" s="6">
        <v>1568073.99</v>
      </c>
      <c r="Z449" s="6">
        <v>801878.44</v>
      </c>
      <c r="AA449" s="6">
        <v>90</v>
      </c>
      <c r="AB449" s="6">
        <v>176</v>
      </c>
      <c r="AC449" s="6" t="s">
        <v>329</v>
      </c>
      <c r="AD449" s="6" t="s">
        <v>226</v>
      </c>
      <c r="AE449" s="6">
        <v>0.19</v>
      </c>
      <c r="AF449" s="6" t="s">
        <v>152</v>
      </c>
      <c r="AG449" s="6">
        <v>0.05</v>
      </c>
      <c r="AH449" s="6">
        <v>0.02</v>
      </c>
      <c r="AI449" s="6">
        <v>14</v>
      </c>
      <c r="AJ449" s="6">
        <v>845</v>
      </c>
      <c r="AK449" s="6">
        <v>4049703.48</v>
      </c>
      <c r="AL449" s="6"/>
      <c r="AM449" s="6" t="s">
        <v>73</v>
      </c>
      <c r="AN449" s="6" t="s">
        <v>386</v>
      </c>
      <c r="AO449" s="6">
        <v>67.8</v>
      </c>
      <c r="AP449" s="6" t="s">
        <v>4275</v>
      </c>
      <c r="AQ449" s="6"/>
      <c r="AR449" s="6" t="s">
        <v>224</v>
      </c>
      <c r="AS449" s="6" t="s">
        <v>361</v>
      </c>
    </row>
    <row r="450" spans="1:45" x14ac:dyDescent="0.3">
      <c r="A450" s="7" t="s">
        <v>1663</v>
      </c>
      <c r="B450" s="7" t="s">
        <v>4982</v>
      </c>
      <c r="C450" s="7" t="s">
        <v>270</v>
      </c>
      <c r="D450" s="7" t="s">
        <v>238</v>
      </c>
      <c r="E450" s="7" t="s">
        <v>52</v>
      </c>
      <c r="F450" s="7" t="s">
        <v>75</v>
      </c>
      <c r="G450" s="7" t="s">
        <v>38</v>
      </c>
      <c r="H450" s="7" t="s">
        <v>4271</v>
      </c>
      <c r="I450" s="7" t="s">
        <v>233</v>
      </c>
      <c r="J450" s="7" t="s">
        <v>133</v>
      </c>
      <c r="K450" s="7" t="s">
        <v>184</v>
      </c>
      <c r="L450" s="7" t="s">
        <v>1664</v>
      </c>
      <c r="M450" s="7" t="s">
        <v>3953</v>
      </c>
      <c r="N450" s="7" t="s">
        <v>4627</v>
      </c>
      <c r="O450" s="7" t="s">
        <v>4583</v>
      </c>
      <c r="P450" s="7" t="s">
        <v>4275</v>
      </c>
      <c r="Q450" s="7">
        <v>27576029</v>
      </c>
      <c r="R450" s="7">
        <v>0.08</v>
      </c>
      <c r="S450" s="7">
        <v>-0.03</v>
      </c>
      <c r="T450" s="7">
        <v>24608848.280000001</v>
      </c>
      <c r="U450" s="7">
        <v>17334908.41</v>
      </c>
      <c r="V450" s="7">
        <v>0.28999999999999998</v>
      </c>
      <c r="W450" s="7">
        <v>7.0000000000000007E-2</v>
      </c>
      <c r="X450" s="7" t="s">
        <v>1665</v>
      </c>
      <c r="Y450" s="7">
        <v>13705185.119999999</v>
      </c>
      <c r="Z450" s="7">
        <v>14868150.390000001</v>
      </c>
      <c r="AA450" s="7">
        <v>60</v>
      </c>
      <c r="AB450" s="7">
        <v>91</v>
      </c>
      <c r="AC450" s="7" t="s">
        <v>353</v>
      </c>
      <c r="AD450" s="7" t="s">
        <v>320</v>
      </c>
      <c r="AE450" s="7">
        <v>0.47</v>
      </c>
      <c r="AF450" s="7" t="s">
        <v>162</v>
      </c>
      <c r="AG450" s="7">
        <v>0.05</v>
      </c>
      <c r="AH450" s="7">
        <v>0.08</v>
      </c>
      <c r="AI450" s="7">
        <v>13</v>
      </c>
      <c r="AJ450" s="7">
        <v>639</v>
      </c>
      <c r="AK450" s="7">
        <v>5365370.0199999996</v>
      </c>
      <c r="AL450" s="7">
        <v>8154345.5899999999</v>
      </c>
      <c r="AM450" s="7"/>
      <c r="AN450" s="7" t="s">
        <v>322</v>
      </c>
      <c r="AO450" s="7">
        <v>84.6</v>
      </c>
      <c r="AP450" s="7">
        <v>12</v>
      </c>
      <c r="AQ450" s="7" t="s">
        <v>392</v>
      </c>
      <c r="AR450" s="7" t="s">
        <v>186</v>
      </c>
      <c r="AS450" s="7" t="s">
        <v>377</v>
      </c>
    </row>
    <row r="451" spans="1:45" x14ac:dyDescent="0.3">
      <c r="A451" s="6" t="s">
        <v>1666</v>
      </c>
      <c r="B451" s="6" t="s">
        <v>3838</v>
      </c>
      <c r="C451" s="6" t="s">
        <v>214</v>
      </c>
      <c r="D451" s="6" t="s">
        <v>215</v>
      </c>
      <c r="E451" s="6" t="s">
        <v>113</v>
      </c>
      <c r="F451" s="6"/>
      <c r="G451" s="6" t="s">
        <v>38</v>
      </c>
      <c r="H451" s="6"/>
      <c r="I451" s="6" t="s">
        <v>183</v>
      </c>
      <c r="J451" s="6" t="s">
        <v>127</v>
      </c>
      <c r="K451" s="6" t="s">
        <v>210</v>
      </c>
      <c r="L451" s="6" t="s">
        <v>1667</v>
      </c>
      <c r="M451" s="6" t="s">
        <v>4339</v>
      </c>
      <c r="N451" s="6" t="s">
        <v>3954</v>
      </c>
      <c r="O451" s="6" t="s">
        <v>3955</v>
      </c>
      <c r="P451" s="6">
        <v>28</v>
      </c>
      <c r="Q451" s="6">
        <v>20054394</v>
      </c>
      <c r="R451" s="6">
        <v>0.14000000000000001</v>
      </c>
      <c r="S451" s="6">
        <v>0.14000000000000001</v>
      </c>
      <c r="T451" s="6">
        <v>19661327.879999999</v>
      </c>
      <c r="U451" s="6">
        <v>12513536.41</v>
      </c>
      <c r="V451" s="6">
        <v>0.13</v>
      </c>
      <c r="W451" s="6">
        <v>0.14000000000000001</v>
      </c>
      <c r="X451" s="6" t="s">
        <v>1668</v>
      </c>
      <c r="Y451" s="6">
        <v>9397993.2699999996</v>
      </c>
      <c r="Z451" s="6">
        <v>5388782.0700000003</v>
      </c>
      <c r="AA451" s="6">
        <v>90</v>
      </c>
      <c r="AB451" s="6">
        <v>61</v>
      </c>
      <c r="AC451" s="6" t="s">
        <v>376</v>
      </c>
      <c r="AD451" s="6" t="s">
        <v>455</v>
      </c>
      <c r="AE451" s="6">
        <v>0.69</v>
      </c>
      <c r="AF451" s="6" t="s">
        <v>4312</v>
      </c>
      <c r="AG451" s="6">
        <v>0.15</v>
      </c>
      <c r="AH451" s="6">
        <v>0.06</v>
      </c>
      <c r="AI451" s="6">
        <v>3</v>
      </c>
      <c r="AJ451" s="6">
        <v>778</v>
      </c>
      <c r="AK451" s="6">
        <v>1377363.55</v>
      </c>
      <c r="AL451" s="6"/>
      <c r="AM451" s="6" t="s">
        <v>355</v>
      </c>
      <c r="AN451" s="6" t="s">
        <v>386</v>
      </c>
      <c r="AO451" s="6">
        <v>91.2</v>
      </c>
      <c r="AP451" s="6">
        <v>48</v>
      </c>
      <c r="AQ451" s="6"/>
      <c r="AR451" s="6" t="s">
        <v>206</v>
      </c>
      <c r="AS451" s="6" t="s">
        <v>361</v>
      </c>
    </row>
    <row r="452" spans="1:45" x14ac:dyDescent="0.3">
      <c r="A452" s="7" t="s">
        <v>1669</v>
      </c>
      <c r="B452" s="7" t="s">
        <v>4983</v>
      </c>
      <c r="C452" s="7" t="s">
        <v>256</v>
      </c>
      <c r="D452" s="7" t="s">
        <v>238</v>
      </c>
      <c r="E452" s="7" t="s">
        <v>113</v>
      </c>
      <c r="F452" s="7" t="s">
        <v>181</v>
      </c>
      <c r="G452" s="7" t="s">
        <v>54</v>
      </c>
      <c r="H452" s="7" t="s">
        <v>4326</v>
      </c>
      <c r="I452" s="7" t="s">
        <v>4289</v>
      </c>
      <c r="J452" s="7" t="s">
        <v>123</v>
      </c>
      <c r="K452" s="7" t="s">
        <v>221</v>
      </c>
      <c r="L452" s="7" t="s">
        <v>1670</v>
      </c>
      <c r="M452" s="7" t="s">
        <v>4181</v>
      </c>
      <c r="N452" s="7"/>
      <c r="O452" s="7" t="s">
        <v>4984</v>
      </c>
      <c r="P452" s="7">
        <v>48</v>
      </c>
      <c r="Q452" s="7">
        <v>46891899</v>
      </c>
      <c r="R452" s="7">
        <v>0.23</v>
      </c>
      <c r="S452" s="7">
        <v>0.04</v>
      </c>
      <c r="T452" s="7">
        <v>37551032.719999999</v>
      </c>
      <c r="U452" s="7">
        <v>22656849.280000001</v>
      </c>
      <c r="V452" s="7">
        <v>0.16</v>
      </c>
      <c r="W452" s="7">
        <v>0.15</v>
      </c>
      <c r="X452" s="7" t="s">
        <v>1671</v>
      </c>
      <c r="Y452" s="7">
        <v>27037529.82</v>
      </c>
      <c r="Z452" s="7">
        <v>19756416.699999999</v>
      </c>
      <c r="AA452" s="7">
        <v>45</v>
      </c>
      <c r="AB452" s="7">
        <v>162</v>
      </c>
      <c r="AC452" s="7" t="s">
        <v>353</v>
      </c>
      <c r="AD452" s="7" t="s">
        <v>381</v>
      </c>
      <c r="AE452" s="7">
        <v>0.31</v>
      </c>
      <c r="AF452" s="7" t="s">
        <v>162</v>
      </c>
      <c r="AG452" s="7">
        <v>0.15</v>
      </c>
      <c r="AH452" s="7">
        <v>0.01</v>
      </c>
      <c r="AI452" s="7">
        <v>5</v>
      </c>
      <c r="AJ452" s="7">
        <v>1890</v>
      </c>
      <c r="AK452" s="7">
        <v>1280719.6299999999</v>
      </c>
      <c r="AL452" s="7">
        <v>7444620.6799999997</v>
      </c>
      <c r="AM452" s="7" t="s">
        <v>385</v>
      </c>
      <c r="AN452" s="7" t="s">
        <v>356</v>
      </c>
      <c r="AO452" s="7">
        <v>92.5</v>
      </c>
      <c r="AP452" s="7">
        <v>48</v>
      </c>
      <c r="AQ452" s="7" t="s">
        <v>323</v>
      </c>
      <c r="AR452" s="7" t="s">
        <v>186</v>
      </c>
      <c r="AS452" s="7" t="s">
        <v>324</v>
      </c>
    </row>
    <row r="453" spans="1:45" x14ac:dyDescent="0.3">
      <c r="A453" s="6" t="s">
        <v>1672</v>
      </c>
      <c r="B453" s="6" t="s">
        <v>4329</v>
      </c>
      <c r="C453" s="6" t="s">
        <v>217</v>
      </c>
      <c r="D453" s="6" t="s">
        <v>238</v>
      </c>
      <c r="E453" s="6" t="s">
        <v>4270</v>
      </c>
      <c r="F453" s="6" t="s">
        <v>367</v>
      </c>
      <c r="G453" s="6" t="s">
        <v>73</v>
      </c>
      <c r="H453" s="6" t="s">
        <v>197</v>
      </c>
      <c r="I453" s="6" t="s">
        <v>198</v>
      </c>
      <c r="J453" s="6" t="s">
        <v>123</v>
      </c>
      <c r="K453" s="6" t="s">
        <v>199</v>
      </c>
      <c r="L453" s="6" t="s">
        <v>1673</v>
      </c>
      <c r="M453" s="6" t="s">
        <v>4985</v>
      </c>
      <c r="N453" s="6"/>
      <c r="O453" s="6" t="s">
        <v>3649</v>
      </c>
      <c r="P453" s="6">
        <v>32</v>
      </c>
      <c r="Q453" s="6">
        <v>18215742</v>
      </c>
      <c r="R453" s="6">
        <v>7.0000000000000007E-2</v>
      </c>
      <c r="S453" s="6">
        <v>0.14000000000000001</v>
      </c>
      <c r="T453" s="6">
        <v>19312329.670000002</v>
      </c>
      <c r="U453" s="6"/>
      <c r="V453" s="6">
        <v>0.27</v>
      </c>
      <c r="W453" s="6">
        <v>0.1</v>
      </c>
      <c r="X453" s="6" t="s">
        <v>1674</v>
      </c>
      <c r="Y453" s="6">
        <v>10039222.380000001</v>
      </c>
      <c r="Z453" s="6">
        <v>9862585.2200000007</v>
      </c>
      <c r="AA453" s="6">
        <v>45</v>
      </c>
      <c r="AB453" s="6">
        <v>172</v>
      </c>
      <c r="AC453" s="6" t="s">
        <v>329</v>
      </c>
      <c r="AD453" s="6" t="s">
        <v>381</v>
      </c>
      <c r="AE453" s="6">
        <v>0.98</v>
      </c>
      <c r="AF453" s="6"/>
      <c r="AG453" s="6">
        <v>0.05</v>
      </c>
      <c r="AH453" s="6">
        <v>0.02</v>
      </c>
      <c r="AI453" s="6">
        <v>8</v>
      </c>
      <c r="AJ453" s="6">
        <v>1477</v>
      </c>
      <c r="AK453" s="6">
        <v>724240.5</v>
      </c>
      <c r="AL453" s="6">
        <v>7955919.1299999999</v>
      </c>
      <c r="AM453" s="6" t="s">
        <v>73</v>
      </c>
      <c r="AN453" s="6" t="s">
        <v>386</v>
      </c>
      <c r="AO453" s="6">
        <v>84.2</v>
      </c>
      <c r="AP453" s="6" t="s">
        <v>4275</v>
      </c>
      <c r="AQ453" s="6" t="s">
        <v>4275</v>
      </c>
      <c r="AR453" s="6" t="s">
        <v>206</v>
      </c>
      <c r="AS453" s="6" t="s">
        <v>361</v>
      </c>
    </row>
    <row r="454" spans="1:45" x14ac:dyDescent="0.3">
      <c r="A454" s="7" t="s">
        <v>1675</v>
      </c>
      <c r="B454" s="7" t="s">
        <v>4986</v>
      </c>
      <c r="C454" s="7" t="s">
        <v>286</v>
      </c>
      <c r="D454" s="7" t="s">
        <v>262</v>
      </c>
      <c r="E454" s="7" t="s">
        <v>113</v>
      </c>
      <c r="F454" s="7" t="s">
        <v>181</v>
      </c>
      <c r="G454" s="7" t="s">
        <v>33</v>
      </c>
      <c r="H454" s="7" t="s">
        <v>4266</v>
      </c>
      <c r="I454" s="7" t="s">
        <v>233</v>
      </c>
      <c r="J454" s="7" t="s">
        <v>111</v>
      </c>
      <c r="K454" s="7" t="s">
        <v>199</v>
      </c>
      <c r="L454" s="7" t="s">
        <v>1676</v>
      </c>
      <c r="M454" s="7" t="s">
        <v>4987</v>
      </c>
      <c r="N454" s="7" t="s">
        <v>3729</v>
      </c>
      <c r="O454" s="7" t="s">
        <v>3957</v>
      </c>
      <c r="P454" s="7">
        <v>35</v>
      </c>
      <c r="Q454" s="7">
        <v>11972800</v>
      </c>
      <c r="R454" s="7">
        <v>0.02</v>
      </c>
      <c r="S454" s="7">
        <v>0.19</v>
      </c>
      <c r="T454" s="7">
        <v>13962679.359999999</v>
      </c>
      <c r="U454" s="7">
        <v>9509250.2699999996</v>
      </c>
      <c r="V454" s="7">
        <v>0.33</v>
      </c>
      <c r="W454" s="7">
        <v>0.15</v>
      </c>
      <c r="X454" s="7" t="s">
        <v>1677</v>
      </c>
      <c r="Y454" s="7">
        <v>3568618.44</v>
      </c>
      <c r="Z454" s="7" t="s">
        <v>4357</v>
      </c>
      <c r="AA454" s="7">
        <v>90</v>
      </c>
      <c r="AB454" s="7">
        <v>111</v>
      </c>
      <c r="AC454" s="7" t="s">
        <v>353</v>
      </c>
      <c r="AD454" s="7" t="s">
        <v>354</v>
      </c>
      <c r="AE454" s="7">
        <v>0.6</v>
      </c>
      <c r="AF454" s="7" t="s">
        <v>152</v>
      </c>
      <c r="AG454" s="7">
        <v>0.1</v>
      </c>
      <c r="AH454" s="7">
        <v>0.06</v>
      </c>
      <c r="AI454" s="7">
        <v>5</v>
      </c>
      <c r="AJ454" s="7">
        <v>4325</v>
      </c>
      <c r="AK454" s="7">
        <v>3177652.68</v>
      </c>
      <c r="AL454" s="7">
        <v>1604493.33</v>
      </c>
      <c r="AM454" s="7" t="s">
        <v>391</v>
      </c>
      <c r="AN454" s="7" t="s">
        <v>348</v>
      </c>
      <c r="AO454" s="7">
        <v>97.6</v>
      </c>
      <c r="AP454" s="7">
        <v>36</v>
      </c>
      <c r="AQ454" s="7"/>
      <c r="AR454" s="7" t="s">
        <v>206</v>
      </c>
      <c r="AS454" s="7" t="s">
        <v>324</v>
      </c>
    </row>
    <row r="455" spans="1:45" x14ac:dyDescent="0.3">
      <c r="A455" s="6" t="s">
        <v>1678</v>
      </c>
      <c r="B455" s="6" t="s">
        <v>4988</v>
      </c>
      <c r="C455" s="6" t="s">
        <v>257</v>
      </c>
      <c r="D455" s="6" t="s">
        <v>250</v>
      </c>
      <c r="E455" s="6" t="s">
        <v>4270</v>
      </c>
      <c r="F455" s="6" t="s">
        <v>367</v>
      </c>
      <c r="G455" s="6" t="s">
        <v>80</v>
      </c>
      <c r="H455" s="6" t="s">
        <v>4340</v>
      </c>
      <c r="I455" s="6"/>
      <c r="J455" s="6" t="s">
        <v>111</v>
      </c>
      <c r="K455" s="6" t="s">
        <v>223</v>
      </c>
      <c r="L455" s="6" t="s">
        <v>1679</v>
      </c>
      <c r="M455" s="6" t="s">
        <v>4989</v>
      </c>
      <c r="N455" s="6" t="s">
        <v>4990</v>
      </c>
      <c r="O455" s="6" t="s">
        <v>4274</v>
      </c>
      <c r="P455" s="6">
        <v>54</v>
      </c>
      <c r="Q455" s="6">
        <v>37410863</v>
      </c>
      <c r="R455" s="6">
        <v>0.12</v>
      </c>
      <c r="S455" s="6">
        <v>-0.04</v>
      </c>
      <c r="T455" s="6">
        <v>31604697.059999999</v>
      </c>
      <c r="U455" s="6">
        <v>21560427.760000002</v>
      </c>
      <c r="V455" s="6">
        <v>0.38</v>
      </c>
      <c r="W455" s="6">
        <v>0.08</v>
      </c>
      <c r="X455" s="6" t="s">
        <v>1680</v>
      </c>
      <c r="Y455" s="6">
        <v>8806341.6799999997</v>
      </c>
      <c r="Z455" s="6">
        <v>5037409.33</v>
      </c>
      <c r="AA455" s="6">
        <v>30</v>
      </c>
      <c r="AB455" s="6">
        <v>148</v>
      </c>
      <c r="AC455" s="6" t="s">
        <v>342</v>
      </c>
      <c r="AD455" s="6" t="s">
        <v>226</v>
      </c>
      <c r="AE455" s="6">
        <v>0.86</v>
      </c>
      <c r="AF455" s="6" t="s">
        <v>4361</v>
      </c>
      <c r="AG455" s="6">
        <v>0.05</v>
      </c>
      <c r="AH455" s="6">
        <v>0.1</v>
      </c>
      <c r="AI455" s="6">
        <v>11</v>
      </c>
      <c r="AJ455" s="6">
        <v>4239</v>
      </c>
      <c r="AK455" s="6">
        <v>3755614</v>
      </c>
      <c r="AL455" s="6">
        <v>10888330.560000001</v>
      </c>
      <c r="AM455" s="6" t="s">
        <v>391</v>
      </c>
      <c r="AN455" s="6" t="s">
        <v>386</v>
      </c>
      <c r="AO455" s="6">
        <v>87</v>
      </c>
      <c r="AP455" s="6">
        <v>12</v>
      </c>
      <c r="AQ455" s="6"/>
      <c r="AR455" s="6" t="s">
        <v>229</v>
      </c>
      <c r="AS455" s="6"/>
    </row>
    <row r="456" spans="1:45" x14ac:dyDescent="0.3">
      <c r="A456" s="7" t="s">
        <v>1681</v>
      </c>
      <c r="B456" s="7" t="s">
        <v>3958</v>
      </c>
      <c r="C456" s="7" t="s">
        <v>247</v>
      </c>
      <c r="D456" s="7"/>
      <c r="E456" s="7" t="s">
        <v>41</v>
      </c>
      <c r="F456" s="7" t="s">
        <v>350</v>
      </c>
      <c r="G456" s="7" t="s">
        <v>54</v>
      </c>
      <c r="H456" s="7" t="s">
        <v>212</v>
      </c>
      <c r="I456" s="7" t="s">
        <v>213</v>
      </c>
      <c r="J456" s="6" t="s">
        <v>105</v>
      </c>
      <c r="K456" s="7" t="s">
        <v>333</v>
      </c>
      <c r="L456" s="7" t="s">
        <v>1682</v>
      </c>
      <c r="M456" s="7" t="s">
        <v>4630</v>
      </c>
      <c r="N456" s="7" t="s">
        <v>3853</v>
      </c>
      <c r="O456" s="7" t="s">
        <v>4991</v>
      </c>
      <c r="P456" s="7">
        <v>26</v>
      </c>
      <c r="Q456" s="7">
        <v>3655452</v>
      </c>
      <c r="R456" s="7">
        <v>0.04</v>
      </c>
      <c r="S456" s="7">
        <v>0.02</v>
      </c>
      <c r="T456" s="7">
        <v>3579418.6</v>
      </c>
      <c r="U456" s="7">
        <v>2834535.77</v>
      </c>
      <c r="V456" s="7">
        <v>0.23</v>
      </c>
      <c r="W456" s="7">
        <v>0.05</v>
      </c>
      <c r="X456" s="7" t="s">
        <v>1683</v>
      </c>
      <c r="Y456" s="7">
        <v>1518631.06</v>
      </c>
      <c r="Z456" s="7">
        <v>555254.61</v>
      </c>
      <c r="AA456" s="7">
        <v>30</v>
      </c>
      <c r="AB456" s="7">
        <v>56</v>
      </c>
      <c r="AC456" s="7" t="s">
        <v>329</v>
      </c>
      <c r="AD456" s="7" t="s">
        <v>320</v>
      </c>
      <c r="AE456" s="7">
        <v>0.8</v>
      </c>
      <c r="AF456" s="7" t="s">
        <v>4303</v>
      </c>
      <c r="AG456" s="7">
        <v>0.1</v>
      </c>
      <c r="AH456" s="7">
        <v>0.08</v>
      </c>
      <c r="AI456" s="7">
        <v>14</v>
      </c>
      <c r="AJ456" s="7">
        <v>4733</v>
      </c>
      <c r="AK456" s="7">
        <v>260384.86</v>
      </c>
      <c r="AL456" s="7">
        <v>423174.82</v>
      </c>
      <c r="AM456" s="7"/>
      <c r="AN456" s="7" t="s">
        <v>386</v>
      </c>
      <c r="AO456" s="7">
        <v>95.5</v>
      </c>
      <c r="AP456" s="7">
        <v>36</v>
      </c>
      <c r="AQ456" s="7" t="s">
        <v>323</v>
      </c>
      <c r="AR456" s="7" t="s">
        <v>224</v>
      </c>
      <c r="AS456" s="7" t="s">
        <v>377</v>
      </c>
    </row>
    <row r="457" spans="1:45" x14ac:dyDescent="0.3">
      <c r="A457" s="6" t="s">
        <v>1684</v>
      </c>
      <c r="B457" s="6" t="s">
        <v>3407</v>
      </c>
      <c r="C457" s="6" t="s">
        <v>267</v>
      </c>
      <c r="D457" s="6" t="s">
        <v>274</v>
      </c>
      <c r="E457" s="6" t="s">
        <v>4270</v>
      </c>
      <c r="F457" s="6" t="s">
        <v>367</v>
      </c>
      <c r="G457" s="6" t="s">
        <v>50</v>
      </c>
      <c r="H457" s="6" t="s">
        <v>212</v>
      </c>
      <c r="I457" s="6"/>
      <c r="J457" s="6" t="s">
        <v>111</v>
      </c>
      <c r="K457" s="6" t="s">
        <v>184</v>
      </c>
      <c r="L457" s="6" t="s">
        <v>1685</v>
      </c>
      <c r="M457" s="6" t="s">
        <v>4545</v>
      </c>
      <c r="N457" s="6" t="s">
        <v>4708</v>
      </c>
      <c r="O457" s="6" t="s">
        <v>4274</v>
      </c>
      <c r="P457" s="6">
        <v>4</v>
      </c>
      <c r="Q457" s="6">
        <v>30110595</v>
      </c>
      <c r="R457" s="6">
        <v>0.05</v>
      </c>
      <c r="S457" s="6">
        <v>0.19</v>
      </c>
      <c r="T457" s="6">
        <v>34040027.649999999</v>
      </c>
      <c r="U457" s="6">
        <v>29105795.109999999</v>
      </c>
      <c r="V457" s="6">
        <v>0.24</v>
      </c>
      <c r="W457" s="6">
        <v>0.11</v>
      </c>
      <c r="X457" s="6" t="s">
        <v>1686</v>
      </c>
      <c r="Y457" s="6">
        <v>26136334.5</v>
      </c>
      <c r="Z457" s="6">
        <v>14750059.310000001</v>
      </c>
      <c r="AA457" s="6">
        <v>45</v>
      </c>
      <c r="AB457" s="6">
        <v>138</v>
      </c>
      <c r="AC457" s="6" t="s">
        <v>342</v>
      </c>
      <c r="AD457" s="6" t="s">
        <v>354</v>
      </c>
      <c r="AE457" s="6">
        <v>0.35</v>
      </c>
      <c r="AF457" s="6" t="s">
        <v>155</v>
      </c>
      <c r="AG457" s="6">
        <v>0.15</v>
      </c>
      <c r="AH457" s="6">
        <v>0.1</v>
      </c>
      <c r="AI457" s="6">
        <v>13</v>
      </c>
      <c r="AJ457" s="6"/>
      <c r="AK457" s="6">
        <v>7888842.9900000002</v>
      </c>
      <c r="AL457" s="6">
        <v>5411407.75</v>
      </c>
      <c r="AM457" s="6" t="s">
        <v>343</v>
      </c>
      <c r="AN457" s="6" t="s">
        <v>386</v>
      </c>
      <c r="AO457" s="6"/>
      <c r="AP457" s="6">
        <v>48</v>
      </c>
      <c r="AQ457" s="6" t="s">
        <v>387</v>
      </c>
      <c r="AR457" s="6" t="s">
        <v>186</v>
      </c>
      <c r="AS457" s="6"/>
    </row>
    <row r="458" spans="1:45" x14ac:dyDescent="0.3">
      <c r="A458" s="7" t="s">
        <v>1687</v>
      </c>
      <c r="B458" s="7" t="s">
        <v>3959</v>
      </c>
      <c r="C458" s="7" t="s">
        <v>251</v>
      </c>
      <c r="D458" s="7" t="s">
        <v>274</v>
      </c>
      <c r="E458" s="7" t="s">
        <v>41</v>
      </c>
      <c r="F458" s="7" t="s">
        <v>363</v>
      </c>
      <c r="G458" s="7" t="s">
        <v>33</v>
      </c>
      <c r="H458" s="7" t="s">
        <v>216</v>
      </c>
      <c r="I458" s="7" t="s">
        <v>203</v>
      </c>
      <c r="J458" s="6" t="s">
        <v>130</v>
      </c>
      <c r="K458" s="7" t="s">
        <v>333</v>
      </c>
      <c r="L458" s="7" t="s">
        <v>1688</v>
      </c>
      <c r="M458" s="7" t="s">
        <v>3419</v>
      </c>
      <c r="N458" s="7" t="s">
        <v>4992</v>
      </c>
      <c r="O458" s="7" t="s">
        <v>4993</v>
      </c>
      <c r="P458" s="7">
        <v>14</v>
      </c>
      <c r="Q458" s="7">
        <v>10043594</v>
      </c>
      <c r="R458" s="7">
        <v>0.03</v>
      </c>
      <c r="S458" s="7">
        <v>0</v>
      </c>
      <c r="T458" s="7">
        <v>9742286.1799999997</v>
      </c>
      <c r="U458" s="7">
        <v>8447123.8300000001</v>
      </c>
      <c r="V458" s="7">
        <v>0.38</v>
      </c>
      <c r="W458" s="7">
        <v>0.12</v>
      </c>
      <c r="X458" s="7" t="s">
        <v>1689</v>
      </c>
      <c r="Y458" s="7">
        <v>3985498.37</v>
      </c>
      <c r="Z458" s="7">
        <v>2004640.11</v>
      </c>
      <c r="AA458" s="7">
        <v>60</v>
      </c>
      <c r="AB458" s="7">
        <v>55</v>
      </c>
      <c r="AC458" s="7" t="s">
        <v>353</v>
      </c>
      <c r="AD458" s="7" t="s">
        <v>226</v>
      </c>
      <c r="AE458" s="7">
        <v>0.64</v>
      </c>
      <c r="AF458" s="7" t="s">
        <v>4319</v>
      </c>
      <c r="AG458" s="7">
        <v>0.1</v>
      </c>
      <c r="AH458" s="7">
        <v>0.05</v>
      </c>
      <c r="AI458" s="7">
        <v>12</v>
      </c>
      <c r="AJ458" s="7">
        <v>2180</v>
      </c>
      <c r="AK458" s="7">
        <v>2359809.2000000002</v>
      </c>
      <c r="AL458" s="7">
        <v>3364111.69</v>
      </c>
      <c r="AM458" s="7" t="s">
        <v>391</v>
      </c>
      <c r="AN458" s="7" t="s">
        <v>386</v>
      </c>
      <c r="AO458" s="7">
        <v>75.5</v>
      </c>
      <c r="AP458" s="7">
        <v>24</v>
      </c>
      <c r="AQ458" s="7" t="s">
        <v>392</v>
      </c>
      <c r="AR458" s="7" t="s">
        <v>224</v>
      </c>
      <c r="AS458" s="7" t="s">
        <v>324</v>
      </c>
    </row>
    <row r="459" spans="1:45" x14ac:dyDescent="0.3">
      <c r="A459" s="6" t="s">
        <v>1690</v>
      </c>
      <c r="B459" s="6" t="s">
        <v>3960</v>
      </c>
      <c r="C459" s="6" t="s">
        <v>258</v>
      </c>
      <c r="D459" s="6" t="s">
        <v>250</v>
      </c>
      <c r="E459" s="6" t="s">
        <v>36</v>
      </c>
      <c r="F459" s="6" t="s">
        <v>19</v>
      </c>
      <c r="G459" s="6" t="s">
        <v>28</v>
      </c>
      <c r="H459" s="6" t="s">
        <v>182</v>
      </c>
      <c r="I459" s="6"/>
      <c r="J459" s="6" t="s">
        <v>115</v>
      </c>
      <c r="K459" s="6" t="s">
        <v>221</v>
      </c>
      <c r="L459" s="6" t="s">
        <v>1691</v>
      </c>
      <c r="M459" s="6" t="s">
        <v>4994</v>
      </c>
      <c r="N459" s="6" t="s">
        <v>4717</v>
      </c>
      <c r="O459" s="6" t="s">
        <v>4995</v>
      </c>
      <c r="P459" s="6">
        <v>26</v>
      </c>
      <c r="Q459" s="6">
        <v>31049662</v>
      </c>
      <c r="R459" s="6">
        <v>0.28000000000000003</v>
      </c>
      <c r="S459" s="6">
        <v>0.17</v>
      </c>
      <c r="T459" s="6">
        <v>26156235.27</v>
      </c>
      <c r="U459" s="6">
        <v>21390353.59</v>
      </c>
      <c r="V459" s="6">
        <v>0.31</v>
      </c>
      <c r="W459" s="6">
        <v>0.16</v>
      </c>
      <c r="X459" s="6" t="s">
        <v>1692</v>
      </c>
      <c r="Y459" s="6">
        <v>20632848.550000001</v>
      </c>
      <c r="Z459" s="6">
        <v>22073897.370000001</v>
      </c>
      <c r="AA459" s="6">
        <v>45</v>
      </c>
      <c r="AB459" s="6">
        <v>122</v>
      </c>
      <c r="AC459" s="6" t="s">
        <v>347</v>
      </c>
      <c r="AD459" s="6" t="s">
        <v>406</v>
      </c>
      <c r="AE459" s="6">
        <v>0.42</v>
      </c>
      <c r="AF459" s="6" t="s">
        <v>4294</v>
      </c>
      <c r="AG459" s="6">
        <v>0.1</v>
      </c>
      <c r="AH459" s="6">
        <v>0.06</v>
      </c>
      <c r="AI459" s="6">
        <v>9</v>
      </c>
      <c r="AJ459" s="6">
        <v>2025</v>
      </c>
      <c r="AK459" s="6">
        <v>1607757.85</v>
      </c>
      <c r="AL459" s="6">
        <v>9696995.1400000006</v>
      </c>
      <c r="AM459" s="6" t="s">
        <v>385</v>
      </c>
      <c r="AN459" s="6" t="s">
        <v>386</v>
      </c>
      <c r="AO459" s="6">
        <v>99.2</v>
      </c>
      <c r="AP459" s="6">
        <v>48</v>
      </c>
      <c r="AQ459" s="6" t="s">
        <v>323</v>
      </c>
      <c r="AR459" s="6" t="s">
        <v>229</v>
      </c>
      <c r="AS459" s="6"/>
    </row>
    <row r="460" spans="1:45" x14ac:dyDescent="0.3">
      <c r="A460" s="7" t="s">
        <v>1693</v>
      </c>
      <c r="B460" s="7" t="s">
        <v>4996</v>
      </c>
      <c r="C460" s="7" t="s">
        <v>286</v>
      </c>
      <c r="D460" s="7" t="s">
        <v>242</v>
      </c>
      <c r="E460" s="7"/>
      <c r="F460" s="7" t="s">
        <v>75</v>
      </c>
      <c r="G460" s="7" t="s">
        <v>23</v>
      </c>
      <c r="H460" s="7" t="s">
        <v>263</v>
      </c>
      <c r="I460" s="7" t="s">
        <v>4291</v>
      </c>
      <c r="J460" s="7" t="s">
        <v>130</v>
      </c>
      <c r="K460" s="7" t="s">
        <v>326</v>
      </c>
      <c r="L460" s="7" t="s">
        <v>1694</v>
      </c>
      <c r="M460" s="7" t="s">
        <v>3961</v>
      </c>
      <c r="N460" s="7" t="s">
        <v>4335</v>
      </c>
      <c r="O460" s="7" t="s">
        <v>3962</v>
      </c>
      <c r="P460" s="7">
        <v>44</v>
      </c>
      <c r="Q460" s="7">
        <v>38493651</v>
      </c>
      <c r="R460" s="7">
        <v>0.26</v>
      </c>
      <c r="S460" s="7">
        <v>-0.03</v>
      </c>
      <c r="T460" s="7">
        <v>27630742.690000001</v>
      </c>
      <c r="U460" s="7">
        <v>23490777.5</v>
      </c>
      <c r="V460" s="7">
        <v>0.1</v>
      </c>
      <c r="W460" s="7">
        <v>0.14000000000000001</v>
      </c>
      <c r="X460" s="7" t="s">
        <v>1695</v>
      </c>
      <c r="Y460" s="7">
        <v>18658223.780000001</v>
      </c>
      <c r="Z460" s="7">
        <v>17761625.239999998</v>
      </c>
      <c r="AA460" s="7">
        <v>120</v>
      </c>
      <c r="AB460" s="7">
        <v>171</v>
      </c>
      <c r="AC460" s="7" t="s">
        <v>347</v>
      </c>
      <c r="AD460" s="7" t="s">
        <v>354</v>
      </c>
      <c r="AE460" s="7">
        <v>0.39</v>
      </c>
      <c r="AF460" s="7" t="s">
        <v>152</v>
      </c>
      <c r="AG460" s="7">
        <v>0.1</v>
      </c>
      <c r="AH460" s="7">
        <v>0.02</v>
      </c>
      <c r="AI460" s="7">
        <v>12</v>
      </c>
      <c r="AJ460" s="7">
        <v>147</v>
      </c>
      <c r="AK460" s="7">
        <v>4485286.28</v>
      </c>
      <c r="AL460" s="7">
        <v>4576438.6500000004</v>
      </c>
      <c r="AM460" s="7" t="s">
        <v>73</v>
      </c>
      <c r="AN460" s="7" t="s">
        <v>356</v>
      </c>
      <c r="AO460" s="7">
        <v>56.7</v>
      </c>
      <c r="AP460" s="7">
        <v>24</v>
      </c>
      <c r="AQ460" s="7"/>
      <c r="AR460" s="7" t="s">
        <v>186</v>
      </c>
      <c r="AS460" s="7" t="s">
        <v>357</v>
      </c>
    </row>
    <row r="461" spans="1:45" x14ac:dyDescent="0.3">
      <c r="A461" s="6" t="s">
        <v>1696</v>
      </c>
      <c r="B461" s="6" t="s">
        <v>4367</v>
      </c>
      <c r="C461" s="6" t="s">
        <v>271</v>
      </c>
      <c r="D461" s="6" t="s">
        <v>262</v>
      </c>
      <c r="E461" s="6" t="s">
        <v>20</v>
      </c>
      <c r="F461" s="6" t="s">
        <v>35</v>
      </c>
      <c r="G461" s="6" t="s">
        <v>50</v>
      </c>
      <c r="H461" s="6" t="s">
        <v>182</v>
      </c>
      <c r="I461" s="6" t="s">
        <v>240</v>
      </c>
      <c r="J461" s="6" t="s">
        <v>136</v>
      </c>
      <c r="K461" s="6" t="s">
        <v>333</v>
      </c>
      <c r="L461" s="6" t="s">
        <v>1697</v>
      </c>
      <c r="M461" s="6" t="s">
        <v>4997</v>
      </c>
      <c r="N461" s="6" t="s">
        <v>4998</v>
      </c>
      <c r="O461" s="6" t="s">
        <v>4674</v>
      </c>
      <c r="P461" s="6">
        <v>60</v>
      </c>
      <c r="Q461" s="6">
        <v>21375916</v>
      </c>
      <c r="R461" s="6">
        <v>0.1</v>
      </c>
      <c r="S461" s="6">
        <v>7.0000000000000007E-2</v>
      </c>
      <c r="T461" s="6">
        <v>20585007.109999999</v>
      </c>
      <c r="U461" s="6">
        <v>16502162.51</v>
      </c>
      <c r="V461" s="6">
        <v>0.13</v>
      </c>
      <c r="W461" s="6">
        <v>0.13</v>
      </c>
      <c r="X461" s="6" t="s">
        <v>1698</v>
      </c>
      <c r="Y461" s="6">
        <v>5263046.41</v>
      </c>
      <c r="Z461" s="6">
        <v>3831623.77</v>
      </c>
      <c r="AA461" s="6">
        <v>45</v>
      </c>
      <c r="AB461" s="6">
        <v>40</v>
      </c>
      <c r="AC461" s="6" t="s">
        <v>347</v>
      </c>
      <c r="AD461" s="6" t="s">
        <v>455</v>
      </c>
      <c r="AE461" s="6">
        <v>0.11</v>
      </c>
      <c r="AF461" s="6" t="s">
        <v>4294</v>
      </c>
      <c r="AG461" s="6">
        <v>0.05</v>
      </c>
      <c r="AH461" s="6">
        <v>0.04</v>
      </c>
      <c r="AI461" s="6">
        <v>6</v>
      </c>
      <c r="AJ461" s="6">
        <v>3338</v>
      </c>
      <c r="AK461" s="6">
        <v>4794338.1100000003</v>
      </c>
      <c r="AL461" s="6">
        <v>6003131.4100000001</v>
      </c>
      <c r="AM461" s="6" t="s">
        <v>385</v>
      </c>
      <c r="AN461" s="6" t="s">
        <v>356</v>
      </c>
      <c r="AO461" s="6">
        <v>67.900000000000006</v>
      </c>
      <c r="AP461" s="6" t="s">
        <v>4275</v>
      </c>
      <c r="AQ461" s="6" t="s">
        <v>323</v>
      </c>
      <c r="AR461" s="6" t="s">
        <v>224</v>
      </c>
      <c r="AS461" s="6" t="s">
        <v>324</v>
      </c>
    </row>
    <row r="462" spans="1:45" x14ac:dyDescent="0.3">
      <c r="A462" s="7" t="s">
        <v>1699</v>
      </c>
      <c r="B462" s="7" t="s">
        <v>4999</v>
      </c>
      <c r="C462" s="7" t="s">
        <v>201</v>
      </c>
      <c r="D462" s="7" t="s">
        <v>250</v>
      </c>
      <c r="E462" s="7" t="s">
        <v>4376</v>
      </c>
      <c r="F462" s="7" t="s">
        <v>31</v>
      </c>
      <c r="G462" s="7" t="s">
        <v>23</v>
      </c>
      <c r="H462" s="7" t="s">
        <v>4340</v>
      </c>
      <c r="I462" s="7" t="s">
        <v>4291</v>
      </c>
      <c r="J462" s="7" t="s">
        <v>136</v>
      </c>
      <c r="K462" s="7" t="s">
        <v>204</v>
      </c>
      <c r="L462" s="7" t="s">
        <v>1700</v>
      </c>
      <c r="M462" s="7" t="s">
        <v>3766</v>
      </c>
      <c r="N462" s="7" t="s">
        <v>3373</v>
      </c>
      <c r="O462" s="7" t="s">
        <v>3867</v>
      </c>
      <c r="P462" s="7">
        <v>16</v>
      </c>
      <c r="Q462" s="7">
        <v>34701789</v>
      </c>
      <c r="R462" s="7">
        <v>0.14000000000000001</v>
      </c>
      <c r="S462" s="7">
        <v>0.02</v>
      </c>
      <c r="T462" s="7">
        <v>30440409.309999999</v>
      </c>
      <c r="U462" s="7">
        <v>19150982.75</v>
      </c>
      <c r="V462" s="7">
        <v>0.24</v>
      </c>
      <c r="W462" s="7">
        <v>0.19</v>
      </c>
      <c r="X462" s="7" t="s">
        <v>1701</v>
      </c>
      <c r="Y462" s="7">
        <v>25964906.09</v>
      </c>
      <c r="Z462" s="7">
        <v>16480613.630000001</v>
      </c>
      <c r="AA462" s="7">
        <v>60</v>
      </c>
      <c r="AB462" s="7">
        <v>137</v>
      </c>
      <c r="AC462" s="7" t="s">
        <v>353</v>
      </c>
      <c r="AD462" s="7" t="s">
        <v>320</v>
      </c>
      <c r="AE462" s="7">
        <v>0.82</v>
      </c>
      <c r="AF462" s="7" t="s">
        <v>4312</v>
      </c>
      <c r="AG462" s="7">
        <v>0.1</v>
      </c>
      <c r="AH462" s="7">
        <v>0.03</v>
      </c>
      <c r="AI462" s="7">
        <v>11</v>
      </c>
      <c r="AJ462" s="7">
        <v>542</v>
      </c>
      <c r="AK462" s="7">
        <v>6672969.4699999997</v>
      </c>
      <c r="AL462" s="7">
        <v>4592060.8499999996</v>
      </c>
      <c r="AM462" s="7" t="s">
        <v>343</v>
      </c>
      <c r="AN462" s="7" t="s">
        <v>321</v>
      </c>
      <c r="AO462" s="7">
        <v>85.8</v>
      </c>
      <c r="AP462" s="7">
        <v>24</v>
      </c>
      <c r="AQ462" s="7"/>
      <c r="AR462" s="7" t="s">
        <v>229</v>
      </c>
      <c r="AS462" s="7" t="s">
        <v>324</v>
      </c>
    </row>
    <row r="463" spans="1:45" x14ac:dyDescent="0.3">
      <c r="A463" s="6" t="s">
        <v>1702</v>
      </c>
      <c r="B463" s="6" t="s">
        <v>3281</v>
      </c>
      <c r="C463" s="6" t="s">
        <v>251</v>
      </c>
      <c r="D463" s="6" t="s">
        <v>190</v>
      </c>
      <c r="E463" s="6" t="s">
        <v>52</v>
      </c>
      <c r="F463" s="6" t="s">
        <v>75</v>
      </c>
      <c r="G463" s="6" t="s">
        <v>23</v>
      </c>
      <c r="H463" s="6" t="s">
        <v>212</v>
      </c>
      <c r="I463" s="6" t="s">
        <v>4272</v>
      </c>
      <c r="J463" s="7" t="s">
        <v>119</v>
      </c>
      <c r="K463" s="6" t="s">
        <v>199</v>
      </c>
      <c r="L463" s="6" t="s">
        <v>1703</v>
      </c>
      <c r="M463" s="6" t="s">
        <v>5000</v>
      </c>
      <c r="N463" s="6" t="s">
        <v>3299</v>
      </c>
      <c r="O463" s="6" t="s">
        <v>5001</v>
      </c>
      <c r="P463" s="6">
        <v>59</v>
      </c>
      <c r="Q463" s="6">
        <v>16451263</v>
      </c>
      <c r="R463" s="6">
        <v>0.34</v>
      </c>
      <c r="S463" s="6">
        <v>0.16</v>
      </c>
      <c r="T463" s="6">
        <v>12595086.949999999</v>
      </c>
      <c r="U463" s="6">
        <v>8919447.2100000009</v>
      </c>
      <c r="V463" s="6">
        <v>0.28000000000000003</v>
      </c>
      <c r="W463" s="6">
        <v>0.1</v>
      </c>
      <c r="X463" s="6" t="s">
        <v>1704</v>
      </c>
      <c r="Y463" s="6">
        <v>9627105.2799999993</v>
      </c>
      <c r="Z463" s="6">
        <v>8552762.9100000001</v>
      </c>
      <c r="AA463" s="6">
        <v>30</v>
      </c>
      <c r="AB463" s="6">
        <v>45</v>
      </c>
      <c r="AC463" s="6" t="s">
        <v>347</v>
      </c>
      <c r="AD463" s="6" t="s">
        <v>336</v>
      </c>
      <c r="AE463" s="6">
        <v>0.11</v>
      </c>
      <c r="AF463" s="6" t="s">
        <v>4303</v>
      </c>
      <c r="AG463" s="6">
        <v>0.1</v>
      </c>
      <c r="AH463" s="6">
        <v>0.02</v>
      </c>
      <c r="AI463" s="6">
        <v>6</v>
      </c>
      <c r="AJ463" s="6">
        <v>2676</v>
      </c>
      <c r="AK463" s="6">
        <v>1131321.45</v>
      </c>
      <c r="AL463" s="6">
        <v>4997642.21</v>
      </c>
      <c r="AM463" s="6" t="s">
        <v>385</v>
      </c>
      <c r="AN463" s="6" t="s">
        <v>330</v>
      </c>
      <c r="AO463" s="6">
        <v>92</v>
      </c>
      <c r="AP463" s="6">
        <v>60</v>
      </c>
      <c r="AQ463" s="6" t="s">
        <v>4275</v>
      </c>
      <c r="AR463" s="6" t="s">
        <v>192</v>
      </c>
      <c r="AS463" s="6" t="s">
        <v>361</v>
      </c>
    </row>
    <row r="464" spans="1:45" x14ac:dyDescent="0.3">
      <c r="A464" s="7" t="s">
        <v>1705</v>
      </c>
      <c r="B464" s="7" t="s">
        <v>3963</v>
      </c>
      <c r="C464" s="7" t="s">
        <v>254</v>
      </c>
      <c r="D464" s="7" t="s">
        <v>255</v>
      </c>
      <c r="E464" s="7" t="s">
        <v>36</v>
      </c>
      <c r="F464" s="7" t="s">
        <v>19</v>
      </c>
      <c r="G464" s="7" t="s">
        <v>16</v>
      </c>
      <c r="H464" s="7" t="s">
        <v>182</v>
      </c>
      <c r="I464" s="7" t="s">
        <v>4289</v>
      </c>
      <c r="J464" s="7" t="s">
        <v>115</v>
      </c>
      <c r="K464" s="7" t="s">
        <v>333</v>
      </c>
      <c r="L464" s="7" t="s">
        <v>1706</v>
      </c>
      <c r="M464" s="7" t="s">
        <v>3745</v>
      </c>
      <c r="N464" s="7"/>
      <c r="O464" s="7" t="s">
        <v>3964</v>
      </c>
      <c r="P464" s="7">
        <v>4</v>
      </c>
      <c r="Q464" s="7">
        <v>20788061</v>
      </c>
      <c r="R464" s="7">
        <v>0.24</v>
      </c>
      <c r="S464" s="7">
        <v>0.18</v>
      </c>
      <c r="T464" s="7">
        <v>18642733.100000001</v>
      </c>
      <c r="U464" s="7">
        <v>14717098.449999999</v>
      </c>
      <c r="V464" s="7">
        <v>0.33</v>
      </c>
      <c r="W464" s="7">
        <v>0.16</v>
      </c>
      <c r="X464" s="7"/>
      <c r="Y464" s="7">
        <v>15468935.560000001</v>
      </c>
      <c r="Z464" s="7">
        <v>14586481.27</v>
      </c>
      <c r="AA464" s="7">
        <v>30</v>
      </c>
      <c r="AB464" s="7">
        <v>108</v>
      </c>
      <c r="AC464" s="7" t="s">
        <v>329</v>
      </c>
      <c r="AD464" s="7" t="s">
        <v>226</v>
      </c>
      <c r="AE464" s="7">
        <v>0.96</v>
      </c>
      <c r="AF464" s="7"/>
      <c r="AG464" s="7">
        <v>0.15</v>
      </c>
      <c r="AH464" s="7">
        <v>0.08</v>
      </c>
      <c r="AI464" s="7">
        <v>12</v>
      </c>
      <c r="AJ464" s="7">
        <v>2891</v>
      </c>
      <c r="AK464" s="7">
        <v>3631876.11</v>
      </c>
      <c r="AL464" s="7">
        <v>5263701.59</v>
      </c>
      <c r="AM464" s="7" t="s">
        <v>343</v>
      </c>
      <c r="AN464" s="7" t="s">
        <v>356</v>
      </c>
      <c r="AO464" s="7"/>
      <c r="AP464" s="7">
        <v>24</v>
      </c>
      <c r="AQ464" s="7"/>
      <c r="AR464" s="7" t="s">
        <v>186</v>
      </c>
      <c r="AS464" s="7" t="s">
        <v>188</v>
      </c>
    </row>
    <row r="465" spans="1:45" x14ac:dyDescent="0.3">
      <c r="A465" s="6" t="s">
        <v>1707</v>
      </c>
      <c r="B465" s="6" t="s">
        <v>5002</v>
      </c>
      <c r="C465" s="6" t="s">
        <v>254</v>
      </c>
      <c r="D465" s="6" t="s">
        <v>253</v>
      </c>
      <c r="E465" s="6" t="s">
        <v>41</v>
      </c>
      <c r="F465" s="6" t="s">
        <v>363</v>
      </c>
      <c r="G465" s="6" t="s">
        <v>73</v>
      </c>
      <c r="H465" s="6" t="s">
        <v>182</v>
      </c>
      <c r="I465" s="6" t="s">
        <v>213</v>
      </c>
      <c r="J465" s="6" t="s">
        <v>105</v>
      </c>
      <c r="K465" s="6" t="s">
        <v>204</v>
      </c>
      <c r="L465" s="6" t="s">
        <v>1708</v>
      </c>
      <c r="M465" s="6" t="s">
        <v>5003</v>
      </c>
      <c r="N465" s="6" t="s">
        <v>4742</v>
      </c>
      <c r="O465" s="6" t="s">
        <v>1020</v>
      </c>
      <c r="P465" s="6">
        <v>28</v>
      </c>
      <c r="Q465" s="6" t="s">
        <v>4275</v>
      </c>
      <c r="R465" s="6">
        <v>0.22</v>
      </c>
      <c r="S465" s="6">
        <v>0.13</v>
      </c>
      <c r="T465" s="6">
        <v>20263554.350000001</v>
      </c>
      <c r="U465" s="6">
        <v>15848047.91</v>
      </c>
      <c r="V465" s="6">
        <v>0.3</v>
      </c>
      <c r="W465" s="6">
        <v>0.05</v>
      </c>
      <c r="X465" s="6" t="s">
        <v>1709</v>
      </c>
      <c r="Y465" s="6">
        <v>5389605.6900000004</v>
      </c>
      <c r="Z465" s="6">
        <v>2442028.6</v>
      </c>
      <c r="AA465" s="6">
        <v>90</v>
      </c>
      <c r="AB465" s="6">
        <v>32</v>
      </c>
      <c r="AC465" s="6"/>
      <c r="AD465" s="6" t="s">
        <v>320</v>
      </c>
      <c r="AE465" s="6">
        <v>0.19</v>
      </c>
      <c r="AF465" s="6" t="s">
        <v>4361</v>
      </c>
      <c r="AG465" s="6">
        <v>0.1</v>
      </c>
      <c r="AH465" s="6">
        <v>0.02</v>
      </c>
      <c r="AI465" s="6">
        <v>10</v>
      </c>
      <c r="AJ465" s="6">
        <v>3222</v>
      </c>
      <c r="AK465" s="6">
        <v>1615098.81</v>
      </c>
      <c r="AL465" s="6"/>
      <c r="AM465" s="6" t="s">
        <v>73</v>
      </c>
      <c r="AN465" s="6"/>
      <c r="AO465" s="6"/>
      <c r="AP465" s="6">
        <v>36</v>
      </c>
      <c r="AQ465" s="6" t="s">
        <v>392</v>
      </c>
      <c r="AR465" s="6" t="s">
        <v>229</v>
      </c>
      <c r="AS465" s="6" t="s">
        <v>357</v>
      </c>
    </row>
    <row r="466" spans="1:45" x14ac:dyDescent="0.3">
      <c r="A466" s="7" t="s">
        <v>1710</v>
      </c>
      <c r="B466" s="7" t="s">
        <v>4790</v>
      </c>
      <c r="C466" s="7" t="s">
        <v>269</v>
      </c>
      <c r="D466" s="7" t="s">
        <v>220</v>
      </c>
      <c r="E466" s="7" t="s">
        <v>4538</v>
      </c>
      <c r="F466" s="7"/>
      <c r="G466" s="7" t="s">
        <v>80</v>
      </c>
      <c r="H466" s="7" t="s">
        <v>236</v>
      </c>
      <c r="I466" s="7"/>
      <c r="J466" s="7" t="s">
        <v>99</v>
      </c>
      <c r="K466" s="7" t="s">
        <v>333</v>
      </c>
      <c r="L466" s="7" t="s">
        <v>1711</v>
      </c>
      <c r="M466" s="7" t="s">
        <v>4604</v>
      </c>
      <c r="N466" s="7"/>
      <c r="O466" s="7" t="s">
        <v>4274</v>
      </c>
      <c r="P466" s="7">
        <v>51</v>
      </c>
      <c r="Q466" s="7">
        <v>34335535</v>
      </c>
      <c r="R466" s="7">
        <v>0.33</v>
      </c>
      <c r="S466" s="7">
        <v>0.06</v>
      </c>
      <c r="T466" s="7">
        <v>24385096.960000001</v>
      </c>
      <c r="U466" s="7">
        <v>16506401</v>
      </c>
      <c r="V466" s="7">
        <v>0.26</v>
      </c>
      <c r="W466" s="7">
        <v>0.2</v>
      </c>
      <c r="X466" s="7" t="s">
        <v>1712</v>
      </c>
      <c r="Y466" s="7">
        <v>19460830.170000002</v>
      </c>
      <c r="Z466" s="7">
        <v>11249834.6</v>
      </c>
      <c r="AA466" s="7">
        <v>120</v>
      </c>
      <c r="AB466" s="7">
        <v>160</v>
      </c>
      <c r="AC466" s="7" t="s">
        <v>353</v>
      </c>
      <c r="AD466" s="7" t="s">
        <v>320</v>
      </c>
      <c r="AE466" s="7">
        <v>0.83</v>
      </c>
      <c r="AF466" s="7" t="s">
        <v>4312</v>
      </c>
      <c r="AG466" s="7">
        <v>0.05</v>
      </c>
      <c r="AH466" s="7">
        <v>0.03</v>
      </c>
      <c r="AI466" s="7">
        <v>1</v>
      </c>
      <c r="AJ466" s="7">
        <v>4836</v>
      </c>
      <c r="AK466" s="7">
        <v>1172145.43</v>
      </c>
      <c r="AL466" s="7">
        <v>7933523.29</v>
      </c>
      <c r="AM466" s="7" t="s">
        <v>355</v>
      </c>
      <c r="AN466" s="7" t="s">
        <v>386</v>
      </c>
      <c r="AO466" s="7">
        <v>78</v>
      </c>
      <c r="AP466" s="7" t="s">
        <v>4275</v>
      </c>
      <c r="AQ466" s="7" t="s">
        <v>392</v>
      </c>
      <c r="AR466" s="7" t="s">
        <v>186</v>
      </c>
      <c r="AS466" s="7" t="s">
        <v>324</v>
      </c>
    </row>
    <row r="467" spans="1:45" x14ac:dyDescent="0.3">
      <c r="A467" s="6" t="s">
        <v>1713</v>
      </c>
      <c r="B467" s="6" t="s">
        <v>3965</v>
      </c>
      <c r="C467" s="6" t="s">
        <v>271</v>
      </c>
      <c r="D467" s="6" t="s">
        <v>281</v>
      </c>
      <c r="E467" s="6"/>
      <c r="F467" s="6" t="s">
        <v>339</v>
      </c>
      <c r="G467" s="6" t="s">
        <v>57</v>
      </c>
      <c r="H467" s="6" t="s">
        <v>4280</v>
      </c>
      <c r="I467" s="6"/>
      <c r="J467" s="6" t="s">
        <v>130</v>
      </c>
      <c r="K467" s="6" t="s">
        <v>204</v>
      </c>
      <c r="L467" s="6" t="s">
        <v>1714</v>
      </c>
      <c r="M467" s="6" t="s">
        <v>3855</v>
      </c>
      <c r="N467" s="6" t="s">
        <v>4560</v>
      </c>
      <c r="O467" s="6" t="s">
        <v>4632</v>
      </c>
      <c r="P467" s="6">
        <v>26</v>
      </c>
      <c r="Q467" s="6">
        <v>49552969</v>
      </c>
      <c r="R467" s="6">
        <v>0.15</v>
      </c>
      <c r="S467" s="6">
        <v>0</v>
      </c>
      <c r="T467" s="6">
        <v>42120023.649999999</v>
      </c>
      <c r="U467" s="6">
        <v>30791290.600000001</v>
      </c>
      <c r="V467" s="6">
        <v>0.17</v>
      </c>
      <c r="W467" s="6">
        <v>0.13</v>
      </c>
      <c r="X467" s="6" t="s">
        <v>1715</v>
      </c>
      <c r="Y467" s="6">
        <v>4121492.13</v>
      </c>
      <c r="Z467" s="6">
        <v>3097381.89</v>
      </c>
      <c r="AA467" s="6">
        <v>45</v>
      </c>
      <c r="AB467" s="6">
        <v>33</v>
      </c>
      <c r="AC467" s="6"/>
      <c r="AD467" s="6" t="s">
        <v>336</v>
      </c>
      <c r="AE467" s="6">
        <v>0.67</v>
      </c>
      <c r="AF467" s="6" t="s">
        <v>4361</v>
      </c>
      <c r="AG467" s="6">
        <v>0.1</v>
      </c>
      <c r="AH467" s="6">
        <v>0.05</v>
      </c>
      <c r="AI467" s="6">
        <v>8</v>
      </c>
      <c r="AJ467" s="6">
        <v>161</v>
      </c>
      <c r="AK467" s="6">
        <v>4709921.82</v>
      </c>
      <c r="AL467" s="6">
        <v>13506443.73</v>
      </c>
      <c r="AM467" s="6" t="s">
        <v>385</v>
      </c>
      <c r="AN467" s="6" t="s">
        <v>386</v>
      </c>
      <c r="AO467" s="6">
        <v>91.6</v>
      </c>
      <c r="AP467" s="6">
        <v>36</v>
      </c>
      <c r="AQ467" s="6" t="s">
        <v>4275</v>
      </c>
      <c r="AR467" s="6" t="s">
        <v>192</v>
      </c>
      <c r="AS467" s="6" t="s">
        <v>377</v>
      </c>
    </row>
    <row r="468" spans="1:45" x14ac:dyDescent="0.3">
      <c r="A468" s="7" t="s">
        <v>1716</v>
      </c>
      <c r="B468" s="7" t="s">
        <v>3485</v>
      </c>
      <c r="C468" s="7" t="s">
        <v>252</v>
      </c>
      <c r="D468" s="7" t="s">
        <v>253</v>
      </c>
      <c r="E468" s="7" t="s">
        <v>20</v>
      </c>
      <c r="F468" s="7"/>
      <c r="G468" s="7" t="s">
        <v>54</v>
      </c>
      <c r="H468" s="7" t="s">
        <v>212</v>
      </c>
      <c r="I468" s="7" t="s">
        <v>203</v>
      </c>
      <c r="J468" s="7" t="s">
        <v>136</v>
      </c>
      <c r="K468" s="7" t="s">
        <v>210</v>
      </c>
      <c r="L468" s="7" t="s">
        <v>1717</v>
      </c>
      <c r="M468" s="7" t="s">
        <v>5004</v>
      </c>
      <c r="N468" s="7" t="s">
        <v>5005</v>
      </c>
      <c r="O468" s="7" t="s">
        <v>5006</v>
      </c>
      <c r="P468" s="7">
        <v>7</v>
      </c>
      <c r="Q468" s="7">
        <v>24185661</v>
      </c>
      <c r="R468" s="7">
        <v>0.23</v>
      </c>
      <c r="S468" s="7">
        <v>-0.03</v>
      </c>
      <c r="T468" s="7">
        <v>18064270.199999999</v>
      </c>
      <c r="U468" s="7">
        <v>15058283.85</v>
      </c>
      <c r="V468" s="7">
        <v>0.36</v>
      </c>
      <c r="W468" s="7">
        <v>0.14000000000000001</v>
      </c>
      <c r="X468" s="7" t="s">
        <v>1718</v>
      </c>
      <c r="Y468" s="7">
        <v>8236214.7199999997</v>
      </c>
      <c r="Z468" s="7">
        <v>8382642.1699999999</v>
      </c>
      <c r="AA468" s="7">
        <v>60</v>
      </c>
      <c r="AB468" s="7">
        <v>154</v>
      </c>
      <c r="AC468" s="7" t="s">
        <v>329</v>
      </c>
      <c r="AD468" s="7" t="s">
        <v>354</v>
      </c>
      <c r="AE468" s="7">
        <v>0.64</v>
      </c>
      <c r="AF468" s="7" t="s">
        <v>4361</v>
      </c>
      <c r="AG468" s="7">
        <v>0.15</v>
      </c>
      <c r="AH468" s="7">
        <v>7.0000000000000007E-2</v>
      </c>
      <c r="AI468" s="7">
        <v>15</v>
      </c>
      <c r="AJ468" s="7"/>
      <c r="AK468" s="7">
        <v>1819457.77</v>
      </c>
      <c r="AL468" s="7">
        <v>3133684.58</v>
      </c>
      <c r="AM468" s="7"/>
      <c r="AN468" s="7" t="s">
        <v>330</v>
      </c>
      <c r="AO468" s="7">
        <v>71.3</v>
      </c>
      <c r="AP468" s="7">
        <v>48</v>
      </c>
      <c r="AQ468" s="7"/>
      <c r="AR468" s="7" t="s">
        <v>224</v>
      </c>
      <c r="AS468" s="7" t="s">
        <v>361</v>
      </c>
    </row>
    <row r="469" spans="1:45" x14ac:dyDescent="0.3">
      <c r="A469" s="6" t="s">
        <v>1719</v>
      </c>
      <c r="B469" s="6" t="s">
        <v>3966</v>
      </c>
      <c r="C469" s="6" t="s">
        <v>275</v>
      </c>
      <c r="D469" s="6" t="s">
        <v>238</v>
      </c>
      <c r="E469" s="6" t="s">
        <v>4376</v>
      </c>
      <c r="F469" s="6" t="s">
        <v>31</v>
      </c>
      <c r="G469" s="6" t="s">
        <v>62</v>
      </c>
      <c r="H469" s="6" t="s">
        <v>4326</v>
      </c>
      <c r="I469" s="6" t="s">
        <v>4291</v>
      </c>
      <c r="J469" s="6" t="s">
        <v>136</v>
      </c>
      <c r="K469" s="6" t="s">
        <v>199</v>
      </c>
      <c r="L469" s="6" t="s">
        <v>1720</v>
      </c>
      <c r="M469" s="6" t="s">
        <v>5007</v>
      </c>
      <c r="N469" s="6"/>
      <c r="O469" s="6" t="s">
        <v>4722</v>
      </c>
      <c r="P469" s="6">
        <v>26</v>
      </c>
      <c r="Q469" s="6">
        <v>19042951</v>
      </c>
      <c r="R469" s="6">
        <v>0.06</v>
      </c>
      <c r="S469" s="6">
        <v>0.08</v>
      </c>
      <c r="T469" s="6">
        <v>19332403.859999999</v>
      </c>
      <c r="U469" s="6">
        <v>14655800.029999999</v>
      </c>
      <c r="V469" s="6">
        <v>0.31</v>
      </c>
      <c r="W469" s="6">
        <v>7.0000000000000007E-2</v>
      </c>
      <c r="X469" s="6" t="s">
        <v>1721</v>
      </c>
      <c r="Y469" s="6">
        <v>13444253.68</v>
      </c>
      <c r="Z469" s="6">
        <v>12550267.82</v>
      </c>
      <c r="AA469" s="6">
        <v>45</v>
      </c>
      <c r="AB469" s="6">
        <v>79</v>
      </c>
      <c r="AC469" s="6"/>
      <c r="AD469" s="6" t="s">
        <v>381</v>
      </c>
      <c r="AE469" s="6">
        <v>0.78</v>
      </c>
      <c r="AF469" s="6" t="s">
        <v>155</v>
      </c>
      <c r="AG469" s="6">
        <v>0.15</v>
      </c>
      <c r="AH469" s="6">
        <v>0.03</v>
      </c>
      <c r="AI469" s="6">
        <v>12</v>
      </c>
      <c r="AJ469" s="6">
        <v>3229</v>
      </c>
      <c r="AK469" s="6"/>
      <c r="AL469" s="6">
        <v>5680291.25</v>
      </c>
      <c r="AM469" s="6" t="s">
        <v>343</v>
      </c>
      <c r="AN469" s="6" t="s">
        <v>386</v>
      </c>
      <c r="AO469" s="6">
        <v>63.6</v>
      </c>
      <c r="AP469" s="6">
        <v>48</v>
      </c>
      <c r="AQ469" s="6" t="s">
        <v>392</v>
      </c>
      <c r="AR469" s="6" t="s">
        <v>224</v>
      </c>
      <c r="AS469" s="6"/>
    </row>
    <row r="470" spans="1:45" x14ac:dyDescent="0.3">
      <c r="A470" s="7" t="s">
        <v>1722</v>
      </c>
      <c r="B470" s="7" t="s">
        <v>4736</v>
      </c>
      <c r="C470" s="7" t="s">
        <v>269</v>
      </c>
      <c r="D470" s="7" t="s">
        <v>220</v>
      </c>
      <c r="E470" s="7"/>
      <c r="F470" s="7" t="s">
        <v>339</v>
      </c>
      <c r="G470" s="7" t="s">
        <v>70</v>
      </c>
      <c r="H470" s="7" t="s">
        <v>182</v>
      </c>
      <c r="I470" s="7" t="s">
        <v>191</v>
      </c>
      <c r="J470" s="7" t="s">
        <v>130</v>
      </c>
      <c r="K470" s="7" t="s">
        <v>204</v>
      </c>
      <c r="L470" s="7" t="s">
        <v>1723</v>
      </c>
      <c r="M470" s="7" t="s">
        <v>3568</v>
      </c>
      <c r="N470" s="7" t="s">
        <v>4698</v>
      </c>
      <c r="O470" s="7" t="s">
        <v>4840</v>
      </c>
      <c r="P470" s="7">
        <v>44</v>
      </c>
      <c r="Q470" s="7">
        <v>46959036</v>
      </c>
      <c r="R470" s="7">
        <v>0.3</v>
      </c>
      <c r="S470" s="7">
        <v>0.02</v>
      </c>
      <c r="T470" s="7">
        <v>33528751.699999999</v>
      </c>
      <c r="U470" s="7">
        <v>23019882.300000001</v>
      </c>
      <c r="V470" s="7">
        <v>0.21</v>
      </c>
      <c r="W470" s="7">
        <v>0.14000000000000001</v>
      </c>
      <c r="X470" s="7" t="s">
        <v>1724</v>
      </c>
      <c r="Y470" s="7" t="s">
        <v>158</v>
      </c>
      <c r="Z470" s="7">
        <v>6948821.3200000003</v>
      </c>
      <c r="AA470" s="7">
        <v>45</v>
      </c>
      <c r="AB470" s="7">
        <v>136</v>
      </c>
      <c r="AC470" s="7" t="s">
        <v>347</v>
      </c>
      <c r="AD470" s="7" t="s">
        <v>455</v>
      </c>
      <c r="AE470" s="7">
        <v>0.82</v>
      </c>
      <c r="AF470" s="7" t="s">
        <v>152</v>
      </c>
      <c r="AG470" s="7">
        <v>0.1</v>
      </c>
      <c r="AH470" s="7">
        <v>0.05</v>
      </c>
      <c r="AI470" s="7">
        <v>4</v>
      </c>
      <c r="AJ470" s="7">
        <v>4618</v>
      </c>
      <c r="AK470" s="7">
        <v>7905289.5099999998</v>
      </c>
      <c r="AL470" s="7">
        <v>4220251.78</v>
      </c>
      <c r="AM470" s="7" t="s">
        <v>321</v>
      </c>
      <c r="AN470" s="7"/>
      <c r="AO470" s="7"/>
      <c r="AP470" s="7">
        <v>36</v>
      </c>
      <c r="AQ470" s="7"/>
      <c r="AR470" s="7" t="s">
        <v>186</v>
      </c>
      <c r="AS470" s="7" t="s">
        <v>361</v>
      </c>
    </row>
    <row r="471" spans="1:45" x14ac:dyDescent="0.3">
      <c r="A471" s="6" t="s">
        <v>1725</v>
      </c>
      <c r="B471" s="6" t="s">
        <v>4840</v>
      </c>
      <c r="C471" s="6" t="s">
        <v>261</v>
      </c>
      <c r="D471" s="6" t="s">
        <v>562</v>
      </c>
      <c r="E471" s="6" t="s">
        <v>4306</v>
      </c>
      <c r="F471" s="6" t="s">
        <v>75</v>
      </c>
      <c r="G471" s="6" t="s">
        <v>38</v>
      </c>
      <c r="H471" s="6" t="s">
        <v>4340</v>
      </c>
      <c r="I471" s="6" t="s">
        <v>246</v>
      </c>
      <c r="J471" s="7" t="s">
        <v>133</v>
      </c>
      <c r="K471" s="6" t="s">
        <v>221</v>
      </c>
      <c r="L471" s="6" t="s">
        <v>1726</v>
      </c>
      <c r="M471" s="6" t="s">
        <v>4696</v>
      </c>
      <c r="N471" s="6" t="s">
        <v>3967</v>
      </c>
      <c r="O471" s="6" t="s">
        <v>4481</v>
      </c>
      <c r="P471" s="6">
        <v>54</v>
      </c>
      <c r="Q471" s="6" t="s">
        <v>4275</v>
      </c>
      <c r="R471" s="6">
        <v>0.13</v>
      </c>
      <c r="S471" s="6">
        <v>0.12</v>
      </c>
      <c r="T471" s="6">
        <v>10998195.060000001</v>
      </c>
      <c r="U471" s="6">
        <v>9735875.3599999994</v>
      </c>
      <c r="V471" s="6">
        <v>0.34</v>
      </c>
      <c r="W471" s="6">
        <v>0.09</v>
      </c>
      <c r="X471" s="6" t="s">
        <v>1727</v>
      </c>
      <c r="Y471" s="6">
        <v>4564552.6399999997</v>
      </c>
      <c r="Z471" s="6">
        <v>2375731.4700000002</v>
      </c>
      <c r="AA471" s="6">
        <v>120</v>
      </c>
      <c r="AB471" s="6">
        <v>46</v>
      </c>
      <c r="AC471" s="6" t="s">
        <v>347</v>
      </c>
      <c r="AD471" s="6" t="s">
        <v>226</v>
      </c>
      <c r="AE471" s="6">
        <v>0.54</v>
      </c>
      <c r="AF471" s="6" t="s">
        <v>4303</v>
      </c>
      <c r="AG471" s="6">
        <v>0.15</v>
      </c>
      <c r="AH471" s="6">
        <v>0.08</v>
      </c>
      <c r="AI471" s="6">
        <v>10</v>
      </c>
      <c r="AJ471" s="6">
        <v>2842</v>
      </c>
      <c r="AK471" s="6">
        <v>1721885.59</v>
      </c>
      <c r="AL471" s="6">
        <v>5473182.9100000001</v>
      </c>
      <c r="AM471" s="6" t="s">
        <v>355</v>
      </c>
      <c r="AN471" s="6" t="s">
        <v>348</v>
      </c>
      <c r="AO471" s="6">
        <v>52.7</v>
      </c>
      <c r="AP471" s="6">
        <v>12</v>
      </c>
      <c r="AQ471" s="6" t="s">
        <v>337</v>
      </c>
      <c r="AR471" s="6" t="s">
        <v>224</v>
      </c>
      <c r="AS471" s="6" t="s">
        <v>377</v>
      </c>
    </row>
    <row r="472" spans="1:45" x14ac:dyDescent="0.3">
      <c r="A472" s="7" t="s">
        <v>1728</v>
      </c>
      <c r="B472" s="7" t="s">
        <v>5008</v>
      </c>
      <c r="C472" s="7" t="s">
        <v>243</v>
      </c>
      <c r="D472" s="7" t="s">
        <v>202</v>
      </c>
      <c r="E472" s="7" t="s">
        <v>4376</v>
      </c>
      <c r="F472" s="7" t="s">
        <v>35</v>
      </c>
      <c r="G472" s="7" t="s">
        <v>46</v>
      </c>
      <c r="H472" s="7" t="s">
        <v>4280</v>
      </c>
      <c r="I472" s="7" t="s">
        <v>240</v>
      </c>
      <c r="J472" s="7" t="s">
        <v>136</v>
      </c>
      <c r="K472" s="7" t="s">
        <v>223</v>
      </c>
      <c r="L472" s="7" t="s">
        <v>1729</v>
      </c>
      <c r="M472" s="7" t="s">
        <v>5009</v>
      </c>
      <c r="N472" s="7" t="s">
        <v>5010</v>
      </c>
      <c r="O472" s="7" t="s">
        <v>5011</v>
      </c>
      <c r="P472" s="7">
        <v>46</v>
      </c>
      <c r="Q472" s="7">
        <v>19509663</v>
      </c>
      <c r="R472" s="7">
        <v>0.22</v>
      </c>
      <c r="S472" s="7">
        <v>0.02</v>
      </c>
      <c r="T472" s="7">
        <v>15521887.880000001</v>
      </c>
      <c r="U472" s="7">
        <v>12972059.35</v>
      </c>
      <c r="V472" s="7">
        <v>0.22</v>
      </c>
      <c r="W472" s="7">
        <v>0.14000000000000001</v>
      </c>
      <c r="X472" s="7" t="s">
        <v>1730</v>
      </c>
      <c r="Y472" s="7">
        <v>9526255.5999999996</v>
      </c>
      <c r="Z472" s="7">
        <v>9096790.6400000006</v>
      </c>
      <c r="AA472" s="7">
        <v>60</v>
      </c>
      <c r="AB472" s="7">
        <v>178</v>
      </c>
      <c r="AC472" s="7" t="s">
        <v>342</v>
      </c>
      <c r="AD472" s="7" t="s">
        <v>354</v>
      </c>
      <c r="AE472" s="7">
        <v>0.55000000000000004</v>
      </c>
      <c r="AF472" s="7" t="s">
        <v>152</v>
      </c>
      <c r="AG472" s="7">
        <v>0.05</v>
      </c>
      <c r="AH472" s="7">
        <v>0.03</v>
      </c>
      <c r="AI472" s="7">
        <v>11</v>
      </c>
      <c r="AJ472" s="7">
        <v>1282</v>
      </c>
      <c r="AK472" s="7">
        <v>3558985.2</v>
      </c>
      <c r="AL472" s="7">
        <v>3181933.73</v>
      </c>
      <c r="AM472" s="7" t="s">
        <v>391</v>
      </c>
      <c r="AN472" s="7"/>
      <c r="AO472" s="7">
        <v>96.4</v>
      </c>
      <c r="AP472" s="7">
        <v>24</v>
      </c>
      <c r="AQ472" s="7"/>
      <c r="AR472" s="7" t="s">
        <v>192</v>
      </c>
      <c r="AS472" s="7" t="s">
        <v>188</v>
      </c>
    </row>
    <row r="473" spans="1:45" x14ac:dyDescent="0.3">
      <c r="A473" s="6" t="s">
        <v>1731</v>
      </c>
      <c r="B473" s="6" t="s">
        <v>4437</v>
      </c>
      <c r="C473" s="6" t="s">
        <v>280</v>
      </c>
      <c r="D473" s="6" t="s">
        <v>190</v>
      </c>
      <c r="E473" s="6" t="s">
        <v>52</v>
      </c>
      <c r="F473" s="6" t="s">
        <v>75</v>
      </c>
      <c r="G473" s="6" t="s">
        <v>70</v>
      </c>
      <c r="H473" s="6" t="s">
        <v>4275</v>
      </c>
      <c r="I473" s="6" t="s">
        <v>4289</v>
      </c>
      <c r="J473" s="7" t="s">
        <v>133</v>
      </c>
      <c r="K473" s="6" t="s">
        <v>199</v>
      </c>
      <c r="L473" s="6" t="s">
        <v>1732</v>
      </c>
      <c r="M473" s="6" t="s">
        <v>3968</v>
      </c>
      <c r="N473" s="6"/>
      <c r="O473" s="6" t="s">
        <v>3811</v>
      </c>
      <c r="P473" s="6">
        <v>7</v>
      </c>
      <c r="Q473" s="6">
        <v>1424259</v>
      </c>
      <c r="R473" s="6">
        <v>0.17</v>
      </c>
      <c r="S473" s="6">
        <v>0.01</v>
      </c>
      <c r="T473" s="6">
        <v>1193956.32</v>
      </c>
      <c r="U473" s="6">
        <v>936936.21</v>
      </c>
      <c r="V473" s="6" t="s">
        <v>4374</v>
      </c>
      <c r="W473" s="6">
        <v>0.18</v>
      </c>
      <c r="X473" s="6" t="s">
        <v>1733</v>
      </c>
      <c r="Y473" s="6">
        <v>878553.9</v>
      </c>
      <c r="Z473" s="6">
        <v>964364.93</v>
      </c>
      <c r="AA473" s="6">
        <v>90</v>
      </c>
      <c r="AB473" s="6">
        <v>163</v>
      </c>
      <c r="AC473" s="6" t="s">
        <v>353</v>
      </c>
      <c r="AD473" s="6" t="s">
        <v>381</v>
      </c>
      <c r="AE473" s="6">
        <v>0.72</v>
      </c>
      <c r="AF473" s="6"/>
      <c r="AG473" s="6">
        <v>0.1</v>
      </c>
      <c r="AH473" s="6">
        <v>0.08</v>
      </c>
      <c r="AI473" s="6">
        <v>15</v>
      </c>
      <c r="AJ473" s="6">
        <v>2219</v>
      </c>
      <c r="AK473" s="6">
        <v>158130.76999999999</v>
      </c>
      <c r="AL473" s="6">
        <v>404695.05</v>
      </c>
      <c r="AM473" s="6" t="s">
        <v>73</v>
      </c>
      <c r="AN473" s="6"/>
      <c r="AO473" s="6">
        <v>87.5</v>
      </c>
      <c r="AP473" s="6">
        <v>36</v>
      </c>
      <c r="AQ473" s="6"/>
      <c r="AR473" s="6" t="s">
        <v>186</v>
      </c>
      <c r="AS473" s="6" t="s">
        <v>357</v>
      </c>
    </row>
    <row r="474" spans="1:45" x14ac:dyDescent="0.3">
      <c r="A474" s="7" t="s">
        <v>1734</v>
      </c>
      <c r="B474" s="7" t="s">
        <v>3542</v>
      </c>
      <c r="C474" s="7" t="s">
        <v>219</v>
      </c>
      <c r="D474" s="7" t="s">
        <v>281</v>
      </c>
      <c r="E474" s="7" t="s">
        <v>4325</v>
      </c>
      <c r="F474" s="7" t="s">
        <v>339</v>
      </c>
      <c r="G474" s="7" t="s">
        <v>66</v>
      </c>
      <c r="H474" s="7" t="s">
        <v>4275</v>
      </c>
      <c r="I474" s="7" t="s">
        <v>213</v>
      </c>
      <c r="J474" s="7" t="s">
        <v>115</v>
      </c>
      <c r="K474" s="7" t="s">
        <v>223</v>
      </c>
      <c r="L474" s="7" t="s">
        <v>1735</v>
      </c>
      <c r="M474" s="7" t="s">
        <v>4535</v>
      </c>
      <c r="N474" s="7" t="s">
        <v>5012</v>
      </c>
      <c r="O474" s="7" t="s">
        <v>4274</v>
      </c>
      <c r="P474" s="7">
        <v>57</v>
      </c>
      <c r="Q474" s="7">
        <v>16061228</v>
      </c>
      <c r="R474" s="7">
        <v>0.24</v>
      </c>
      <c r="S474" s="7">
        <v>0.14000000000000001</v>
      </c>
      <c r="T474" s="7">
        <v>13915447.939999999</v>
      </c>
      <c r="U474" s="7">
        <v>10405271.609999999</v>
      </c>
      <c r="V474" s="7">
        <v>0.27</v>
      </c>
      <c r="W474" s="7">
        <v>0.11</v>
      </c>
      <c r="X474" s="7" t="s">
        <v>1736</v>
      </c>
      <c r="Y474" s="7">
        <v>11617236.07</v>
      </c>
      <c r="Z474" s="7">
        <v>7427786.7000000002</v>
      </c>
      <c r="AA474" s="7">
        <v>90</v>
      </c>
      <c r="AB474" s="7">
        <v>174</v>
      </c>
      <c r="AC474" s="7"/>
      <c r="AD474" s="7" t="s">
        <v>226</v>
      </c>
      <c r="AE474" s="7">
        <v>0.28000000000000003</v>
      </c>
      <c r="AF474" s="7"/>
      <c r="AG474" s="7">
        <v>0.05</v>
      </c>
      <c r="AH474" s="7">
        <v>0.08</v>
      </c>
      <c r="AI474" s="7">
        <v>15</v>
      </c>
      <c r="AJ474" s="7">
        <v>522</v>
      </c>
      <c r="AK474" s="7">
        <v>1136153.5900000001</v>
      </c>
      <c r="AL474" s="7">
        <v>2482611.71</v>
      </c>
      <c r="AM474" s="7" t="s">
        <v>391</v>
      </c>
      <c r="AN474" s="7"/>
      <c r="AO474" s="7">
        <v>61.3</v>
      </c>
      <c r="AP474" s="7">
        <v>12</v>
      </c>
      <c r="AQ474" s="7"/>
      <c r="AR474" s="7" t="s">
        <v>186</v>
      </c>
      <c r="AS474" s="7" t="s">
        <v>188</v>
      </c>
    </row>
    <row r="475" spans="1:45" x14ac:dyDescent="0.3">
      <c r="A475" s="6" t="s">
        <v>1737</v>
      </c>
      <c r="B475" s="6" t="s">
        <v>3538</v>
      </c>
      <c r="C475" s="6" t="s">
        <v>252</v>
      </c>
      <c r="D475" s="6" t="s">
        <v>253</v>
      </c>
      <c r="E475" s="6" t="s">
        <v>113</v>
      </c>
      <c r="F475" s="6" t="s">
        <v>181</v>
      </c>
      <c r="G475" s="6" t="s">
        <v>54</v>
      </c>
      <c r="H475" s="6" t="s">
        <v>4275</v>
      </c>
      <c r="I475" s="6" t="s">
        <v>4307</v>
      </c>
      <c r="J475" s="6" t="s">
        <v>111</v>
      </c>
      <c r="K475" s="6" t="s">
        <v>221</v>
      </c>
      <c r="L475" s="6" t="s">
        <v>1738</v>
      </c>
      <c r="M475" s="6" t="s">
        <v>3426</v>
      </c>
      <c r="N475" s="6"/>
      <c r="O475" s="6" t="s">
        <v>3969</v>
      </c>
      <c r="P475" s="6">
        <v>8</v>
      </c>
      <c r="Q475" s="6">
        <v>42404115</v>
      </c>
      <c r="R475" s="6">
        <v>0.16</v>
      </c>
      <c r="S475" s="6">
        <v>0.04</v>
      </c>
      <c r="T475" s="6">
        <v>37044234.859999999</v>
      </c>
      <c r="U475" s="6">
        <v>28734259.460000001</v>
      </c>
      <c r="V475" s="6">
        <v>0.24</v>
      </c>
      <c r="W475" s="6">
        <v>0.17</v>
      </c>
      <c r="X475" s="6" t="s">
        <v>432</v>
      </c>
      <c r="Y475" s="6">
        <v>27475534.73</v>
      </c>
      <c r="Z475" s="6">
        <v>16811332.489999998</v>
      </c>
      <c r="AA475" s="6">
        <v>30</v>
      </c>
      <c r="AB475" s="6">
        <v>132</v>
      </c>
      <c r="AC475" s="6" t="s">
        <v>353</v>
      </c>
      <c r="AD475" s="6" t="s">
        <v>455</v>
      </c>
      <c r="AE475" s="6">
        <v>0.21</v>
      </c>
      <c r="AF475" s="6" t="s">
        <v>155</v>
      </c>
      <c r="AG475" s="6">
        <v>0.1</v>
      </c>
      <c r="AH475" s="6">
        <v>0.03</v>
      </c>
      <c r="AI475" s="6">
        <v>13</v>
      </c>
      <c r="AJ475" s="6">
        <v>3708</v>
      </c>
      <c r="AK475" s="6">
        <v>6101581.8600000003</v>
      </c>
      <c r="AL475" s="6">
        <v>17258369.02</v>
      </c>
      <c r="AM475" s="6"/>
      <c r="AN475" s="6" t="s">
        <v>322</v>
      </c>
      <c r="AO475" s="6">
        <v>90.5</v>
      </c>
      <c r="AP475" s="6">
        <v>24</v>
      </c>
      <c r="AQ475" s="6" t="s">
        <v>337</v>
      </c>
      <c r="AR475" s="6" t="s">
        <v>206</v>
      </c>
      <c r="AS475" s="6" t="s">
        <v>361</v>
      </c>
    </row>
    <row r="476" spans="1:45" x14ac:dyDescent="0.3">
      <c r="A476" s="7" t="s">
        <v>1739</v>
      </c>
      <c r="B476" s="7" t="s">
        <v>3423</v>
      </c>
      <c r="C476" s="7" t="s">
        <v>266</v>
      </c>
      <c r="D476" s="7" t="s">
        <v>248</v>
      </c>
      <c r="E476" s="7" t="s">
        <v>4376</v>
      </c>
      <c r="F476" s="7" t="s">
        <v>31</v>
      </c>
      <c r="G476" s="7" t="s">
        <v>16</v>
      </c>
      <c r="H476" s="7" t="s">
        <v>216</v>
      </c>
      <c r="I476" s="7" t="s">
        <v>4291</v>
      </c>
      <c r="J476" s="7" t="s">
        <v>136</v>
      </c>
      <c r="K476" s="7" t="s">
        <v>210</v>
      </c>
      <c r="L476" s="7" t="s">
        <v>1740</v>
      </c>
      <c r="M476" s="7" t="s">
        <v>3970</v>
      </c>
      <c r="N476" s="7" t="s">
        <v>4285</v>
      </c>
      <c r="O476" s="7" t="s">
        <v>5013</v>
      </c>
      <c r="P476" s="7">
        <v>23</v>
      </c>
      <c r="Q476" s="7">
        <v>46339528</v>
      </c>
      <c r="R476" s="7">
        <v>0.19</v>
      </c>
      <c r="S476" s="7">
        <v>0.16</v>
      </c>
      <c r="T476" s="7">
        <v>43540620.509999998</v>
      </c>
      <c r="U476" s="7">
        <v>26903727.949999999</v>
      </c>
      <c r="V476" s="7">
        <v>0.11</v>
      </c>
      <c r="W476" s="7">
        <v>0.08</v>
      </c>
      <c r="X476" s="7" t="s">
        <v>1741</v>
      </c>
      <c r="Y476" s="7">
        <v>35673805.880000003</v>
      </c>
      <c r="Z476" s="7">
        <v>20479871.399999999</v>
      </c>
      <c r="AA476" s="7">
        <v>45</v>
      </c>
      <c r="AB476" s="7">
        <v>98</v>
      </c>
      <c r="AC476" s="7" t="s">
        <v>342</v>
      </c>
      <c r="AD476" s="7" t="s">
        <v>336</v>
      </c>
      <c r="AE476" s="7">
        <v>0.92</v>
      </c>
      <c r="AF476" s="7" t="s">
        <v>4361</v>
      </c>
      <c r="AG476" s="7">
        <v>0.05</v>
      </c>
      <c r="AH476" s="7">
        <v>0.06</v>
      </c>
      <c r="AI476" s="7">
        <v>0</v>
      </c>
      <c r="AJ476" s="7">
        <v>3244</v>
      </c>
      <c r="AK476" s="7">
        <v>5564663.3099999996</v>
      </c>
      <c r="AL476" s="7">
        <v>17108234.34</v>
      </c>
      <c r="AM476" s="7" t="s">
        <v>391</v>
      </c>
      <c r="AN476" s="7" t="s">
        <v>322</v>
      </c>
      <c r="AO476" s="7">
        <v>50.6</v>
      </c>
      <c r="AP476" s="7" t="s">
        <v>4275</v>
      </c>
      <c r="AQ476" s="7" t="s">
        <v>387</v>
      </c>
      <c r="AR476" s="7" t="s">
        <v>229</v>
      </c>
      <c r="AS476" s="7"/>
    </row>
    <row r="477" spans="1:45" x14ac:dyDescent="0.3">
      <c r="A477" s="6" t="s">
        <v>1742</v>
      </c>
      <c r="B477" s="6" t="s">
        <v>5014</v>
      </c>
      <c r="C477" s="6" t="s">
        <v>270</v>
      </c>
      <c r="D477" s="6" t="s">
        <v>245</v>
      </c>
      <c r="E477" s="6" t="s">
        <v>113</v>
      </c>
      <c r="F477" s="6" t="s">
        <v>181</v>
      </c>
      <c r="G477" s="6" t="s">
        <v>78</v>
      </c>
      <c r="H477" s="6" t="s">
        <v>4266</v>
      </c>
      <c r="I477" s="6" t="s">
        <v>233</v>
      </c>
      <c r="J477" s="6" t="s">
        <v>123</v>
      </c>
      <c r="K477" s="6" t="s">
        <v>223</v>
      </c>
      <c r="L477" s="6" t="s">
        <v>1743</v>
      </c>
      <c r="M477" s="6" t="s">
        <v>5015</v>
      </c>
      <c r="N477" s="6" t="s">
        <v>4528</v>
      </c>
      <c r="O477" s="6" t="s">
        <v>4274</v>
      </c>
      <c r="P477" s="6">
        <v>28</v>
      </c>
      <c r="Q477" s="6">
        <v>9889259</v>
      </c>
      <c r="R477" s="6">
        <v>0.26</v>
      </c>
      <c r="S477" s="6">
        <v>0.04</v>
      </c>
      <c r="T477" s="6">
        <v>7610773.7300000004</v>
      </c>
      <c r="U477" s="6"/>
      <c r="V477" s="6">
        <v>0.28999999999999998</v>
      </c>
      <c r="W477" s="6">
        <v>0.08</v>
      </c>
      <c r="X477" s="6" t="s">
        <v>1744</v>
      </c>
      <c r="Y477" s="6">
        <v>3506324.73</v>
      </c>
      <c r="Z477" s="6">
        <v>2886983.49</v>
      </c>
      <c r="AA477" s="6">
        <v>30</v>
      </c>
      <c r="AB477" s="6">
        <v>163</v>
      </c>
      <c r="AC477" s="6" t="s">
        <v>342</v>
      </c>
      <c r="AD477" s="6" t="s">
        <v>320</v>
      </c>
      <c r="AE477" s="6">
        <v>0.44</v>
      </c>
      <c r="AF477" s="6" t="s">
        <v>4319</v>
      </c>
      <c r="AG477" s="6">
        <v>0.05</v>
      </c>
      <c r="AH477" s="6">
        <v>0.05</v>
      </c>
      <c r="AI477" s="6">
        <v>1</v>
      </c>
      <c r="AJ477" s="6">
        <v>3995</v>
      </c>
      <c r="AK477" s="6">
        <v>553894.25</v>
      </c>
      <c r="AL477" s="6">
        <v>3240213.03</v>
      </c>
      <c r="AM477" s="6" t="s">
        <v>321</v>
      </c>
      <c r="AN477" s="6" t="s">
        <v>356</v>
      </c>
      <c r="AO477" s="6"/>
      <c r="AP477" s="6">
        <v>60</v>
      </c>
      <c r="AQ477" s="6" t="s">
        <v>4275</v>
      </c>
      <c r="AR477" s="6" t="s">
        <v>206</v>
      </c>
      <c r="AS477" s="6"/>
    </row>
    <row r="478" spans="1:45" x14ac:dyDescent="0.3">
      <c r="A478" s="7" t="s">
        <v>1745</v>
      </c>
      <c r="B478" s="7" t="s">
        <v>5016</v>
      </c>
      <c r="C478" s="7" t="s">
        <v>219</v>
      </c>
      <c r="D478" s="7" t="s">
        <v>265</v>
      </c>
      <c r="E478" s="7" t="s">
        <v>36</v>
      </c>
      <c r="F478" s="7" t="s">
        <v>19</v>
      </c>
      <c r="G478" s="7" t="s">
        <v>66</v>
      </c>
      <c r="H478" s="7" t="s">
        <v>4280</v>
      </c>
      <c r="I478" s="7" t="s">
        <v>4272</v>
      </c>
      <c r="J478" s="7" t="s">
        <v>115</v>
      </c>
      <c r="K478" s="7" t="s">
        <v>333</v>
      </c>
      <c r="L478" s="7" t="s">
        <v>1746</v>
      </c>
      <c r="M478" s="7" t="s">
        <v>5017</v>
      </c>
      <c r="N478" s="7" t="s">
        <v>5018</v>
      </c>
      <c r="O478" s="7" t="s">
        <v>4274</v>
      </c>
      <c r="P478" s="7">
        <v>37</v>
      </c>
      <c r="Q478" s="7">
        <v>12804937</v>
      </c>
      <c r="R478" s="7">
        <v>0.15</v>
      </c>
      <c r="S478" s="7">
        <v>0.09</v>
      </c>
      <c r="T478" s="7">
        <v>11863774.130000001</v>
      </c>
      <c r="U478" s="7">
        <v>8910236.2200000007</v>
      </c>
      <c r="V478" s="7">
        <v>0.28999999999999998</v>
      </c>
      <c r="W478" s="7">
        <v>0.14000000000000001</v>
      </c>
      <c r="X478" s="7"/>
      <c r="Y478" s="7">
        <v>6437765.4800000004</v>
      </c>
      <c r="Z478" s="7">
        <v>4323844.71</v>
      </c>
      <c r="AA478" s="7">
        <v>30</v>
      </c>
      <c r="AB478" s="7">
        <v>119</v>
      </c>
      <c r="AC478" s="7" t="s">
        <v>347</v>
      </c>
      <c r="AD478" s="7" t="s">
        <v>406</v>
      </c>
      <c r="AE478" s="7">
        <v>0.31</v>
      </c>
      <c r="AF478" s="7" t="s">
        <v>159</v>
      </c>
      <c r="AG478" s="7">
        <v>0.05</v>
      </c>
      <c r="AH478" s="7">
        <v>0.1</v>
      </c>
      <c r="AI478" s="7">
        <v>7</v>
      </c>
      <c r="AJ478" s="7">
        <v>2682</v>
      </c>
      <c r="AK478" s="7">
        <v>1547085.2</v>
      </c>
      <c r="AL478" s="7">
        <v>2390413.58</v>
      </c>
      <c r="AM478" s="7" t="s">
        <v>343</v>
      </c>
      <c r="AN478" s="7" t="s">
        <v>321</v>
      </c>
      <c r="AO478" s="7"/>
      <c r="AP478" s="7">
        <v>36</v>
      </c>
      <c r="AQ478" s="7" t="s">
        <v>392</v>
      </c>
      <c r="AR478" s="7" t="s">
        <v>192</v>
      </c>
      <c r="AS478" s="7" t="s">
        <v>188</v>
      </c>
    </row>
    <row r="479" spans="1:45" x14ac:dyDescent="0.3">
      <c r="A479" s="6" t="s">
        <v>1747</v>
      </c>
      <c r="B479" s="6" t="s">
        <v>3439</v>
      </c>
      <c r="C479" s="6" t="s">
        <v>279</v>
      </c>
      <c r="D479" s="6" t="s">
        <v>202</v>
      </c>
      <c r="E479" s="6" t="s">
        <v>4270</v>
      </c>
      <c r="F479" s="6" t="s">
        <v>181</v>
      </c>
      <c r="G479" s="6" t="s">
        <v>73</v>
      </c>
      <c r="H479" s="6" t="s">
        <v>212</v>
      </c>
      <c r="I479" s="6" t="s">
        <v>4307</v>
      </c>
      <c r="J479" s="6" t="s">
        <v>127</v>
      </c>
      <c r="K479" s="6" t="s">
        <v>199</v>
      </c>
      <c r="L479" s="6" t="s">
        <v>1748</v>
      </c>
      <c r="M479" s="6" t="s">
        <v>3971</v>
      </c>
      <c r="N479" s="6"/>
      <c r="O479" s="6" t="s">
        <v>5019</v>
      </c>
      <c r="P479" s="6">
        <v>28</v>
      </c>
      <c r="Q479" s="6">
        <v>6134244</v>
      </c>
      <c r="R479" s="6">
        <v>0.06</v>
      </c>
      <c r="S479" s="6">
        <v>0.09</v>
      </c>
      <c r="T479" s="6">
        <v>6285146.4000000004</v>
      </c>
      <c r="U479" s="6">
        <v>5296778.28</v>
      </c>
      <c r="V479" s="6">
        <v>0.27</v>
      </c>
      <c r="W479" s="6">
        <v>0.14000000000000001</v>
      </c>
      <c r="X479" s="6" t="s">
        <v>1749</v>
      </c>
      <c r="Y479" s="6">
        <v>1326094.18</v>
      </c>
      <c r="Z479" s="6">
        <v>1003966.59</v>
      </c>
      <c r="AA479" s="6">
        <v>60</v>
      </c>
      <c r="AB479" s="6">
        <v>132</v>
      </c>
      <c r="AC479" s="6" t="s">
        <v>353</v>
      </c>
      <c r="AD479" s="6" t="s">
        <v>381</v>
      </c>
      <c r="AE479" s="6">
        <v>0.94</v>
      </c>
      <c r="AF479" s="6" t="s">
        <v>4294</v>
      </c>
      <c r="AG479" s="6">
        <v>0.15</v>
      </c>
      <c r="AH479" s="6">
        <v>7.0000000000000007E-2</v>
      </c>
      <c r="AI479" s="6">
        <v>0</v>
      </c>
      <c r="AJ479" s="6">
        <v>3317</v>
      </c>
      <c r="AK479" s="6">
        <v>1377100.48</v>
      </c>
      <c r="AL479" s="6">
        <v>780969.7</v>
      </c>
      <c r="AM479" s="6"/>
      <c r="AN479" s="6" t="s">
        <v>322</v>
      </c>
      <c r="AO479" s="6">
        <v>69.3</v>
      </c>
      <c r="AP479" s="6">
        <v>24</v>
      </c>
      <c r="AQ479" s="6"/>
      <c r="AR479" s="6" t="s">
        <v>224</v>
      </c>
      <c r="AS479" s="6" t="s">
        <v>324</v>
      </c>
    </row>
    <row r="480" spans="1:45" x14ac:dyDescent="0.3">
      <c r="A480" s="7" t="s">
        <v>1750</v>
      </c>
      <c r="B480" s="7" t="s">
        <v>3436</v>
      </c>
      <c r="C480" s="7" t="s">
        <v>268</v>
      </c>
      <c r="D480" s="7" t="s">
        <v>180</v>
      </c>
      <c r="E480" s="7" t="s">
        <v>4376</v>
      </c>
      <c r="F480" s="7" t="s">
        <v>35</v>
      </c>
      <c r="G480" s="7" t="s">
        <v>54</v>
      </c>
      <c r="H480" s="7" t="s">
        <v>212</v>
      </c>
      <c r="I480" s="7"/>
      <c r="J480" s="7" t="s">
        <v>136</v>
      </c>
      <c r="K480" s="7" t="s">
        <v>221</v>
      </c>
      <c r="L480" s="7" t="s">
        <v>1751</v>
      </c>
      <c r="M480" s="7" t="s">
        <v>3308</v>
      </c>
      <c r="N480" s="7" t="s">
        <v>5020</v>
      </c>
      <c r="O480" s="7" t="s">
        <v>3864</v>
      </c>
      <c r="P480" s="7">
        <v>32</v>
      </c>
      <c r="Q480" s="7">
        <v>43086104</v>
      </c>
      <c r="R480" s="7">
        <v>0.27</v>
      </c>
      <c r="S480" s="7">
        <v>0.14000000000000001</v>
      </c>
      <c r="T480" s="7">
        <v>35856255.75</v>
      </c>
      <c r="U480" s="7">
        <v>30643222.510000002</v>
      </c>
      <c r="V480" s="7">
        <v>0.18</v>
      </c>
      <c r="W480" s="7">
        <v>0.14000000000000001</v>
      </c>
      <c r="X480" s="7" t="s">
        <v>1752</v>
      </c>
      <c r="Y480" s="7">
        <v>3152342.93</v>
      </c>
      <c r="Z480" s="7">
        <v>1515137.77</v>
      </c>
      <c r="AA480" s="7">
        <v>60</v>
      </c>
      <c r="AB480" s="7">
        <v>149</v>
      </c>
      <c r="AC480" s="7" t="s">
        <v>353</v>
      </c>
      <c r="AD480" s="7" t="s">
        <v>336</v>
      </c>
      <c r="AE480" s="7">
        <v>0.79</v>
      </c>
      <c r="AF480" s="7" t="s">
        <v>4276</v>
      </c>
      <c r="AG480" s="7">
        <v>0.15</v>
      </c>
      <c r="AH480" s="7">
        <v>0.08</v>
      </c>
      <c r="AI480" s="7">
        <v>14</v>
      </c>
      <c r="AJ480" s="7">
        <v>4729</v>
      </c>
      <c r="AK480" s="7">
        <v>3246242.06</v>
      </c>
      <c r="AL480" s="7">
        <v>7743947.3499999996</v>
      </c>
      <c r="AM480" s="7" t="s">
        <v>321</v>
      </c>
      <c r="AN480" s="7" t="s">
        <v>386</v>
      </c>
      <c r="AO480" s="7">
        <v>70.7</v>
      </c>
      <c r="AP480" s="7">
        <v>48</v>
      </c>
      <c r="AQ480" s="7" t="s">
        <v>4275</v>
      </c>
      <c r="AR480" s="7" t="s">
        <v>224</v>
      </c>
      <c r="AS480" s="7"/>
    </row>
    <row r="481" spans="1:45" x14ac:dyDescent="0.3">
      <c r="A481" s="6" t="s">
        <v>1753</v>
      </c>
      <c r="B481" s="6" t="s">
        <v>3973</v>
      </c>
      <c r="C481" s="6" t="s">
        <v>276</v>
      </c>
      <c r="D481" s="6" t="s">
        <v>209</v>
      </c>
      <c r="E481" s="6" t="s">
        <v>4270</v>
      </c>
      <c r="F481" s="6"/>
      <c r="G481" s="6" t="s">
        <v>70</v>
      </c>
      <c r="H481" s="6" t="s">
        <v>4280</v>
      </c>
      <c r="I481" s="6" t="s">
        <v>198</v>
      </c>
      <c r="J481" s="6" t="s">
        <v>127</v>
      </c>
      <c r="K481" s="6" t="s">
        <v>333</v>
      </c>
      <c r="L481" s="6" t="s">
        <v>1754</v>
      </c>
      <c r="M481" s="6" t="s">
        <v>5021</v>
      </c>
      <c r="N481" s="6" t="s">
        <v>3974</v>
      </c>
      <c r="O481" s="6" t="s">
        <v>4148</v>
      </c>
      <c r="P481" s="6" t="s">
        <v>4275</v>
      </c>
      <c r="Q481" s="6">
        <v>46043640</v>
      </c>
      <c r="R481" s="6">
        <v>0.21</v>
      </c>
      <c r="S481" s="6">
        <v>0.02</v>
      </c>
      <c r="T481" s="6">
        <v>37101965.109999999</v>
      </c>
      <c r="U481" s="6">
        <v>28600084.010000002</v>
      </c>
      <c r="V481" s="6">
        <v>0.19</v>
      </c>
      <c r="W481" s="6">
        <v>0.11</v>
      </c>
      <c r="X481" s="6" t="s">
        <v>1755</v>
      </c>
      <c r="Y481" s="6">
        <v>12509868.029999999</v>
      </c>
      <c r="Z481" s="6">
        <v>13193140.289999999</v>
      </c>
      <c r="AA481" s="6">
        <v>30</v>
      </c>
      <c r="AB481" s="6">
        <v>53</v>
      </c>
      <c r="AC481" s="6" t="s">
        <v>376</v>
      </c>
      <c r="AD481" s="6" t="s">
        <v>354</v>
      </c>
      <c r="AE481" s="6">
        <v>0.6</v>
      </c>
      <c r="AF481" s="6" t="s">
        <v>4303</v>
      </c>
      <c r="AG481" s="6">
        <v>0.15</v>
      </c>
      <c r="AH481" s="6">
        <v>0.06</v>
      </c>
      <c r="AI481" s="6">
        <v>12</v>
      </c>
      <c r="AJ481" s="6">
        <v>709</v>
      </c>
      <c r="AK481" s="6"/>
      <c r="AL481" s="6">
        <v>7247689.0999999996</v>
      </c>
      <c r="AM481" s="6" t="s">
        <v>321</v>
      </c>
      <c r="AN481" s="6" t="s">
        <v>330</v>
      </c>
      <c r="AO481" s="6">
        <v>59.2</v>
      </c>
      <c r="AP481" s="6">
        <v>24</v>
      </c>
      <c r="AQ481" s="6" t="s">
        <v>392</v>
      </c>
      <c r="AR481" s="6" t="s">
        <v>206</v>
      </c>
      <c r="AS481" s="6" t="s">
        <v>188</v>
      </c>
    </row>
    <row r="482" spans="1:45" x14ac:dyDescent="0.3">
      <c r="A482" s="7" t="s">
        <v>1756</v>
      </c>
      <c r="B482" s="7" t="s">
        <v>5000</v>
      </c>
      <c r="C482" s="7" t="s">
        <v>270</v>
      </c>
      <c r="D482" s="7" t="s">
        <v>245</v>
      </c>
      <c r="E482" s="7" t="s">
        <v>41</v>
      </c>
      <c r="F482" s="7" t="s">
        <v>363</v>
      </c>
      <c r="G482" s="7" t="s">
        <v>16</v>
      </c>
      <c r="H482" s="7" t="s">
        <v>4275</v>
      </c>
      <c r="I482" s="7" t="s">
        <v>233</v>
      </c>
      <c r="J482" s="6" t="s">
        <v>130</v>
      </c>
      <c r="K482" s="7" t="s">
        <v>223</v>
      </c>
      <c r="L482" s="7" t="s">
        <v>1757</v>
      </c>
      <c r="M482" s="7" t="s">
        <v>5022</v>
      </c>
      <c r="N482" s="7" t="s">
        <v>3739</v>
      </c>
      <c r="O482" s="7" t="s">
        <v>5023</v>
      </c>
      <c r="P482" s="7" t="s">
        <v>4275</v>
      </c>
      <c r="Q482" s="7">
        <v>11469267</v>
      </c>
      <c r="R482" s="7">
        <v>0.11</v>
      </c>
      <c r="S482" s="7">
        <v>-0.01</v>
      </c>
      <c r="T482" s="7">
        <v>10105571.15</v>
      </c>
      <c r="U482" s="7">
        <v>6798341.4000000004</v>
      </c>
      <c r="V482" s="7">
        <v>7.0000000000000007E-2</v>
      </c>
      <c r="W482" s="7">
        <v>0.17</v>
      </c>
      <c r="X482" s="7" t="s">
        <v>1758</v>
      </c>
      <c r="Y482" s="7">
        <v>2159596.0299999998</v>
      </c>
      <c r="Z482" s="7">
        <v>2274729.71</v>
      </c>
      <c r="AA482" s="7">
        <v>45</v>
      </c>
      <c r="AB482" s="7">
        <v>14</v>
      </c>
      <c r="AC482" s="7" t="s">
        <v>353</v>
      </c>
      <c r="AD482" s="7" t="s">
        <v>226</v>
      </c>
      <c r="AE482" s="7">
        <v>0.79</v>
      </c>
      <c r="AF482" s="7"/>
      <c r="AG482" s="7">
        <v>0.05</v>
      </c>
      <c r="AH482" s="7">
        <v>7.0000000000000007E-2</v>
      </c>
      <c r="AI482" s="7">
        <v>7</v>
      </c>
      <c r="AJ482" s="7">
        <v>2800</v>
      </c>
      <c r="AK482" s="7">
        <v>472769.13</v>
      </c>
      <c r="AL482" s="7">
        <v>4056147.66</v>
      </c>
      <c r="AM482" s="7" t="s">
        <v>355</v>
      </c>
      <c r="AN482" s="7"/>
      <c r="AO482" s="7">
        <v>62.7</v>
      </c>
      <c r="AP482" s="7">
        <v>12</v>
      </c>
      <c r="AQ482" s="7" t="s">
        <v>337</v>
      </c>
      <c r="AR482" s="7" t="s">
        <v>192</v>
      </c>
      <c r="AS482" s="7" t="s">
        <v>357</v>
      </c>
    </row>
    <row r="483" spans="1:45" x14ac:dyDescent="0.3">
      <c r="A483" s="6" t="s">
        <v>1759</v>
      </c>
      <c r="B483" s="6" t="s">
        <v>3865</v>
      </c>
      <c r="C483" s="6" t="s">
        <v>225</v>
      </c>
      <c r="D483" s="6" t="s">
        <v>281</v>
      </c>
      <c r="E483" s="6" t="s">
        <v>20</v>
      </c>
      <c r="F483" s="6" t="s">
        <v>196</v>
      </c>
      <c r="G483" s="6" t="s">
        <v>54</v>
      </c>
      <c r="H483" s="6" t="s">
        <v>4266</v>
      </c>
      <c r="I483" s="6" t="s">
        <v>233</v>
      </c>
      <c r="J483" s="6" t="s">
        <v>136</v>
      </c>
      <c r="K483" s="6" t="s">
        <v>223</v>
      </c>
      <c r="L483" s="6" t="s">
        <v>1760</v>
      </c>
      <c r="M483" s="6" t="s">
        <v>3975</v>
      </c>
      <c r="N483" s="6" t="s">
        <v>4516</v>
      </c>
      <c r="O483" s="6" t="s">
        <v>3540</v>
      </c>
      <c r="P483" s="6">
        <v>33</v>
      </c>
      <c r="Q483" s="6">
        <v>16814898</v>
      </c>
      <c r="R483" s="6">
        <v>0.34</v>
      </c>
      <c r="S483" s="6">
        <v>0.05</v>
      </c>
      <c r="T483" s="6">
        <v>11652724.310000001</v>
      </c>
      <c r="U483" s="6">
        <v>9706962.5199999996</v>
      </c>
      <c r="V483" s="6">
        <v>0.36</v>
      </c>
      <c r="W483" s="6">
        <v>0.12</v>
      </c>
      <c r="X483" s="6" t="s">
        <v>1761</v>
      </c>
      <c r="Y483" s="6">
        <v>10421662.949999999</v>
      </c>
      <c r="Z483" s="6">
        <v>11218903.26</v>
      </c>
      <c r="AA483" s="6">
        <v>60</v>
      </c>
      <c r="AB483" s="6">
        <v>86</v>
      </c>
      <c r="AC483" s="6" t="s">
        <v>347</v>
      </c>
      <c r="AD483" s="6" t="s">
        <v>320</v>
      </c>
      <c r="AE483" s="6">
        <v>0.8</v>
      </c>
      <c r="AF483" s="6" t="s">
        <v>153</v>
      </c>
      <c r="AG483" s="6">
        <v>0.1</v>
      </c>
      <c r="AH483" s="6">
        <v>0.06</v>
      </c>
      <c r="AI483" s="6">
        <v>13</v>
      </c>
      <c r="AJ483" s="6">
        <v>3358</v>
      </c>
      <c r="AK483" s="6">
        <v>2423881.48</v>
      </c>
      <c r="AL483" s="6">
        <v>4272042.6399999997</v>
      </c>
      <c r="AM483" s="6" t="s">
        <v>73</v>
      </c>
      <c r="AN483" s="6"/>
      <c r="AO483" s="6">
        <v>53.8</v>
      </c>
      <c r="AP483" s="6">
        <v>36</v>
      </c>
      <c r="AQ483" s="6" t="s">
        <v>392</v>
      </c>
      <c r="AR483" s="6" t="s">
        <v>206</v>
      </c>
      <c r="AS483" s="6"/>
    </row>
    <row r="484" spans="1:45" x14ac:dyDescent="0.3">
      <c r="A484" s="7" t="s">
        <v>1762</v>
      </c>
      <c r="B484" s="7" t="s">
        <v>3976</v>
      </c>
      <c r="C484" s="7" t="s">
        <v>251</v>
      </c>
      <c r="D484" s="7" t="s">
        <v>232</v>
      </c>
      <c r="E484" s="7" t="s">
        <v>41</v>
      </c>
      <c r="F484" s="7" t="s">
        <v>363</v>
      </c>
      <c r="G484" s="7" t="s">
        <v>70</v>
      </c>
      <c r="H484" s="7"/>
      <c r="I484" s="7" t="s">
        <v>4372</v>
      </c>
      <c r="J484" s="6" t="s">
        <v>130</v>
      </c>
      <c r="K484" s="7" t="s">
        <v>210</v>
      </c>
      <c r="L484" s="7" t="s">
        <v>1763</v>
      </c>
      <c r="M484" s="7" t="s">
        <v>5024</v>
      </c>
      <c r="N484" s="7" t="s">
        <v>1764</v>
      </c>
      <c r="O484" s="7" t="s">
        <v>3842</v>
      </c>
      <c r="P484" s="7">
        <v>28</v>
      </c>
      <c r="Q484" s="7">
        <v>644880</v>
      </c>
      <c r="R484" s="7">
        <v>0.17</v>
      </c>
      <c r="S484" s="7">
        <v>-0.05</v>
      </c>
      <c r="T484" s="7">
        <v>508487.88</v>
      </c>
      <c r="U484" s="7">
        <v>392219.93</v>
      </c>
      <c r="V484" s="7">
        <v>0.11</v>
      </c>
      <c r="W484" s="7">
        <v>0.06</v>
      </c>
      <c r="X484" s="7" t="s">
        <v>1765</v>
      </c>
      <c r="Y484" s="7">
        <v>59388.21</v>
      </c>
      <c r="Z484" s="7">
        <v>19779.95</v>
      </c>
      <c r="AA484" s="7">
        <v>120</v>
      </c>
      <c r="AB484" s="7">
        <v>125</v>
      </c>
      <c r="AC484" s="7"/>
      <c r="AD484" s="7" t="s">
        <v>354</v>
      </c>
      <c r="AE484" s="7">
        <v>0.34</v>
      </c>
      <c r="AF484" s="7" t="s">
        <v>153</v>
      </c>
      <c r="AG484" s="7">
        <v>0.15</v>
      </c>
      <c r="AH484" s="7">
        <v>0.02</v>
      </c>
      <c r="AI484" s="7">
        <v>0</v>
      </c>
      <c r="AJ484" s="7">
        <v>1555</v>
      </c>
      <c r="AK484" s="7">
        <v>77167.570000000007</v>
      </c>
      <c r="AL484" s="7">
        <v>244551.59</v>
      </c>
      <c r="AM484" s="7" t="s">
        <v>355</v>
      </c>
      <c r="AN484" s="7"/>
      <c r="AO484" s="7">
        <v>52.8</v>
      </c>
      <c r="AP484" s="7">
        <v>24</v>
      </c>
      <c r="AQ484" s="7" t="s">
        <v>4275</v>
      </c>
      <c r="AR484" s="7" t="s">
        <v>192</v>
      </c>
      <c r="AS484" s="7" t="s">
        <v>188</v>
      </c>
    </row>
    <row r="485" spans="1:45" x14ac:dyDescent="0.3">
      <c r="A485" s="6" t="s">
        <v>1766</v>
      </c>
      <c r="B485" s="6" t="s">
        <v>3753</v>
      </c>
      <c r="C485" s="6" t="s">
        <v>257</v>
      </c>
      <c r="D485" s="6" t="s">
        <v>394</v>
      </c>
      <c r="E485" s="6" t="s">
        <v>113</v>
      </c>
      <c r="F485" s="6" t="s">
        <v>367</v>
      </c>
      <c r="G485" s="6" t="s">
        <v>62</v>
      </c>
      <c r="H485" s="6" t="s">
        <v>4326</v>
      </c>
      <c r="I485" s="6" t="s">
        <v>246</v>
      </c>
      <c r="J485" s="6" t="s">
        <v>111</v>
      </c>
      <c r="K485" s="6" t="s">
        <v>204</v>
      </c>
      <c r="L485" s="6" t="s">
        <v>1767</v>
      </c>
      <c r="M485" s="6" t="s">
        <v>3858</v>
      </c>
      <c r="N485" s="6" t="s">
        <v>3977</v>
      </c>
      <c r="O485" s="6" t="s">
        <v>5025</v>
      </c>
      <c r="P485" s="6">
        <v>17</v>
      </c>
      <c r="Q485" s="6">
        <v>6100515</v>
      </c>
      <c r="R485" s="6">
        <v>0.3</v>
      </c>
      <c r="S485" s="6">
        <v>0.03</v>
      </c>
      <c r="T485" s="6">
        <v>4398471.32</v>
      </c>
      <c r="U485" s="6">
        <v>3918419.58</v>
      </c>
      <c r="V485" s="6">
        <v>0.05</v>
      </c>
      <c r="W485" s="6">
        <v>0.09</v>
      </c>
      <c r="X485" s="6" t="s">
        <v>1768</v>
      </c>
      <c r="Y485" s="6">
        <v>3875711.95</v>
      </c>
      <c r="Z485" s="6">
        <v>1638741.43</v>
      </c>
      <c r="AA485" s="6">
        <v>45</v>
      </c>
      <c r="AB485" s="6">
        <v>103</v>
      </c>
      <c r="AC485" s="6" t="s">
        <v>347</v>
      </c>
      <c r="AD485" s="6" t="s">
        <v>455</v>
      </c>
      <c r="AE485" s="6">
        <v>0.51</v>
      </c>
      <c r="AF485" s="6" t="s">
        <v>153</v>
      </c>
      <c r="AG485" s="6">
        <v>0.1</v>
      </c>
      <c r="AH485" s="6">
        <v>0.08</v>
      </c>
      <c r="AI485" s="6">
        <v>10</v>
      </c>
      <c r="AJ485" s="6">
        <v>854</v>
      </c>
      <c r="AK485" s="6">
        <v>1063872.77</v>
      </c>
      <c r="AL485" s="6">
        <v>1094258.77</v>
      </c>
      <c r="AM485" s="6" t="s">
        <v>73</v>
      </c>
      <c r="AN485" s="6" t="s">
        <v>356</v>
      </c>
      <c r="AO485" s="6">
        <v>87.7</v>
      </c>
      <c r="AP485" s="6">
        <v>12</v>
      </c>
      <c r="AQ485" s="6" t="s">
        <v>4275</v>
      </c>
      <c r="AR485" s="6" t="s">
        <v>186</v>
      </c>
      <c r="AS485" s="6" t="s">
        <v>188</v>
      </c>
    </row>
    <row r="486" spans="1:45" x14ac:dyDescent="0.3">
      <c r="A486" s="7" t="s">
        <v>1769</v>
      </c>
      <c r="B486" s="7" t="s">
        <v>3424</v>
      </c>
      <c r="C486" s="7" t="s">
        <v>211</v>
      </c>
      <c r="D486" s="7" t="s">
        <v>250</v>
      </c>
      <c r="E486" s="7" t="s">
        <v>36</v>
      </c>
      <c r="F486" s="7" t="s">
        <v>339</v>
      </c>
      <c r="G486" s="7" t="s">
        <v>73</v>
      </c>
      <c r="H486" s="7" t="s">
        <v>4340</v>
      </c>
      <c r="I486" s="7"/>
      <c r="J486" s="7" t="s">
        <v>115</v>
      </c>
      <c r="K486" s="7" t="s">
        <v>333</v>
      </c>
      <c r="L486" s="7" t="s">
        <v>1770</v>
      </c>
      <c r="M486" s="7" t="s">
        <v>5026</v>
      </c>
      <c r="N486" s="7" t="s">
        <v>3802</v>
      </c>
      <c r="O486" s="7" t="s">
        <v>5027</v>
      </c>
      <c r="P486" s="7">
        <v>51</v>
      </c>
      <c r="Q486" s="7">
        <v>11264485</v>
      </c>
      <c r="R486" s="7">
        <v>0.34</v>
      </c>
      <c r="S486" s="7">
        <v>0.18</v>
      </c>
      <c r="T486" s="7">
        <v>8772780.9199999999</v>
      </c>
      <c r="U486" s="7">
        <v>5767057.7800000003</v>
      </c>
      <c r="V486" s="7">
        <v>0.27</v>
      </c>
      <c r="W486" s="7">
        <v>0.1</v>
      </c>
      <c r="X486" s="7" t="s">
        <v>1771</v>
      </c>
      <c r="Y486" s="7">
        <v>3918351.17</v>
      </c>
      <c r="Z486" s="7">
        <v>3778826.36</v>
      </c>
      <c r="AA486" s="7">
        <v>90</v>
      </c>
      <c r="AB486" s="7">
        <v>78</v>
      </c>
      <c r="AC486" s="7" t="s">
        <v>376</v>
      </c>
      <c r="AD486" s="7" t="s">
        <v>320</v>
      </c>
      <c r="AE486" s="7">
        <v>0.7</v>
      </c>
      <c r="AF486" s="7" t="s">
        <v>162</v>
      </c>
      <c r="AG486" s="7">
        <v>0.05</v>
      </c>
      <c r="AH486" s="7">
        <v>0.1</v>
      </c>
      <c r="AI486" s="7">
        <v>9</v>
      </c>
      <c r="AJ486" s="7">
        <v>3093</v>
      </c>
      <c r="AK486" s="7">
        <v>398047.9</v>
      </c>
      <c r="AL486" s="7">
        <v>3518528.51</v>
      </c>
      <c r="AM486" s="7" t="s">
        <v>73</v>
      </c>
      <c r="AN486" s="7" t="s">
        <v>386</v>
      </c>
      <c r="AO486" s="7">
        <v>73.099999999999994</v>
      </c>
      <c r="AP486" s="7">
        <v>24</v>
      </c>
      <c r="AQ486" s="7" t="s">
        <v>323</v>
      </c>
      <c r="AR486" s="7" t="s">
        <v>206</v>
      </c>
      <c r="AS486" s="7"/>
    </row>
    <row r="487" spans="1:45" x14ac:dyDescent="0.3">
      <c r="A487" s="6" t="s">
        <v>1772</v>
      </c>
      <c r="B487" s="6" t="s">
        <v>3347</v>
      </c>
      <c r="C487" s="6" t="s">
        <v>261</v>
      </c>
      <c r="D487" s="6" t="s">
        <v>274</v>
      </c>
      <c r="E487" s="6" t="s">
        <v>4376</v>
      </c>
      <c r="F487" s="6" t="s">
        <v>31</v>
      </c>
      <c r="G487" s="6"/>
      <c r="H487" s="6" t="s">
        <v>212</v>
      </c>
      <c r="I487" s="6" t="s">
        <v>198</v>
      </c>
      <c r="J487" s="6" t="s">
        <v>136</v>
      </c>
      <c r="K487" s="6" t="s">
        <v>204</v>
      </c>
      <c r="L487" s="6" t="s">
        <v>1773</v>
      </c>
      <c r="M487" s="6" t="s">
        <v>5028</v>
      </c>
      <c r="N487" s="6"/>
      <c r="O487" s="6" t="s">
        <v>4274</v>
      </c>
      <c r="P487" s="6" t="s">
        <v>4275</v>
      </c>
      <c r="Q487" s="6">
        <v>15393072</v>
      </c>
      <c r="R487" s="6">
        <v>0.1</v>
      </c>
      <c r="S487" s="6">
        <v>0.08</v>
      </c>
      <c r="T487" s="6">
        <v>14962065.98</v>
      </c>
      <c r="U487" s="6">
        <v>11668595.17</v>
      </c>
      <c r="V487" s="6">
        <v>0.32</v>
      </c>
      <c r="W487" s="6">
        <v>0.16</v>
      </c>
      <c r="X487" s="6" t="s">
        <v>1774</v>
      </c>
      <c r="Y487" s="6">
        <v>986724.32</v>
      </c>
      <c r="Z487" s="6">
        <v>530327.98</v>
      </c>
      <c r="AA487" s="6">
        <v>60</v>
      </c>
      <c r="AB487" s="6">
        <v>121</v>
      </c>
      <c r="AC487" s="6" t="s">
        <v>353</v>
      </c>
      <c r="AD487" s="6" t="s">
        <v>354</v>
      </c>
      <c r="AE487" s="6">
        <v>0.6</v>
      </c>
      <c r="AF487" s="6" t="s">
        <v>4312</v>
      </c>
      <c r="AG487" s="6">
        <v>0.1</v>
      </c>
      <c r="AH487" s="6">
        <v>0.1</v>
      </c>
      <c r="AI487" s="6">
        <v>0</v>
      </c>
      <c r="AJ487" s="6">
        <v>3833</v>
      </c>
      <c r="AK487" s="6">
        <v>3548571.56</v>
      </c>
      <c r="AL487" s="6">
        <v>4249913.9400000004</v>
      </c>
      <c r="AM487" s="6" t="s">
        <v>385</v>
      </c>
      <c r="AN487" s="6" t="s">
        <v>386</v>
      </c>
      <c r="AO487" s="6">
        <v>81.5</v>
      </c>
      <c r="AP487" s="6">
        <v>48</v>
      </c>
      <c r="AQ487" s="6" t="s">
        <v>387</v>
      </c>
      <c r="AR487" s="6" t="s">
        <v>206</v>
      </c>
      <c r="AS487" s="6"/>
    </row>
    <row r="488" spans="1:45" x14ac:dyDescent="0.3">
      <c r="A488" s="7" t="s">
        <v>1775</v>
      </c>
      <c r="B488" s="7" t="s">
        <v>4358</v>
      </c>
      <c r="C488" s="7" t="s">
        <v>273</v>
      </c>
      <c r="D488" s="7" t="s">
        <v>215</v>
      </c>
      <c r="E488" s="7" t="s">
        <v>4376</v>
      </c>
      <c r="F488" s="7" t="s">
        <v>31</v>
      </c>
      <c r="G488" s="7" t="s">
        <v>28</v>
      </c>
      <c r="H488" s="7" t="s">
        <v>236</v>
      </c>
      <c r="I488" s="7" t="s">
        <v>4307</v>
      </c>
      <c r="J488" s="7" t="s">
        <v>136</v>
      </c>
      <c r="K488" s="7" t="s">
        <v>210</v>
      </c>
      <c r="L488" s="7" t="s">
        <v>1776</v>
      </c>
      <c r="M488" s="7" t="s">
        <v>5029</v>
      </c>
      <c r="N488" s="7" t="s">
        <v>3978</v>
      </c>
      <c r="O488" s="7" t="s">
        <v>4274</v>
      </c>
      <c r="P488" s="7">
        <v>13</v>
      </c>
      <c r="Q488" s="7">
        <v>1055519</v>
      </c>
      <c r="R488" s="7">
        <v>0.31</v>
      </c>
      <c r="S488" s="7">
        <v>0.11</v>
      </c>
      <c r="T488" s="7">
        <v>808422</v>
      </c>
      <c r="U488" s="7">
        <v>597821.6</v>
      </c>
      <c r="V488" s="7">
        <v>0.19</v>
      </c>
      <c r="W488" s="7">
        <v>0.05</v>
      </c>
      <c r="X488" s="7" t="s">
        <v>1777</v>
      </c>
      <c r="Y488" s="7">
        <v>398914.1</v>
      </c>
      <c r="Z488" s="7">
        <v>159844.47</v>
      </c>
      <c r="AA488" s="7">
        <v>120</v>
      </c>
      <c r="AB488" s="7">
        <v>58</v>
      </c>
      <c r="AC488" s="7" t="s">
        <v>329</v>
      </c>
      <c r="AD488" s="7" t="s">
        <v>406</v>
      </c>
      <c r="AE488" s="7">
        <v>0.25</v>
      </c>
      <c r="AF488" s="7" t="s">
        <v>4319</v>
      </c>
      <c r="AG488" s="7">
        <v>0.1</v>
      </c>
      <c r="AH488" s="7">
        <v>0.06</v>
      </c>
      <c r="AI488" s="7">
        <v>8</v>
      </c>
      <c r="AJ488" s="7">
        <v>465</v>
      </c>
      <c r="AK488" s="7">
        <v>172806.82</v>
      </c>
      <c r="AL488" s="7">
        <v>360447.97</v>
      </c>
      <c r="AM488" s="7" t="s">
        <v>321</v>
      </c>
      <c r="AN488" s="7" t="s">
        <v>356</v>
      </c>
      <c r="AO488" s="7">
        <v>80.3</v>
      </c>
      <c r="AP488" s="7">
        <v>36</v>
      </c>
      <c r="AQ488" s="7" t="s">
        <v>392</v>
      </c>
      <c r="AR488" s="7" t="s">
        <v>186</v>
      </c>
      <c r="AS488" s="7"/>
    </row>
    <row r="489" spans="1:45" x14ac:dyDescent="0.3">
      <c r="A489" s="6" t="s">
        <v>1778</v>
      </c>
      <c r="B489" s="6" t="s">
        <v>4444</v>
      </c>
      <c r="C489" s="6" t="s">
        <v>278</v>
      </c>
      <c r="D489" s="6" t="s">
        <v>274</v>
      </c>
      <c r="E489" s="6" t="s">
        <v>4265</v>
      </c>
      <c r="F489" s="6" t="s">
        <v>350</v>
      </c>
      <c r="G489" s="6" t="s">
        <v>46</v>
      </c>
      <c r="H489" s="6" t="s">
        <v>4275</v>
      </c>
      <c r="I489" s="6"/>
      <c r="J489" s="6" t="s">
        <v>105</v>
      </c>
      <c r="K489" s="6" t="s">
        <v>204</v>
      </c>
      <c r="L489" s="6" t="s">
        <v>1779</v>
      </c>
      <c r="M489" s="6" t="s">
        <v>3951</v>
      </c>
      <c r="N489" s="6" t="s">
        <v>5030</v>
      </c>
      <c r="O489" s="6" t="s">
        <v>5008</v>
      </c>
      <c r="P489" s="6">
        <v>55</v>
      </c>
      <c r="Q489" s="6">
        <v>3723046</v>
      </c>
      <c r="R489" s="6">
        <v>0.25</v>
      </c>
      <c r="S489" s="6">
        <v>0.02</v>
      </c>
      <c r="T489" s="6">
        <v>2848130.19</v>
      </c>
      <c r="U489" s="6">
        <v>2470983.64</v>
      </c>
      <c r="V489" s="6">
        <v>0.38</v>
      </c>
      <c r="W489" s="6">
        <v>0.08</v>
      </c>
      <c r="X489" s="6" t="s">
        <v>1780</v>
      </c>
      <c r="Y489" s="6">
        <v>1694930.8</v>
      </c>
      <c r="Z489" s="6">
        <v>677892.24</v>
      </c>
      <c r="AA489" s="6">
        <v>120</v>
      </c>
      <c r="AB489" s="6">
        <v>127</v>
      </c>
      <c r="AC489" s="6" t="s">
        <v>347</v>
      </c>
      <c r="AD489" s="6" t="s">
        <v>336</v>
      </c>
      <c r="AE489" s="6">
        <v>0.61</v>
      </c>
      <c r="AF489" s="6" t="s">
        <v>155</v>
      </c>
      <c r="AG489" s="6">
        <v>0.15</v>
      </c>
      <c r="AH489" s="6">
        <v>7.0000000000000007E-2</v>
      </c>
      <c r="AI489" s="6">
        <v>1</v>
      </c>
      <c r="AJ489" s="6">
        <v>1894</v>
      </c>
      <c r="AK489" s="6">
        <v>123433.12</v>
      </c>
      <c r="AL489" s="6">
        <v>618750.89</v>
      </c>
      <c r="AM489" s="6" t="s">
        <v>321</v>
      </c>
      <c r="AN489" s="6" t="s">
        <v>386</v>
      </c>
      <c r="AO489" s="6">
        <v>94.9</v>
      </c>
      <c r="AP489" s="6">
        <v>36</v>
      </c>
      <c r="AQ489" s="6" t="s">
        <v>337</v>
      </c>
      <c r="AR489" s="6" t="s">
        <v>192</v>
      </c>
      <c r="AS489" s="6" t="s">
        <v>357</v>
      </c>
    </row>
    <row r="490" spans="1:45" x14ac:dyDescent="0.3">
      <c r="A490" s="7" t="s">
        <v>1781</v>
      </c>
      <c r="B490" s="7" t="s">
        <v>5031</v>
      </c>
      <c r="C490" s="7" t="s">
        <v>275</v>
      </c>
      <c r="D490" s="7" t="s">
        <v>180</v>
      </c>
      <c r="E490" s="7" t="s">
        <v>52</v>
      </c>
      <c r="F490" s="7"/>
      <c r="G490" s="7" t="s">
        <v>46</v>
      </c>
      <c r="H490" s="7" t="s">
        <v>4266</v>
      </c>
      <c r="I490" s="7"/>
      <c r="J490" s="7" t="s">
        <v>119</v>
      </c>
      <c r="K490" s="7" t="s">
        <v>199</v>
      </c>
      <c r="L490" s="7" t="s">
        <v>1782</v>
      </c>
      <c r="M490" s="7" t="s">
        <v>3979</v>
      </c>
      <c r="N490" s="7" t="s">
        <v>3980</v>
      </c>
      <c r="O490" s="7" t="s">
        <v>3547</v>
      </c>
      <c r="P490" s="7">
        <v>17</v>
      </c>
      <c r="Q490" s="7">
        <v>15645205</v>
      </c>
      <c r="R490" s="7">
        <v>0.13</v>
      </c>
      <c r="S490" s="7">
        <v>0.03</v>
      </c>
      <c r="T490" s="7">
        <v>14019668.199999999</v>
      </c>
      <c r="U490" s="7">
        <v>11829774.17</v>
      </c>
      <c r="V490" s="7">
        <v>0.32</v>
      </c>
      <c r="W490" s="7">
        <v>0.06</v>
      </c>
      <c r="X490" s="7" t="s">
        <v>1783</v>
      </c>
      <c r="Y490" s="7">
        <v>1566410.18</v>
      </c>
      <c r="Z490" s="7">
        <v>530321.02</v>
      </c>
      <c r="AA490" s="7">
        <v>45</v>
      </c>
      <c r="AB490" s="7">
        <v>34</v>
      </c>
      <c r="AC490" s="7"/>
      <c r="AD490" s="7" t="s">
        <v>226</v>
      </c>
      <c r="AE490" s="7">
        <v>0.36</v>
      </c>
      <c r="AF490" s="7" t="s">
        <v>4294</v>
      </c>
      <c r="AG490" s="7">
        <v>0.05</v>
      </c>
      <c r="AH490" s="7">
        <v>0.05</v>
      </c>
      <c r="AI490" s="7">
        <v>2</v>
      </c>
      <c r="AJ490" s="7">
        <v>1838</v>
      </c>
      <c r="AK490" s="7">
        <v>1280190.3999999999</v>
      </c>
      <c r="AL490" s="7">
        <v>6626259.3399999999</v>
      </c>
      <c r="AM490" s="7" t="s">
        <v>321</v>
      </c>
      <c r="AN490" s="7" t="s">
        <v>321</v>
      </c>
      <c r="AO490" s="7">
        <v>91.1</v>
      </c>
      <c r="AP490" s="7">
        <v>60</v>
      </c>
      <c r="AQ490" s="7" t="s">
        <v>337</v>
      </c>
      <c r="AR490" s="7" t="s">
        <v>186</v>
      </c>
      <c r="AS490" s="7" t="s">
        <v>188</v>
      </c>
    </row>
    <row r="491" spans="1:45" x14ac:dyDescent="0.3">
      <c r="A491" s="6" t="s">
        <v>1784</v>
      </c>
      <c r="B491" s="6" t="s">
        <v>3372</v>
      </c>
      <c r="C491" s="6" t="s">
        <v>277</v>
      </c>
      <c r="D491" s="6" t="s">
        <v>262</v>
      </c>
      <c r="E491" s="6" t="s">
        <v>36</v>
      </c>
      <c r="F491" s="6"/>
      <c r="G491" s="6"/>
      <c r="H491" s="6" t="s">
        <v>4275</v>
      </c>
      <c r="I491" s="6" t="s">
        <v>233</v>
      </c>
      <c r="J491" s="6" t="s">
        <v>115</v>
      </c>
      <c r="K491" s="6" t="s">
        <v>184</v>
      </c>
      <c r="L491" s="6" t="s">
        <v>1785</v>
      </c>
      <c r="M491" s="6" t="s">
        <v>3981</v>
      </c>
      <c r="N491" s="6" t="s">
        <v>5032</v>
      </c>
      <c r="O491" s="6" t="s">
        <v>5033</v>
      </c>
      <c r="P491" s="6">
        <v>45</v>
      </c>
      <c r="Q491" s="6">
        <v>33497918</v>
      </c>
      <c r="R491" s="6">
        <v>0.33</v>
      </c>
      <c r="S491" s="6">
        <v>0.17</v>
      </c>
      <c r="T491" s="6">
        <v>26259017.920000002</v>
      </c>
      <c r="U491" s="6">
        <v>22125919.559999999</v>
      </c>
      <c r="V491" s="6">
        <v>0.2</v>
      </c>
      <c r="W491" s="6">
        <v>0.12</v>
      </c>
      <c r="X491" s="6" t="s">
        <v>1786</v>
      </c>
      <c r="Y491" s="6">
        <v>10069863.1</v>
      </c>
      <c r="Z491" s="6">
        <v>9445868.6799999997</v>
      </c>
      <c r="AA491" s="6">
        <v>45</v>
      </c>
      <c r="AB491" s="6">
        <v>132</v>
      </c>
      <c r="AC491" s="6" t="s">
        <v>353</v>
      </c>
      <c r="AD491" s="6" t="s">
        <v>381</v>
      </c>
      <c r="AE491" s="6" t="s">
        <v>4467</v>
      </c>
      <c r="AF491" s="6" t="s">
        <v>152</v>
      </c>
      <c r="AG491" s="6">
        <v>0.05</v>
      </c>
      <c r="AH491" s="6">
        <v>0.1</v>
      </c>
      <c r="AI491" s="6">
        <v>13</v>
      </c>
      <c r="AJ491" s="6">
        <v>4148</v>
      </c>
      <c r="AK491" s="6"/>
      <c r="AL491" s="6">
        <v>3024429.74</v>
      </c>
      <c r="AM491" s="6" t="s">
        <v>321</v>
      </c>
      <c r="AN491" s="6" t="s">
        <v>321</v>
      </c>
      <c r="AO491" s="6">
        <v>84.3</v>
      </c>
      <c r="AP491" s="6" t="s">
        <v>4275</v>
      </c>
      <c r="AQ491" s="6"/>
      <c r="AR491" s="6" t="s">
        <v>224</v>
      </c>
      <c r="AS491" s="6"/>
    </row>
    <row r="492" spans="1:45" x14ac:dyDescent="0.3">
      <c r="A492" s="7" t="s">
        <v>1787</v>
      </c>
      <c r="B492" s="7" t="s">
        <v>5034</v>
      </c>
      <c r="C492" s="7" t="s">
        <v>256</v>
      </c>
      <c r="D492" s="7" t="s">
        <v>190</v>
      </c>
      <c r="E492" s="7" t="s">
        <v>4376</v>
      </c>
      <c r="F492" s="7" t="s">
        <v>196</v>
      </c>
      <c r="G492" s="7" t="s">
        <v>23</v>
      </c>
      <c r="H492" s="7" t="s">
        <v>4280</v>
      </c>
      <c r="I492" s="7" t="s">
        <v>4291</v>
      </c>
      <c r="J492" s="7" t="s">
        <v>136</v>
      </c>
      <c r="K492" s="7" t="s">
        <v>223</v>
      </c>
      <c r="L492" s="7" t="s">
        <v>1788</v>
      </c>
      <c r="M492" s="7" t="s">
        <v>3983</v>
      </c>
      <c r="N492" s="7" t="s">
        <v>5035</v>
      </c>
      <c r="O492" s="7" t="s">
        <v>4274</v>
      </c>
      <c r="P492" s="7">
        <v>48</v>
      </c>
      <c r="Q492" s="7">
        <v>10185763</v>
      </c>
      <c r="R492" s="7">
        <v>0.18</v>
      </c>
      <c r="S492" s="7">
        <v>0.08</v>
      </c>
      <c r="T492" s="7">
        <v>9020511.7100000009</v>
      </c>
      <c r="U492" s="7">
        <v>7642507.6600000001</v>
      </c>
      <c r="V492" s="7">
        <v>0.39</v>
      </c>
      <c r="W492" s="7">
        <v>7.0000000000000007E-2</v>
      </c>
      <c r="X492" s="7" t="s">
        <v>1789</v>
      </c>
      <c r="Y492" s="7">
        <v>4291157.6399999997</v>
      </c>
      <c r="Z492" s="7">
        <v>1624334.3</v>
      </c>
      <c r="AA492" s="7">
        <v>120</v>
      </c>
      <c r="AB492" s="7">
        <v>54</v>
      </c>
      <c r="AC492" s="7" t="s">
        <v>376</v>
      </c>
      <c r="AD492" s="7" t="s">
        <v>226</v>
      </c>
      <c r="AE492" s="7">
        <v>0.09</v>
      </c>
      <c r="AF492" s="7" t="s">
        <v>4294</v>
      </c>
      <c r="AG492" s="7">
        <v>0.1</v>
      </c>
      <c r="AH492" s="7">
        <v>7.0000000000000007E-2</v>
      </c>
      <c r="AI492" s="7">
        <v>12</v>
      </c>
      <c r="AJ492" s="7">
        <v>2891</v>
      </c>
      <c r="AK492" s="7">
        <v>217221.15</v>
      </c>
      <c r="AL492" s="7">
        <v>3525763.49</v>
      </c>
      <c r="AM492" s="7" t="s">
        <v>343</v>
      </c>
      <c r="AN492" s="7" t="s">
        <v>356</v>
      </c>
      <c r="AO492" s="7">
        <v>64.5</v>
      </c>
      <c r="AP492" s="7">
        <v>12</v>
      </c>
      <c r="AQ492" s="7" t="s">
        <v>4275</v>
      </c>
      <c r="AR492" s="7" t="s">
        <v>206</v>
      </c>
      <c r="AS492" s="7" t="s">
        <v>377</v>
      </c>
    </row>
    <row r="493" spans="1:45" x14ac:dyDescent="0.3">
      <c r="A493" s="6" t="s">
        <v>1790</v>
      </c>
      <c r="B493" s="6" t="s">
        <v>3958</v>
      </c>
      <c r="C493" s="6" t="s">
        <v>251</v>
      </c>
      <c r="D493" s="6" t="s">
        <v>242</v>
      </c>
      <c r="E493" s="6" t="s">
        <v>20</v>
      </c>
      <c r="F493" s="6"/>
      <c r="G493" s="6" t="s">
        <v>38</v>
      </c>
      <c r="H493" s="6" t="s">
        <v>4271</v>
      </c>
      <c r="I493" s="6" t="s">
        <v>198</v>
      </c>
      <c r="J493" s="6" t="s">
        <v>136</v>
      </c>
      <c r="K493" s="6" t="s">
        <v>199</v>
      </c>
      <c r="L493" s="6" t="s">
        <v>1791</v>
      </c>
      <c r="M493" s="6" t="s">
        <v>3985</v>
      </c>
      <c r="N493" s="6"/>
      <c r="O493" s="6" t="s">
        <v>3986</v>
      </c>
      <c r="P493" s="6">
        <v>22</v>
      </c>
      <c r="Q493" s="6">
        <v>42398783</v>
      </c>
      <c r="R493" s="6">
        <v>0.35</v>
      </c>
      <c r="S493" s="6">
        <v>0.04</v>
      </c>
      <c r="T493" s="6">
        <v>28661577.309999999</v>
      </c>
      <c r="U493" s="6">
        <v>23650049.469999999</v>
      </c>
      <c r="V493" s="6">
        <v>0.37</v>
      </c>
      <c r="W493" s="6">
        <v>0.15</v>
      </c>
      <c r="X493" s="6"/>
      <c r="Y493" s="6">
        <v>17062573.710000001</v>
      </c>
      <c r="Z493" s="6">
        <v>9850967.0299999993</v>
      </c>
      <c r="AA493" s="6">
        <v>60</v>
      </c>
      <c r="AB493" s="6">
        <v>156</v>
      </c>
      <c r="AC493" s="6" t="s">
        <v>329</v>
      </c>
      <c r="AD493" s="6" t="s">
        <v>354</v>
      </c>
      <c r="AE493" s="6">
        <v>0.56999999999999995</v>
      </c>
      <c r="AF493" s="6" t="s">
        <v>4303</v>
      </c>
      <c r="AG493" s="6">
        <v>0.1</v>
      </c>
      <c r="AH493" s="6">
        <v>0.05</v>
      </c>
      <c r="AI493" s="6">
        <v>2</v>
      </c>
      <c r="AJ493" s="6">
        <v>2845</v>
      </c>
      <c r="AK493" s="6">
        <v>5572871.1100000003</v>
      </c>
      <c r="AL493" s="6">
        <v>11700004.029999999</v>
      </c>
      <c r="AM493" s="6" t="s">
        <v>343</v>
      </c>
      <c r="AN493" s="6" t="s">
        <v>322</v>
      </c>
      <c r="AO493" s="6">
        <v>57.3</v>
      </c>
      <c r="AP493" s="6">
        <v>48</v>
      </c>
      <c r="AQ493" s="6" t="s">
        <v>392</v>
      </c>
      <c r="AR493" s="6" t="s">
        <v>206</v>
      </c>
      <c r="AS493" s="6"/>
    </row>
    <row r="494" spans="1:45" x14ac:dyDescent="0.3">
      <c r="A494" s="7" t="s">
        <v>1792</v>
      </c>
      <c r="B494" s="7" t="s">
        <v>5036</v>
      </c>
      <c r="C494" s="7" t="s">
        <v>241</v>
      </c>
      <c r="D494" s="7" t="s">
        <v>215</v>
      </c>
      <c r="E494" s="7" t="s">
        <v>4376</v>
      </c>
      <c r="F494" s="7" t="s">
        <v>31</v>
      </c>
      <c r="G494" s="7" t="s">
        <v>28</v>
      </c>
      <c r="H494" s="7" t="s">
        <v>197</v>
      </c>
      <c r="I494" s="7"/>
      <c r="J494" s="7" t="s">
        <v>136</v>
      </c>
      <c r="K494" s="7" t="s">
        <v>221</v>
      </c>
      <c r="L494" s="7" t="s">
        <v>1793</v>
      </c>
      <c r="M494" s="7" t="s">
        <v>5037</v>
      </c>
      <c r="N494" s="7" t="s">
        <v>4362</v>
      </c>
      <c r="O494" s="7" t="s">
        <v>3597</v>
      </c>
      <c r="P494" s="7">
        <v>9</v>
      </c>
      <c r="Q494" s="7">
        <v>7465566</v>
      </c>
      <c r="R494" s="7">
        <v>0.21</v>
      </c>
      <c r="S494" s="7">
        <v>-0.01</v>
      </c>
      <c r="T494" s="7">
        <v>5838819.1699999999</v>
      </c>
      <c r="U494" s="7">
        <v>3526395</v>
      </c>
      <c r="V494" s="7">
        <v>0.32</v>
      </c>
      <c r="W494" s="7">
        <v>0.09</v>
      </c>
      <c r="X494" s="7" t="s">
        <v>1794</v>
      </c>
      <c r="Y494" s="7">
        <v>2354976.23</v>
      </c>
      <c r="Z494" s="7">
        <v>1405782.63</v>
      </c>
      <c r="AA494" s="7">
        <v>120</v>
      </c>
      <c r="AB494" s="7">
        <v>124</v>
      </c>
      <c r="AC494" s="7" t="s">
        <v>347</v>
      </c>
      <c r="AD494" s="7" t="s">
        <v>406</v>
      </c>
      <c r="AE494" s="7">
        <v>0.68</v>
      </c>
      <c r="AF494" s="7" t="s">
        <v>155</v>
      </c>
      <c r="AG494" s="7">
        <v>0.05</v>
      </c>
      <c r="AH494" s="7">
        <v>0.09</v>
      </c>
      <c r="AI494" s="7">
        <v>4</v>
      </c>
      <c r="AJ494" s="7">
        <v>2573</v>
      </c>
      <c r="AK494" s="7">
        <v>529341.99</v>
      </c>
      <c r="AL494" s="7">
        <v>2886515.57</v>
      </c>
      <c r="AM494" s="7" t="s">
        <v>321</v>
      </c>
      <c r="AN494" s="7" t="s">
        <v>322</v>
      </c>
      <c r="AO494" s="7">
        <v>53</v>
      </c>
      <c r="AP494" s="7">
        <v>36</v>
      </c>
      <c r="AQ494" s="7" t="s">
        <v>4275</v>
      </c>
      <c r="AR494" s="7" t="s">
        <v>186</v>
      </c>
      <c r="AS494" s="7" t="s">
        <v>188</v>
      </c>
    </row>
    <row r="495" spans="1:45" x14ac:dyDescent="0.3">
      <c r="A495" s="6" t="s">
        <v>1795</v>
      </c>
      <c r="B495" s="6" t="s">
        <v>3922</v>
      </c>
      <c r="C495" s="6" t="s">
        <v>234</v>
      </c>
      <c r="D495" s="6"/>
      <c r="E495" s="6" t="s">
        <v>52</v>
      </c>
      <c r="F495" s="6" t="s">
        <v>75</v>
      </c>
      <c r="G495" s="6" t="s">
        <v>66</v>
      </c>
      <c r="H495" s="6" t="s">
        <v>4280</v>
      </c>
      <c r="I495" s="6" t="s">
        <v>198</v>
      </c>
      <c r="J495" s="7" t="s">
        <v>133</v>
      </c>
      <c r="K495" s="6" t="s">
        <v>210</v>
      </c>
      <c r="L495" s="6" t="s">
        <v>1796</v>
      </c>
      <c r="M495" s="6" t="s">
        <v>5038</v>
      </c>
      <c r="N495" s="6"/>
      <c r="O495" s="6" t="s">
        <v>5039</v>
      </c>
      <c r="P495" s="6">
        <v>9</v>
      </c>
      <c r="Q495" s="6">
        <v>26203741</v>
      </c>
      <c r="R495" s="6">
        <v>0.06</v>
      </c>
      <c r="S495" s="6">
        <v>0.1</v>
      </c>
      <c r="T495" s="6">
        <v>27094668.190000001</v>
      </c>
      <c r="U495" s="6">
        <v>23172774.120000001</v>
      </c>
      <c r="V495" s="6">
        <v>0.35</v>
      </c>
      <c r="W495" s="6">
        <v>0.18</v>
      </c>
      <c r="X495" s="6" t="s">
        <v>1797</v>
      </c>
      <c r="Y495" s="6">
        <v>17319155.260000002</v>
      </c>
      <c r="Z495" s="6">
        <v>10172943.35</v>
      </c>
      <c r="AA495" s="6">
        <v>120</v>
      </c>
      <c r="AB495" s="6">
        <v>156</v>
      </c>
      <c r="AC495" s="6" t="s">
        <v>342</v>
      </c>
      <c r="AD495" s="6" t="s">
        <v>226</v>
      </c>
      <c r="AE495" s="6">
        <v>0.8</v>
      </c>
      <c r="AF495" s="6" t="s">
        <v>153</v>
      </c>
      <c r="AG495" s="6">
        <v>0.05</v>
      </c>
      <c r="AH495" s="6">
        <v>0.02</v>
      </c>
      <c r="AI495" s="6">
        <v>4</v>
      </c>
      <c r="AJ495" s="6">
        <v>950</v>
      </c>
      <c r="AK495" s="6">
        <v>1897365.74</v>
      </c>
      <c r="AL495" s="6">
        <v>8423238.1199999992</v>
      </c>
      <c r="AM495" s="6" t="s">
        <v>385</v>
      </c>
      <c r="AN495" s="6" t="s">
        <v>321</v>
      </c>
      <c r="AO495" s="6">
        <v>70.599999999999994</v>
      </c>
      <c r="AP495" s="6">
        <v>36</v>
      </c>
      <c r="AQ495" s="6" t="s">
        <v>4275</v>
      </c>
      <c r="AR495" s="6" t="s">
        <v>224</v>
      </c>
      <c r="AS495" s="6" t="s">
        <v>324</v>
      </c>
    </row>
    <row r="496" spans="1:45" x14ac:dyDescent="0.3">
      <c r="A496" s="7" t="s">
        <v>1798</v>
      </c>
      <c r="B496" s="7" t="s">
        <v>4465</v>
      </c>
      <c r="C496" s="7" t="s">
        <v>235</v>
      </c>
      <c r="D496" s="7" t="s">
        <v>242</v>
      </c>
      <c r="E496" s="7" t="s">
        <v>41</v>
      </c>
      <c r="F496" s="7" t="s">
        <v>363</v>
      </c>
      <c r="G496" s="7" t="s">
        <v>38</v>
      </c>
      <c r="H496" s="7" t="s">
        <v>4266</v>
      </c>
      <c r="I496" s="7" t="s">
        <v>4291</v>
      </c>
      <c r="J496" s="7" t="s">
        <v>105</v>
      </c>
      <c r="K496" s="7" t="s">
        <v>210</v>
      </c>
      <c r="L496" s="7" t="s">
        <v>1799</v>
      </c>
      <c r="M496" s="7" t="s">
        <v>4852</v>
      </c>
      <c r="N496" s="7" t="s">
        <v>3988</v>
      </c>
      <c r="O496" s="7" t="s">
        <v>5040</v>
      </c>
      <c r="P496" s="7">
        <v>41</v>
      </c>
      <c r="Q496" s="7">
        <v>5763164</v>
      </c>
      <c r="R496" s="7">
        <v>0.12</v>
      </c>
      <c r="S496" s="7">
        <v>7.0000000000000007E-2</v>
      </c>
      <c r="T496" s="7">
        <v>5426595.2199999997</v>
      </c>
      <c r="U496" s="7">
        <v>4345947.67</v>
      </c>
      <c r="V496" s="7">
        <v>0.18</v>
      </c>
      <c r="W496" s="7">
        <v>0.05</v>
      </c>
      <c r="X496" s="7" t="s">
        <v>1800</v>
      </c>
      <c r="Y496" s="7">
        <v>3091933.26</v>
      </c>
      <c r="Z496" s="7">
        <v>2978466.2</v>
      </c>
      <c r="AA496" s="7">
        <v>60</v>
      </c>
      <c r="AB496" s="7">
        <v>78</v>
      </c>
      <c r="AC496" s="7"/>
      <c r="AD496" s="7" t="s">
        <v>354</v>
      </c>
      <c r="AE496" s="7">
        <v>0.33</v>
      </c>
      <c r="AF496" s="7" t="s">
        <v>4303</v>
      </c>
      <c r="AG496" s="7">
        <v>0.05</v>
      </c>
      <c r="AH496" s="7">
        <v>0.02</v>
      </c>
      <c r="AI496" s="7">
        <v>8</v>
      </c>
      <c r="AJ496" s="7">
        <v>845</v>
      </c>
      <c r="AK496" s="7">
        <v>1112314.24</v>
      </c>
      <c r="AL496" s="7">
        <v>2135121.44</v>
      </c>
      <c r="AM496" s="7"/>
      <c r="AN496" s="7" t="s">
        <v>330</v>
      </c>
      <c r="AO496" s="7">
        <v>89.4</v>
      </c>
      <c r="AP496" s="7">
        <v>48</v>
      </c>
      <c r="AQ496" s="7" t="s">
        <v>337</v>
      </c>
      <c r="AR496" s="7" t="s">
        <v>206</v>
      </c>
      <c r="AS496" s="7" t="s">
        <v>188</v>
      </c>
    </row>
    <row r="497" spans="1:45" x14ac:dyDescent="0.3">
      <c r="A497" s="6" t="s">
        <v>1801</v>
      </c>
      <c r="B497" s="6" t="s">
        <v>5041</v>
      </c>
      <c r="C497" s="6" t="s">
        <v>279</v>
      </c>
      <c r="D497" s="6" t="s">
        <v>238</v>
      </c>
      <c r="E497" s="6"/>
      <c r="F497" s="6" t="s">
        <v>35</v>
      </c>
      <c r="G497" s="6" t="s">
        <v>57</v>
      </c>
      <c r="H497" s="6" t="s">
        <v>4326</v>
      </c>
      <c r="I497" s="6" t="s">
        <v>203</v>
      </c>
      <c r="J497" s="6" t="s">
        <v>130</v>
      </c>
      <c r="K497" s="6" t="s">
        <v>184</v>
      </c>
      <c r="L497" s="6" t="s">
        <v>1802</v>
      </c>
      <c r="M497" s="6" t="s">
        <v>4841</v>
      </c>
      <c r="N497" s="6" t="s">
        <v>5042</v>
      </c>
      <c r="O497" s="6" t="s">
        <v>5043</v>
      </c>
      <c r="P497" s="6">
        <v>54</v>
      </c>
      <c r="Q497" s="6">
        <v>45101244</v>
      </c>
      <c r="R497" s="6">
        <v>0.27</v>
      </c>
      <c r="S497" s="6">
        <v>0.02</v>
      </c>
      <c r="T497" s="6">
        <v>33582386.280000001</v>
      </c>
      <c r="U497" s="6">
        <v>24042220.789999999</v>
      </c>
      <c r="V497" s="6">
        <v>0.28000000000000003</v>
      </c>
      <c r="W497" s="6">
        <v>0.13</v>
      </c>
      <c r="X497" s="6" t="s">
        <v>1803</v>
      </c>
      <c r="Y497" s="6">
        <v>29334181.899999999</v>
      </c>
      <c r="Z497" s="6">
        <v>13973500.65</v>
      </c>
      <c r="AA497" s="6">
        <v>30</v>
      </c>
      <c r="AB497" s="6">
        <v>72</v>
      </c>
      <c r="AC497" s="6" t="s">
        <v>376</v>
      </c>
      <c r="AD497" s="6" t="s">
        <v>455</v>
      </c>
      <c r="AE497" s="6">
        <v>0.14000000000000001</v>
      </c>
      <c r="AF497" s="6" t="s">
        <v>155</v>
      </c>
      <c r="AG497" s="6">
        <v>0.05</v>
      </c>
      <c r="AH497" s="6">
        <v>0.06</v>
      </c>
      <c r="AI497" s="6">
        <v>3</v>
      </c>
      <c r="AJ497" s="6">
        <v>3202</v>
      </c>
      <c r="AK497" s="6">
        <v>4331264.3899999997</v>
      </c>
      <c r="AL497" s="6">
        <v>5406310.0099999998</v>
      </c>
      <c r="AM497" s="6"/>
      <c r="AN497" s="6" t="s">
        <v>348</v>
      </c>
      <c r="AO497" s="6">
        <v>51.1</v>
      </c>
      <c r="AP497" s="6">
        <v>48</v>
      </c>
      <c r="AQ497" s="6" t="s">
        <v>387</v>
      </c>
      <c r="AR497" s="6" t="s">
        <v>224</v>
      </c>
      <c r="AS497" s="6" t="s">
        <v>188</v>
      </c>
    </row>
    <row r="498" spans="1:45" x14ac:dyDescent="0.3">
      <c r="A498" s="7" t="s">
        <v>1804</v>
      </c>
      <c r="B498" s="7" t="s">
        <v>3911</v>
      </c>
      <c r="C498" s="7" t="s">
        <v>208</v>
      </c>
      <c r="D498" s="7" t="s">
        <v>232</v>
      </c>
      <c r="E498" s="7" t="s">
        <v>4325</v>
      </c>
      <c r="F498" s="7" t="s">
        <v>19</v>
      </c>
      <c r="G498" s="7" t="s">
        <v>70</v>
      </c>
      <c r="H498" s="7" t="s">
        <v>4271</v>
      </c>
      <c r="I498" s="7" t="s">
        <v>240</v>
      </c>
      <c r="J498" s="7" t="s">
        <v>115</v>
      </c>
      <c r="K498" s="7" t="s">
        <v>223</v>
      </c>
      <c r="L498" s="7" t="s">
        <v>1805</v>
      </c>
      <c r="M498" s="7" t="s">
        <v>3507</v>
      </c>
      <c r="N498" s="7" t="s">
        <v>4764</v>
      </c>
      <c r="O498" s="7" t="s">
        <v>4401</v>
      </c>
      <c r="P498" s="7" t="s">
        <v>4275</v>
      </c>
      <c r="Q498" s="7" t="s">
        <v>4275</v>
      </c>
      <c r="R498" s="7">
        <v>0.1</v>
      </c>
      <c r="S498" s="7">
        <v>0.1</v>
      </c>
      <c r="T498" s="7">
        <v>30077299.890000001</v>
      </c>
      <c r="U498" s="7">
        <v>18779191</v>
      </c>
      <c r="V498" s="7">
        <v>0.26</v>
      </c>
      <c r="W498" s="7">
        <v>0.15</v>
      </c>
      <c r="X498" s="7" t="s">
        <v>1806</v>
      </c>
      <c r="Y498" s="7">
        <v>16347938.369999999</v>
      </c>
      <c r="Z498" s="7">
        <v>16950943.850000001</v>
      </c>
      <c r="AA498" s="7">
        <v>120</v>
      </c>
      <c r="AB498" s="7">
        <v>116</v>
      </c>
      <c r="AC498" s="7" t="s">
        <v>376</v>
      </c>
      <c r="AD498" s="7" t="s">
        <v>226</v>
      </c>
      <c r="AE498" s="7">
        <v>0.05</v>
      </c>
      <c r="AF498" s="7" t="s">
        <v>152</v>
      </c>
      <c r="AG498" s="7">
        <v>0.05</v>
      </c>
      <c r="AH498" s="7">
        <v>0.03</v>
      </c>
      <c r="AI498" s="7">
        <v>3</v>
      </c>
      <c r="AJ498" s="7"/>
      <c r="AK498" s="7">
        <v>749021.4</v>
      </c>
      <c r="AL498" s="7">
        <v>6503832.0700000003</v>
      </c>
      <c r="AM498" s="7" t="s">
        <v>391</v>
      </c>
      <c r="AN498" s="7" t="s">
        <v>386</v>
      </c>
      <c r="AO498" s="7">
        <v>54.7</v>
      </c>
      <c r="AP498" s="7">
        <v>48</v>
      </c>
      <c r="AQ498" s="7" t="s">
        <v>387</v>
      </c>
      <c r="AR498" s="7" t="s">
        <v>206</v>
      </c>
      <c r="AS498" s="7"/>
    </row>
    <row r="499" spans="1:45" x14ac:dyDescent="0.3">
      <c r="A499" s="6" t="s">
        <v>1807</v>
      </c>
      <c r="B499" s="6" t="s">
        <v>5044</v>
      </c>
      <c r="C499" s="6" t="s">
        <v>272</v>
      </c>
      <c r="D499" s="6" t="s">
        <v>232</v>
      </c>
      <c r="E499" s="6"/>
      <c r="F499" s="6" t="s">
        <v>75</v>
      </c>
      <c r="G499" s="6" t="s">
        <v>73</v>
      </c>
      <c r="H499" s="6" t="s">
        <v>263</v>
      </c>
      <c r="I499" s="6" t="s">
        <v>246</v>
      </c>
      <c r="J499" s="6" t="s">
        <v>130</v>
      </c>
      <c r="K499" s="6" t="s">
        <v>210</v>
      </c>
      <c r="L499" s="6" t="s">
        <v>1808</v>
      </c>
      <c r="M499" s="6" t="s">
        <v>5045</v>
      </c>
      <c r="N499" s="6"/>
      <c r="O499" s="6" t="s">
        <v>5046</v>
      </c>
      <c r="P499" s="6">
        <v>20</v>
      </c>
      <c r="Q499" s="6">
        <v>18428369</v>
      </c>
      <c r="R499" s="6">
        <v>0.18</v>
      </c>
      <c r="S499" s="6">
        <v>0.08</v>
      </c>
      <c r="T499" s="6">
        <v>16320163.59</v>
      </c>
      <c r="U499" s="6">
        <v>10625509.51</v>
      </c>
      <c r="V499" s="6">
        <v>0.15</v>
      </c>
      <c r="W499" s="6">
        <v>0.06</v>
      </c>
      <c r="X499" s="6" t="s">
        <v>1809</v>
      </c>
      <c r="Y499" s="6">
        <v>7298418.3200000003</v>
      </c>
      <c r="Z499" s="6">
        <v>7433778.2699999996</v>
      </c>
      <c r="AA499" s="6">
        <v>45</v>
      </c>
      <c r="AB499" s="6">
        <v>104</v>
      </c>
      <c r="AC499" s="6" t="s">
        <v>353</v>
      </c>
      <c r="AD499" s="6" t="s">
        <v>226</v>
      </c>
      <c r="AE499" s="6">
        <v>0.81</v>
      </c>
      <c r="AF499" s="6" t="s">
        <v>4294</v>
      </c>
      <c r="AG499" s="6">
        <v>0.05</v>
      </c>
      <c r="AH499" s="6">
        <v>0.1</v>
      </c>
      <c r="AI499" s="6">
        <v>14</v>
      </c>
      <c r="AJ499" s="6">
        <v>1921</v>
      </c>
      <c r="AK499" s="6">
        <v>2274476.81</v>
      </c>
      <c r="AL499" s="6">
        <v>6400188.79</v>
      </c>
      <c r="AM499" s="6" t="s">
        <v>355</v>
      </c>
      <c r="AN499" s="6"/>
      <c r="AO499" s="6">
        <v>92.5</v>
      </c>
      <c r="AP499" s="6">
        <v>36</v>
      </c>
      <c r="AQ499" s="6" t="s">
        <v>4275</v>
      </c>
      <c r="AR499" s="6" t="s">
        <v>192</v>
      </c>
      <c r="AS499" s="6"/>
    </row>
    <row r="500" spans="1:45" x14ac:dyDescent="0.3">
      <c r="A500" s="7" t="s">
        <v>1810</v>
      </c>
      <c r="B500" s="7" t="s">
        <v>3375</v>
      </c>
      <c r="C500" s="7" t="s">
        <v>235</v>
      </c>
      <c r="D500" s="7" t="s">
        <v>242</v>
      </c>
      <c r="E500" s="7" t="s">
        <v>4265</v>
      </c>
      <c r="F500" s="7" t="s">
        <v>350</v>
      </c>
      <c r="G500" s="7" t="s">
        <v>46</v>
      </c>
      <c r="H500" s="7" t="s">
        <v>216</v>
      </c>
      <c r="I500" s="7" t="s">
        <v>4272</v>
      </c>
      <c r="J500" s="6" t="s">
        <v>105</v>
      </c>
      <c r="K500" s="7" t="s">
        <v>204</v>
      </c>
      <c r="L500" s="7" t="s">
        <v>1811</v>
      </c>
      <c r="M500" s="7" t="s">
        <v>5047</v>
      </c>
      <c r="N500" s="7" t="s">
        <v>5048</v>
      </c>
      <c r="O500" s="7" t="s">
        <v>5049</v>
      </c>
      <c r="P500" s="7">
        <v>27</v>
      </c>
      <c r="Q500" s="7">
        <v>14367748</v>
      </c>
      <c r="R500" s="7">
        <v>0.26</v>
      </c>
      <c r="S500" s="7">
        <v>0.04</v>
      </c>
      <c r="T500" s="7">
        <v>11057418.859999999</v>
      </c>
      <c r="U500" s="7">
        <v>9851327.2599999998</v>
      </c>
      <c r="V500" s="7">
        <v>0.27</v>
      </c>
      <c r="W500" s="7">
        <v>0.18</v>
      </c>
      <c r="X500" s="7" t="s">
        <v>1812</v>
      </c>
      <c r="Y500" s="7">
        <v>9076380.3100000005</v>
      </c>
      <c r="Z500" s="7">
        <v>9086793.3100000005</v>
      </c>
      <c r="AA500" s="7">
        <v>30</v>
      </c>
      <c r="AB500" s="7">
        <v>80</v>
      </c>
      <c r="AC500" s="7" t="s">
        <v>342</v>
      </c>
      <c r="AD500" s="7" t="s">
        <v>320</v>
      </c>
      <c r="AE500" s="7">
        <v>0.63</v>
      </c>
      <c r="AF500" s="7" t="s">
        <v>4303</v>
      </c>
      <c r="AG500" s="7">
        <v>0.15</v>
      </c>
      <c r="AH500" s="7">
        <v>0.06</v>
      </c>
      <c r="AI500" s="7">
        <v>12</v>
      </c>
      <c r="AJ500" s="7">
        <v>1987</v>
      </c>
      <c r="AK500" s="7">
        <v>731717.91</v>
      </c>
      <c r="AL500" s="7">
        <v>4489781.53</v>
      </c>
      <c r="AM500" s="7" t="s">
        <v>355</v>
      </c>
      <c r="AN500" s="7" t="s">
        <v>356</v>
      </c>
      <c r="AO500" s="7">
        <v>77.7</v>
      </c>
      <c r="AP500" s="7">
        <v>48</v>
      </c>
      <c r="AQ500" s="7" t="s">
        <v>323</v>
      </c>
      <c r="AR500" s="7" t="s">
        <v>192</v>
      </c>
      <c r="AS500" s="7" t="s">
        <v>361</v>
      </c>
    </row>
    <row r="501" spans="1:45" x14ac:dyDescent="0.3">
      <c r="A501" s="6" t="s">
        <v>1759</v>
      </c>
      <c r="B501" s="6" t="s">
        <v>5050</v>
      </c>
      <c r="C501" s="6" t="s">
        <v>251</v>
      </c>
      <c r="D501" s="6" t="s">
        <v>215</v>
      </c>
      <c r="E501" s="6" t="s">
        <v>41</v>
      </c>
      <c r="F501" s="6" t="s">
        <v>350</v>
      </c>
      <c r="G501" s="6" t="s">
        <v>50</v>
      </c>
      <c r="H501" s="6" t="s">
        <v>212</v>
      </c>
      <c r="I501" s="6" t="s">
        <v>233</v>
      </c>
      <c r="J501" s="6" t="s">
        <v>105</v>
      </c>
      <c r="K501" s="6" t="s">
        <v>204</v>
      </c>
      <c r="L501" s="6" t="s">
        <v>3991</v>
      </c>
      <c r="M501" s="6" t="s">
        <v>3419</v>
      </c>
      <c r="N501" s="6" t="s">
        <v>3453</v>
      </c>
      <c r="O501" s="6" t="s">
        <v>3444</v>
      </c>
      <c r="P501" s="6">
        <v>11</v>
      </c>
      <c r="Q501" s="6">
        <v>15567627</v>
      </c>
      <c r="R501" s="6">
        <v>0.28999999999999998</v>
      </c>
      <c r="S501" s="6">
        <v>7.0000000000000007E-2</v>
      </c>
      <c r="T501" s="6">
        <v>11826726.23</v>
      </c>
      <c r="U501" s="6">
        <v>10119814.83</v>
      </c>
      <c r="V501" s="6">
        <v>0.06</v>
      </c>
      <c r="W501" s="6">
        <v>0.19</v>
      </c>
      <c r="X501" s="6" t="s">
        <v>3992</v>
      </c>
      <c r="Y501" s="6">
        <v>1850895.49</v>
      </c>
      <c r="Z501" s="6">
        <v>1859537.43</v>
      </c>
      <c r="AA501" s="6">
        <v>30</v>
      </c>
      <c r="AB501" s="6">
        <v>100</v>
      </c>
      <c r="AC501" s="6" t="s">
        <v>347</v>
      </c>
      <c r="AD501" s="6" t="s">
        <v>226</v>
      </c>
      <c r="AE501" s="6">
        <v>0.18</v>
      </c>
      <c r="AF501" s="6" t="s">
        <v>162</v>
      </c>
      <c r="AG501" s="6">
        <v>0.05</v>
      </c>
      <c r="AH501" s="6">
        <v>0.05</v>
      </c>
      <c r="AI501" s="6">
        <v>6</v>
      </c>
      <c r="AJ501" s="6">
        <v>920</v>
      </c>
      <c r="AK501" s="6">
        <v>2276225.69</v>
      </c>
      <c r="AL501" s="6">
        <v>2728203.15</v>
      </c>
      <c r="AM501" s="6"/>
      <c r="AN501" s="6" t="s">
        <v>330</v>
      </c>
      <c r="AO501" s="6">
        <v>50.4</v>
      </c>
      <c r="AP501" s="6" t="s">
        <v>4275</v>
      </c>
      <c r="AQ501" s="6" t="s">
        <v>392</v>
      </c>
      <c r="AR501" s="6" t="s">
        <v>186</v>
      </c>
      <c r="AS501" s="6" t="s">
        <v>324</v>
      </c>
    </row>
    <row r="502" spans="1:45" x14ac:dyDescent="0.3">
      <c r="A502" s="7" t="s">
        <v>1813</v>
      </c>
      <c r="B502" s="7" t="s">
        <v>5051</v>
      </c>
      <c r="C502" s="7" t="s">
        <v>254</v>
      </c>
      <c r="D502" s="7" t="s">
        <v>262</v>
      </c>
      <c r="E502" s="7" t="s">
        <v>20</v>
      </c>
      <c r="F502" s="7" t="s">
        <v>196</v>
      </c>
      <c r="G502" s="7" t="s">
        <v>66</v>
      </c>
      <c r="H502" s="7" t="s">
        <v>4280</v>
      </c>
      <c r="I502" s="7"/>
      <c r="J502" s="7" t="s">
        <v>136</v>
      </c>
      <c r="K502" s="7" t="s">
        <v>199</v>
      </c>
      <c r="L502" s="7" t="s">
        <v>1814</v>
      </c>
      <c r="M502" s="7" t="s">
        <v>3718</v>
      </c>
      <c r="N502" s="7" t="s">
        <v>1815</v>
      </c>
      <c r="O502" s="7" t="s">
        <v>3993</v>
      </c>
      <c r="P502" s="7">
        <v>26</v>
      </c>
      <c r="Q502" s="7">
        <v>42041477</v>
      </c>
      <c r="R502" s="7">
        <v>0.22</v>
      </c>
      <c r="S502" s="7">
        <v>-0.03</v>
      </c>
      <c r="T502" s="7">
        <v>31808581.5</v>
      </c>
      <c r="U502" s="7">
        <v>26000073.719999999</v>
      </c>
      <c r="V502" s="7">
        <v>0.1</v>
      </c>
      <c r="W502" s="7">
        <v>0.2</v>
      </c>
      <c r="X502" s="7" t="s">
        <v>1816</v>
      </c>
      <c r="Y502" s="7">
        <v>27209855.960000001</v>
      </c>
      <c r="Z502" s="7">
        <v>26783547.41</v>
      </c>
      <c r="AA502" s="7">
        <v>30</v>
      </c>
      <c r="AB502" s="7">
        <v>13</v>
      </c>
      <c r="AC502" s="7" t="s">
        <v>347</v>
      </c>
      <c r="AD502" s="7" t="s">
        <v>381</v>
      </c>
      <c r="AE502" s="7">
        <v>0.68</v>
      </c>
      <c r="AF502" s="7" t="s">
        <v>4312</v>
      </c>
      <c r="AG502" s="7">
        <v>0.15</v>
      </c>
      <c r="AH502" s="7">
        <v>0.06</v>
      </c>
      <c r="AI502" s="7">
        <v>6</v>
      </c>
      <c r="AJ502" s="7">
        <v>678</v>
      </c>
      <c r="AK502" s="7">
        <v>7835450.4199999999</v>
      </c>
      <c r="AL502" s="7">
        <v>4727572.7</v>
      </c>
      <c r="AM502" s="7" t="s">
        <v>391</v>
      </c>
      <c r="AN502" s="7"/>
      <c r="AO502" s="7">
        <v>77.3</v>
      </c>
      <c r="AP502" s="7">
        <v>24</v>
      </c>
      <c r="AQ502" s="7" t="s">
        <v>337</v>
      </c>
      <c r="AR502" s="7" t="s">
        <v>229</v>
      </c>
      <c r="AS502" s="7"/>
    </row>
    <row r="503" spans="1:45" x14ac:dyDescent="0.3">
      <c r="A503" s="6" t="s">
        <v>1817</v>
      </c>
      <c r="B503" s="6" t="s">
        <v>4528</v>
      </c>
      <c r="C503" s="6" t="s">
        <v>286</v>
      </c>
      <c r="D503" s="6" t="s">
        <v>281</v>
      </c>
      <c r="E503" s="6" t="s">
        <v>4265</v>
      </c>
      <c r="F503" s="6" t="s">
        <v>228</v>
      </c>
      <c r="G503" s="6" t="s">
        <v>62</v>
      </c>
      <c r="H503" s="6" t="s">
        <v>4326</v>
      </c>
      <c r="I503" s="6" t="s">
        <v>203</v>
      </c>
      <c r="J503" s="6" t="s">
        <v>105</v>
      </c>
      <c r="K503" s="6" t="s">
        <v>210</v>
      </c>
      <c r="L503" s="6" t="s">
        <v>1818</v>
      </c>
      <c r="M503" s="6" t="s">
        <v>3994</v>
      </c>
      <c r="N503" s="6" t="s">
        <v>1819</v>
      </c>
      <c r="O503" s="6" t="s">
        <v>4902</v>
      </c>
      <c r="P503" s="6">
        <v>13</v>
      </c>
      <c r="Q503" s="6">
        <v>16221290</v>
      </c>
      <c r="R503" s="6">
        <v>0.15</v>
      </c>
      <c r="S503" s="6">
        <v>0</v>
      </c>
      <c r="T503" s="6">
        <v>13788096.5</v>
      </c>
      <c r="U503" s="6">
        <v>9567648.3399999999</v>
      </c>
      <c r="V503" s="6">
        <v>0.2</v>
      </c>
      <c r="W503" s="6">
        <v>0.09</v>
      </c>
      <c r="X503" s="6"/>
      <c r="Y503" s="6">
        <v>11390370.34</v>
      </c>
      <c r="Z503" s="6">
        <v>8970957.3300000001</v>
      </c>
      <c r="AA503" s="6">
        <v>30</v>
      </c>
      <c r="AB503" s="6">
        <v>106</v>
      </c>
      <c r="AC503" s="6" t="s">
        <v>329</v>
      </c>
      <c r="AD503" s="6" t="s">
        <v>381</v>
      </c>
      <c r="AE503" s="6">
        <v>0.85</v>
      </c>
      <c r="AF503" s="6"/>
      <c r="AG503" s="6">
        <v>0.1</v>
      </c>
      <c r="AH503" s="6">
        <v>0.03</v>
      </c>
      <c r="AI503" s="6">
        <v>7</v>
      </c>
      <c r="AJ503" s="6">
        <v>4451</v>
      </c>
      <c r="AK503" s="6">
        <v>634005.53</v>
      </c>
      <c r="AL503" s="6">
        <v>2019386.9</v>
      </c>
      <c r="AM503" s="6" t="s">
        <v>391</v>
      </c>
      <c r="AN503" s="6" t="s">
        <v>386</v>
      </c>
      <c r="AO503" s="6">
        <v>63.9</v>
      </c>
      <c r="AP503" s="6">
        <v>24</v>
      </c>
      <c r="AQ503" s="6" t="s">
        <v>337</v>
      </c>
      <c r="AR503" s="6" t="s">
        <v>206</v>
      </c>
      <c r="AS503" s="6"/>
    </row>
    <row r="504" spans="1:45" x14ac:dyDescent="0.3">
      <c r="A504" s="7" t="s">
        <v>1820</v>
      </c>
      <c r="B504" s="7" t="s">
        <v>5052</v>
      </c>
      <c r="C504" s="7" t="s">
        <v>279</v>
      </c>
      <c r="D504" s="7" t="s">
        <v>255</v>
      </c>
      <c r="E504" s="7" t="s">
        <v>113</v>
      </c>
      <c r="F504" s="7" t="s">
        <v>367</v>
      </c>
      <c r="G504" s="7" t="s">
        <v>73</v>
      </c>
      <c r="H504" s="7" t="s">
        <v>4340</v>
      </c>
      <c r="I504" s="7" t="s">
        <v>4291</v>
      </c>
      <c r="J504" s="7" t="s">
        <v>111</v>
      </c>
      <c r="K504" s="7" t="s">
        <v>204</v>
      </c>
      <c r="L504" s="7" t="s">
        <v>1821</v>
      </c>
      <c r="M504" s="7" t="s">
        <v>3995</v>
      </c>
      <c r="N504" s="7"/>
      <c r="O504" s="7" t="s">
        <v>3941</v>
      </c>
      <c r="P504" s="7">
        <v>16</v>
      </c>
      <c r="Q504" s="7">
        <v>21706684</v>
      </c>
      <c r="R504" s="7">
        <v>0.2</v>
      </c>
      <c r="S504" s="7">
        <v>7.0000000000000007E-2</v>
      </c>
      <c r="T504" s="7">
        <v>18580921.5</v>
      </c>
      <c r="U504" s="7">
        <v>12954623.4</v>
      </c>
      <c r="V504" s="7">
        <v>0.24</v>
      </c>
      <c r="W504" s="7">
        <v>0.05</v>
      </c>
      <c r="X504" s="7" t="s">
        <v>1822</v>
      </c>
      <c r="Y504" s="7">
        <v>14210214.449999999</v>
      </c>
      <c r="Z504" s="7">
        <v>7869776.21</v>
      </c>
      <c r="AA504" s="7">
        <v>60</v>
      </c>
      <c r="AB504" s="7">
        <v>153</v>
      </c>
      <c r="AC504" s="7" t="s">
        <v>376</v>
      </c>
      <c r="AD504" s="7" t="s">
        <v>406</v>
      </c>
      <c r="AE504" s="7">
        <v>0.68</v>
      </c>
      <c r="AF504" s="7" t="s">
        <v>4294</v>
      </c>
      <c r="AG504" s="7">
        <v>0.15</v>
      </c>
      <c r="AH504" s="7">
        <v>0.02</v>
      </c>
      <c r="AI504" s="7">
        <v>12</v>
      </c>
      <c r="AJ504" s="7">
        <v>1872</v>
      </c>
      <c r="AK504" s="7">
        <v>4517754.25</v>
      </c>
      <c r="AL504" s="7">
        <v>3311606.01</v>
      </c>
      <c r="AM504" s="7" t="s">
        <v>391</v>
      </c>
      <c r="AN504" s="7" t="s">
        <v>348</v>
      </c>
      <c r="AO504" s="7">
        <v>82.9</v>
      </c>
      <c r="AP504" s="7">
        <v>48</v>
      </c>
      <c r="AQ504" s="7" t="s">
        <v>323</v>
      </c>
      <c r="AR504" s="7" t="s">
        <v>229</v>
      </c>
      <c r="AS504" s="7" t="s">
        <v>324</v>
      </c>
    </row>
    <row r="505" spans="1:45" x14ac:dyDescent="0.3">
      <c r="A505" s="6" t="s">
        <v>1823</v>
      </c>
      <c r="B505" s="6" t="s">
        <v>3432</v>
      </c>
      <c r="C505" s="6" t="s">
        <v>282</v>
      </c>
      <c r="D505" s="6" t="s">
        <v>232</v>
      </c>
      <c r="E505" s="6" t="s">
        <v>4325</v>
      </c>
      <c r="F505" s="6" t="s">
        <v>339</v>
      </c>
      <c r="G505" s="6" t="s">
        <v>54</v>
      </c>
      <c r="H505" s="6" t="s">
        <v>212</v>
      </c>
      <c r="I505" s="6" t="s">
        <v>233</v>
      </c>
      <c r="J505" s="6" t="s">
        <v>115</v>
      </c>
      <c r="K505" s="6" t="s">
        <v>326</v>
      </c>
      <c r="L505" s="6" t="s">
        <v>1824</v>
      </c>
      <c r="M505" s="6" t="s">
        <v>5053</v>
      </c>
      <c r="N505" s="6" t="s">
        <v>3996</v>
      </c>
      <c r="O505" s="6" t="s">
        <v>4807</v>
      </c>
      <c r="P505" s="6">
        <v>38</v>
      </c>
      <c r="Q505" s="6">
        <v>45980971</v>
      </c>
      <c r="R505" s="6" t="s">
        <v>3273</v>
      </c>
      <c r="S505" s="6">
        <v>-0.03</v>
      </c>
      <c r="T505" s="6">
        <v>42817480.200000003</v>
      </c>
      <c r="U505" s="6">
        <v>31680708.989999998</v>
      </c>
      <c r="V505" s="6">
        <v>0.34</v>
      </c>
      <c r="W505" s="6">
        <v>0.08</v>
      </c>
      <c r="X505" s="6" t="s">
        <v>1825</v>
      </c>
      <c r="Y505" s="6">
        <v>26722416.149999999</v>
      </c>
      <c r="Z505" s="6">
        <v>29130405.25</v>
      </c>
      <c r="AA505" s="6">
        <v>90</v>
      </c>
      <c r="AB505" s="6">
        <v>4</v>
      </c>
      <c r="AC505" s="6" t="s">
        <v>376</v>
      </c>
      <c r="AD505" s="6" t="s">
        <v>455</v>
      </c>
      <c r="AE505" s="6">
        <v>0.26</v>
      </c>
      <c r="AF505" s="6" t="s">
        <v>152</v>
      </c>
      <c r="AG505" s="6">
        <v>0.15</v>
      </c>
      <c r="AH505" s="6">
        <v>0.05</v>
      </c>
      <c r="AI505" s="6">
        <v>11</v>
      </c>
      <c r="AJ505" s="6">
        <v>1670</v>
      </c>
      <c r="AK505" s="6">
        <v>7126354.7800000003</v>
      </c>
      <c r="AL505" s="6">
        <v>11590849.039999999</v>
      </c>
      <c r="AM505" s="6" t="s">
        <v>385</v>
      </c>
      <c r="AN505" s="6" t="s">
        <v>321</v>
      </c>
      <c r="AO505" s="6"/>
      <c r="AP505" s="6">
        <v>36</v>
      </c>
      <c r="AQ505" s="6" t="s">
        <v>323</v>
      </c>
      <c r="AR505" s="6" t="s">
        <v>192</v>
      </c>
      <c r="AS505" s="6" t="s">
        <v>377</v>
      </c>
    </row>
    <row r="506" spans="1:45" x14ac:dyDescent="0.3">
      <c r="A506" s="7" t="s">
        <v>1826</v>
      </c>
      <c r="B506" s="7" t="s">
        <v>3803</v>
      </c>
      <c r="C506" s="7" t="s">
        <v>247</v>
      </c>
      <c r="D506" s="7" t="s">
        <v>190</v>
      </c>
      <c r="E506" s="7"/>
      <c r="F506" s="7" t="s">
        <v>350</v>
      </c>
      <c r="G506" s="7" t="s">
        <v>66</v>
      </c>
      <c r="H506" s="7" t="s">
        <v>4280</v>
      </c>
      <c r="I506" s="7" t="s">
        <v>213</v>
      </c>
      <c r="J506" s="7" t="s">
        <v>130</v>
      </c>
      <c r="K506" s="7" t="s">
        <v>210</v>
      </c>
      <c r="L506" s="7" t="s">
        <v>1827</v>
      </c>
      <c r="M506" s="7" t="s">
        <v>4867</v>
      </c>
      <c r="N506" s="7" t="s">
        <v>5054</v>
      </c>
      <c r="O506" s="7" t="s">
        <v>3808</v>
      </c>
      <c r="P506" s="7">
        <v>16</v>
      </c>
      <c r="Q506" s="7">
        <v>30344571</v>
      </c>
      <c r="R506" s="7">
        <v>0.3</v>
      </c>
      <c r="S506" s="7">
        <v>0.09</v>
      </c>
      <c r="T506" s="7">
        <v>23152907.670000002</v>
      </c>
      <c r="U506" s="7">
        <v>13981102.58</v>
      </c>
      <c r="V506" s="7">
        <v>0.4</v>
      </c>
      <c r="W506" s="7">
        <v>7.0000000000000007E-2</v>
      </c>
      <c r="X506" s="7" t="s">
        <v>1828</v>
      </c>
      <c r="Y506" s="7">
        <v>3868103.77</v>
      </c>
      <c r="Z506" s="7" t="s">
        <v>4357</v>
      </c>
      <c r="AA506" s="7">
        <v>30</v>
      </c>
      <c r="AB506" s="7">
        <v>112</v>
      </c>
      <c r="AC506" s="7" t="s">
        <v>342</v>
      </c>
      <c r="AD506" s="7" t="s">
        <v>226</v>
      </c>
      <c r="AE506" s="7">
        <v>0.69</v>
      </c>
      <c r="AF506" s="7" t="s">
        <v>152</v>
      </c>
      <c r="AG506" s="7">
        <v>0.05</v>
      </c>
      <c r="AH506" s="7">
        <v>0.05</v>
      </c>
      <c r="AI506" s="7">
        <v>13</v>
      </c>
      <c r="AJ506" s="7"/>
      <c r="AK506" s="7">
        <v>4029140.21</v>
      </c>
      <c r="AL506" s="7">
        <v>10438769.27</v>
      </c>
      <c r="AM506" s="7" t="s">
        <v>343</v>
      </c>
      <c r="AN506" s="7" t="s">
        <v>322</v>
      </c>
      <c r="AO506" s="7">
        <v>57.7</v>
      </c>
      <c r="AP506" s="7">
        <v>24</v>
      </c>
      <c r="AQ506" s="7" t="s">
        <v>4275</v>
      </c>
      <c r="AR506" s="7" t="s">
        <v>206</v>
      </c>
      <c r="AS506" s="7"/>
    </row>
    <row r="507" spans="1:45" x14ac:dyDescent="0.3">
      <c r="A507" s="6" t="s">
        <v>1829</v>
      </c>
      <c r="B507" s="6" t="s">
        <v>5055</v>
      </c>
      <c r="C507" s="6" t="s">
        <v>189</v>
      </c>
      <c r="D507" s="6" t="s">
        <v>238</v>
      </c>
      <c r="E507" s="6" t="s">
        <v>36</v>
      </c>
      <c r="F507" s="6" t="s">
        <v>19</v>
      </c>
      <c r="G507" s="6" t="s">
        <v>16</v>
      </c>
      <c r="H507" s="6" t="s">
        <v>216</v>
      </c>
      <c r="I507" s="6" t="s">
        <v>183</v>
      </c>
      <c r="J507" s="6" t="s">
        <v>115</v>
      </c>
      <c r="K507" s="6" t="s">
        <v>199</v>
      </c>
      <c r="L507" s="6" t="s">
        <v>1830</v>
      </c>
      <c r="M507" s="6" t="s">
        <v>4463</v>
      </c>
      <c r="N507" s="6" t="s">
        <v>5056</v>
      </c>
      <c r="O507" s="6" t="s">
        <v>4860</v>
      </c>
      <c r="P507" s="6">
        <v>12</v>
      </c>
      <c r="Q507" s="6">
        <v>37798033</v>
      </c>
      <c r="R507" s="6">
        <v>0.02</v>
      </c>
      <c r="S507" s="6">
        <v>0.1</v>
      </c>
      <c r="T507" s="6">
        <v>40746279.57</v>
      </c>
      <c r="U507" s="6">
        <v>29494693.539999999</v>
      </c>
      <c r="V507" s="6">
        <v>0.23</v>
      </c>
      <c r="W507" s="6">
        <v>0.14000000000000001</v>
      </c>
      <c r="X507" s="6" t="s">
        <v>1831</v>
      </c>
      <c r="Y507" s="6">
        <v>32210752.48</v>
      </c>
      <c r="Z507" s="6">
        <v>27945126.789999999</v>
      </c>
      <c r="AA507" s="6">
        <v>45</v>
      </c>
      <c r="AB507" s="6">
        <v>32</v>
      </c>
      <c r="AC507" s="6" t="s">
        <v>353</v>
      </c>
      <c r="AD507" s="6" t="s">
        <v>381</v>
      </c>
      <c r="AE507" s="6">
        <v>0.45</v>
      </c>
      <c r="AF507" s="6" t="s">
        <v>153</v>
      </c>
      <c r="AG507" s="6">
        <v>0.1</v>
      </c>
      <c r="AH507" s="6">
        <v>7.0000000000000007E-2</v>
      </c>
      <c r="AI507" s="6">
        <v>15</v>
      </c>
      <c r="AJ507" s="6">
        <v>3351</v>
      </c>
      <c r="AK507" s="6">
        <v>9982501.2699999996</v>
      </c>
      <c r="AL507" s="6">
        <v>15985709.01</v>
      </c>
      <c r="AM507" s="6" t="s">
        <v>355</v>
      </c>
      <c r="AN507" s="6" t="s">
        <v>386</v>
      </c>
      <c r="AO507" s="6"/>
      <c r="AP507" s="6">
        <v>12</v>
      </c>
      <c r="AQ507" s="6" t="s">
        <v>337</v>
      </c>
      <c r="AR507" s="6" t="s">
        <v>224</v>
      </c>
      <c r="AS507" s="6" t="s">
        <v>357</v>
      </c>
    </row>
    <row r="508" spans="1:45" x14ac:dyDescent="0.3">
      <c r="A508" s="7" t="s">
        <v>1832</v>
      </c>
      <c r="B508" s="7" t="s">
        <v>4362</v>
      </c>
      <c r="C508" s="7" t="s">
        <v>283</v>
      </c>
      <c r="D508" s="7" t="s">
        <v>215</v>
      </c>
      <c r="E508" s="7" t="s">
        <v>4265</v>
      </c>
      <c r="F508" s="7" t="s">
        <v>228</v>
      </c>
      <c r="G508" s="7" t="s">
        <v>38</v>
      </c>
      <c r="H508" s="7"/>
      <c r="I508" s="7" t="s">
        <v>198</v>
      </c>
      <c r="J508" s="6" t="s">
        <v>130</v>
      </c>
      <c r="K508" s="7" t="s">
        <v>223</v>
      </c>
      <c r="L508" s="7" t="s">
        <v>1833</v>
      </c>
      <c r="M508" s="7" t="s">
        <v>4890</v>
      </c>
      <c r="N508" s="7" t="s">
        <v>3789</v>
      </c>
      <c r="O508" s="7" t="s">
        <v>5057</v>
      </c>
      <c r="P508" s="7">
        <v>38</v>
      </c>
      <c r="Q508" s="7">
        <v>44536069</v>
      </c>
      <c r="R508" s="7">
        <v>0.28000000000000003</v>
      </c>
      <c r="S508" s="7">
        <v>0.09</v>
      </c>
      <c r="T508" s="7">
        <v>34951906.950000003</v>
      </c>
      <c r="U508" s="7">
        <v>25184938.5</v>
      </c>
      <c r="V508" s="7">
        <v>0.39</v>
      </c>
      <c r="W508" s="7">
        <v>0.09</v>
      </c>
      <c r="X508" s="7" t="s">
        <v>1834</v>
      </c>
      <c r="Y508" s="7">
        <v>3173460.8</v>
      </c>
      <c r="Z508" s="7">
        <v>2229583.0099999998</v>
      </c>
      <c r="AA508" s="7">
        <v>120</v>
      </c>
      <c r="AB508" s="7">
        <v>50</v>
      </c>
      <c r="AC508" s="7" t="s">
        <v>347</v>
      </c>
      <c r="AD508" s="7" t="s">
        <v>226</v>
      </c>
      <c r="AE508" s="7">
        <v>0.98</v>
      </c>
      <c r="AF508" s="7"/>
      <c r="AG508" s="7">
        <v>0.15</v>
      </c>
      <c r="AH508" s="7">
        <v>0.05</v>
      </c>
      <c r="AI508" s="7">
        <v>9</v>
      </c>
      <c r="AJ508" s="7">
        <v>2948</v>
      </c>
      <c r="AK508" s="7">
        <v>4988991.6900000004</v>
      </c>
      <c r="AL508" s="7">
        <v>3592959.12</v>
      </c>
      <c r="AM508" s="7" t="s">
        <v>355</v>
      </c>
      <c r="AN508" s="7" t="s">
        <v>348</v>
      </c>
      <c r="AO508" s="7"/>
      <c r="AP508" s="7">
        <v>48</v>
      </c>
      <c r="AQ508" s="7" t="s">
        <v>323</v>
      </c>
      <c r="AR508" s="7" t="s">
        <v>224</v>
      </c>
      <c r="AS508" s="7"/>
    </row>
    <row r="509" spans="1:45" x14ac:dyDescent="0.3">
      <c r="A509" s="6" t="s">
        <v>1835</v>
      </c>
      <c r="B509" s="6" t="s">
        <v>4598</v>
      </c>
      <c r="C509" s="6" t="s">
        <v>214</v>
      </c>
      <c r="D509" s="6" t="s">
        <v>238</v>
      </c>
      <c r="E509" s="6" t="s">
        <v>4376</v>
      </c>
      <c r="F509" s="6" t="s">
        <v>35</v>
      </c>
      <c r="G509" s="6" t="s">
        <v>46</v>
      </c>
      <c r="H509" s="6" t="s">
        <v>4271</v>
      </c>
      <c r="I509" s="6" t="s">
        <v>233</v>
      </c>
      <c r="J509" s="6" t="s">
        <v>136</v>
      </c>
      <c r="K509" s="6" t="s">
        <v>199</v>
      </c>
      <c r="L509" s="6" t="s">
        <v>1836</v>
      </c>
      <c r="M509" s="6" t="s">
        <v>4631</v>
      </c>
      <c r="N509" s="6" t="s">
        <v>3774</v>
      </c>
      <c r="O509" s="6" t="s">
        <v>3421</v>
      </c>
      <c r="P509" s="6" t="s">
        <v>4275</v>
      </c>
      <c r="Q509" s="6">
        <v>41079512</v>
      </c>
      <c r="R509" s="6">
        <v>0.35</v>
      </c>
      <c r="S509" s="6">
        <v>0.01</v>
      </c>
      <c r="T509" s="6">
        <v>26968699.629999999</v>
      </c>
      <c r="U509" s="6">
        <v>20626947.399999999</v>
      </c>
      <c r="V509" s="6">
        <v>0.35</v>
      </c>
      <c r="W509" s="6">
        <v>0.2</v>
      </c>
      <c r="X509" s="6"/>
      <c r="Y509" s="6">
        <v>23292504.170000002</v>
      </c>
      <c r="Z509" s="6">
        <v>13108588.640000001</v>
      </c>
      <c r="AA509" s="6">
        <v>60</v>
      </c>
      <c r="AB509" s="6">
        <v>170</v>
      </c>
      <c r="AC509" s="6" t="s">
        <v>347</v>
      </c>
      <c r="AD509" s="6" t="s">
        <v>354</v>
      </c>
      <c r="AE509" s="6">
        <v>0.74</v>
      </c>
      <c r="AF509" s="6" t="s">
        <v>4294</v>
      </c>
      <c r="AG509" s="6">
        <v>0.15</v>
      </c>
      <c r="AH509" s="6">
        <v>0.09</v>
      </c>
      <c r="AI509" s="6">
        <v>1</v>
      </c>
      <c r="AJ509" s="6">
        <v>1385</v>
      </c>
      <c r="AK509" s="6">
        <v>5356392.54</v>
      </c>
      <c r="AL509" s="6">
        <v>10348644.18</v>
      </c>
      <c r="AM509" s="6" t="s">
        <v>385</v>
      </c>
      <c r="AN509" s="6" t="s">
        <v>348</v>
      </c>
      <c r="AO509" s="6">
        <v>97.4</v>
      </c>
      <c r="AP509" s="6">
        <v>48</v>
      </c>
      <c r="AQ509" s="6" t="s">
        <v>4275</v>
      </c>
      <c r="AR509" s="6" t="s">
        <v>229</v>
      </c>
      <c r="AS509" s="6" t="s">
        <v>357</v>
      </c>
    </row>
    <row r="510" spans="1:45" x14ac:dyDescent="0.3">
      <c r="A510" s="7" t="s">
        <v>1837</v>
      </c>
      <c r="B510" s="7" t="s">
        <v>5058</v>
      </c>
      <c r="C510" s="7" t="s">
        <v>219</v>
      </c>
      <c r="D510" s="7" t="s">
        <v>250</v>
      </c>
      <c r="E510" s="7" t="s">
        <v>36</v>
      </c>
      <c r="F510" s="7" t="s">
        <v>339</v>
      </c>
      <c r="G510" s="7" t="s">
        <v>33</v>
      </c>
      <c r="H510" s="7"/>
      <c r="I510" s="7"/>
      <c r="J510" s="7" t="s">
        <v>115</v>
      </c>
      <c r="K510" s="7" t="s">
        <v>221</v>
      </c>
      <c r="L510" s="7" t="s">
        <v>1838</v>
      </c>
      <c r="M510" s="7" t="s">
        <v>5059</v>
      </c>
      <c r="N510" s="7" t="s">
        <v>5060</v>
      </c>
      <c r="O510" s="7" t="s">
        <v>5061</v>
      </c>
      <c r="P510" s="7">
        <v>38</v>
      </c>
      <c r="Q510" s="7">
        <v>4920972</v>
      </c>
      <c r="R510" s="7">
        <v>0.05</v>
      </c>
      <c r="S510" s="7">
        <v>0.08</v>
      </c>
      <c r="T510" s="7">
        <v>5048917.2699999996</v>
      </c>
      <c r="U510" s="7">
        <v>3805018.25</v>
      </c>
      <c r="V510" s="7">
        <v>0.09</v>
      </c>
      <c r="W510" s="7">
        <v>0.17</v>
      </c>
      <c r="X510" s="7" t="s">
        <v>1839</v>
      </c>
      <c r="Y510" s="7">
        <v>2731979.42</v>
      </c>
      <c r="Z510" s="7">
        <v>1947824.95</v>
      </c>
      <c r="AA510" s="7">
        <v>120</v>
      </c>
      <c r="AB510" s="7">
        <v>59</v>
      </c>
      <c r="AC510" s="7" t="s">
        <v>353</v>
      </c>
      <c r="AD510" s="7" t="s">
        <v>226</v>
      </c>
      <c r="AE510" s="7">
        <v>0.06</v>
      </c>
      <c r="AF510" s="7" t="s">
        <v>4312</v>
      </c>
      <c r="AG510" s="7">
        <v>0.1</v>
      </c>
      <c r="AH510" s="7">
        <v>0.04</v>
      </c>
      <c r="AI510" s="7">
        <v>3</v>
      </c>
      <c r="AJ510" s="7">
        <v>4666</v>
      </c>
      <c r="AK510" s="7"/>
      <c r="AL510" s="7"/>
      <c r="AM510" s="7" t="s">
        <v>385</v>
      </c>
      <c r="AN510" s="7" t="s">
        <v>386</v>
      </c>
      <c r="AO510" s="7">
        <v>98.5</v>
      </c>
      <c r="AP510" s="7">
        <v>60</v>
      </c>
      <c r="AQ510" s="7"/>
      <c r="AR510" s="7" t="s">
        <v>186</v>
      </c>
      <c r="AS510" s="7" t="s">
        <v>188</v>
      </c>
    </row>
    <row r="511" spans="1:45" x14ac:dyDescent="0.3">
      <c r="A511" s="6" t="s">
        <v>1840</v>
      </c>
      <c r="B511" s="6" t="s">
        <v>4507</v>
      </c>
      <c r="C511" s="6" t="s">
        <v>249</v>
      </c>
      <c r="D511" s="6" t="s">
        <v>242</v>
      </c>
      <c r="E511" s="6" t="s">
        <v>36</v>
      </c>
      <c r="F511" s="6" t="s">
        <v>339</v>
      </c>
      <c r="G511" s="6" t="s">
        <v>50</v>
      </c>
      <c r="H511" s="6" t="s">
        <v>4326</v>
      </c>
      <c r="I511" s="6" t="s">
        <v>4289</v>
      </c>
      <c r="J511" s="6" t="s">
        <v>115</v>
      </c>
      <c r="K511" s="6" t="s">
        <v>221</v>
      </c>
      <c r="L511" s="6" t="s">
        <v>1841</v>
      </c>
      <c r="M511" s="6" t="s">
        <v>4573</v>
      </c>
      <c r="N511" s="6" t="s">
        <v>4366</v>
      </c>
      <c r="O511" s="6" t="s">
        <v>4790</v>
      </c>
      <c r="P511" s="6">
        <v>41</v>
      </c>
      <c r="Q511" s="6">
        <v>31241527</v>
      </c>
      <c r="R511" s="6">
        <v>0.24</v>
      </c>
      <c r="S511" s="6">
        <v>0.11</v>
      </c>
      <c r="T511" s="6">
        <v>26355352.18</v>
      </c>
      <c r="U511" s="6">
        <v>20338174.989999998</v>
      </c>
      <c r="V511" s="6">
        <v>0.23</v>
      </c>
      <c r="W511" s="6">
        <v>0.1</v>
      </c>
      <c r="X511" s="6"/>
      <c r="Y511" s="6">
        <v>6977670.0599999996</v>
      </c>
      <c r="Z511" s="6">
        <v>6558847.4000000004</v>
      </c>
      <c r="AA511" s="6">
        <v>60</v>
      </c>
      <c r="AB511" s="6">
        <v>29</v>
      </c>
      <c r="AC511" s="6"/>
      <c r="AD511" s="6" t="s">
        <v>354</v>
      </c>
      <c r="AE511" s="6">
        <v>0.85</v>
      </c>
      <c r="AF511" s="6" t="s">
        <v>4276</v>
      </c>
      <c r="AG511" s="6">
        <v>0.05</v>
      </c>
      <c r="AH511" s="6">
        <v>0.05</v>
      </c>
      <c r="AI511" s="6">
        <v>5</v>
      </c>
      <c r="AJ511" s="6">
        <v>4533</v>
      </c>
      <c r="AK511" s="6"/>
      <c r="AL511" s="6">
        <v>5897590.2199999997</v>
      </c>
      <c r="AM511" s="6" t="s">
        <v>391</v>
      </c>
      <c r="AN511" s="6" t="s">
        <v>348</v>
      </c>
      <c r="AO511" s="6">
        <v>96.1</v>
      </c>
      <c r="AP511" s="6">
        <v>36</v>
      </c>
      <c r="AQ511" s="6"/>
      <c r="AR511" s="6" t="s">
        <v>192</v>
      </c>
      <c r="AS511" s="6" t="s">
        <v>357</v>
      </c>
    </row>
    <row r="512" spans="1:45" x14ac:dyDescent="0.3">
      <c r="A512" s="7" t="s">
        <v>1842</v>
      </c>
      <c r="B512" s="7" t="s">
        <v>5062</v>
      </c>
      <c r="C512" s="7" t="s">
        <v>241</v>
      </c>
      <c r="D512" s="7" t="s">
        <v>215</v>
      </c>
      <c r="E512" s="7" t="s">
        <v>4270</v>
      </c>
      <c r="F512" s="7"/>
      <c r="G512" s="7" t="s">
        <v>50</v>
      </c>
      <c r="H512" s="7" t="s">
        <v>4271</v>
      </c>
      <c r="I512" s="7" t="s">
        <v>191</v>
      </c>
      <c r="J512" s="7" t="s">
        <v>111</v>
      </c>
      <c r="K512" s="7" t="s">
        <v>223</v>
      </c>
      <c r="L512" s="7" t="s">
        <v>1843</v>
      </c>
      <c r="M512" s="7" t="s">
        <v>3998</v>
      </c>
      <c r="N512" s="7"/>
      <c r="O512" s="7" t="s">
        <v>3999</v>
      </c>
      <c r="P512" s="7">
        <v>13</v>
      </c>
      <c r="Q512" s="7" t="s">
        <v>4275</v>
      </c>
      <c r="R512" s="7">
        <v>0.3</v>
      </c>
      <c r="S512" s="7">
        <v>7.0000000000000007E-2</v>
      </c>
      <c r="T512" s="7">
        <v>34666875.539999999</v>
      </c>
      <c r="U512" s="7">
        <v>24061189.5</v>
      </c>
      <c r="V512" s="7">
        <v>0.17</v>
      </c>
      <c r="W512" s="7">
        <v>7.0000000000000007E-2</v>
      </c>
      <c r="X512" s="7" t="s">
        <v>1844</v>
      </c>
      <c r="Y512" s="7">
        <v>13164401.029999999</v>
      </c>
      <c r="Z512" s="7">
        <v>13218758.699999999</v>
      </c>
      <c r="AA512" s="7">
        <v>45</v>
      </c>
      <c r="AB512" s="7">
        <v>81</v>
      </c>
      <c r="AC512" s="7" t="s">
        <v>353</v>
      </c>
      <c r="AD512" s="7" t="s">
        <v>406</v>
      </c>
      <c r="AE512" s="7">
        <v>0.67</v>
      </c>
      <c r="AF512" s="7" t="s">
        <v>159</v>
      </c>
      <c r="AG512" s="7">
        <v>0.15</v>
      </c>
      <c r="AH512" s="7">
        <v>7.0000000000000007E-2</v>
      </c>
      <c r="AI512" s="7">
        <v>15</v>
      </c>
      <c r="AJ512" s="7">
        <v>1058</v>
      </c>
      <c r="AK512" s="7">
        <v>4537076.72</v>
      </c>
      <c r="AL512" s="7"/>
      <c r="AM512" s="7" t="s">
        <v>343</v>
      </c>
      <c r="AN512" s="7" t="s">
        <v>348</v>
      </c>
      <c r="AO512" s="7">
        <v>63.1</v>
      </c>
      <c r="AP512" s="7">
        <v>60</v>
      </c>
      <c r="AQ512" s="7" t="s">
        <v>392</v>
      </c>
      <c r="AR512" s="7" t="s">
        <v>186</v>
      </c>
      <c r="AS512" s="7" t="s">
        <v>188</v>
      </c>
    </row>
    <row r="513" spans="1:45" x14ac:dyDescent="0.3">
      <c r="A513" s="6" t="s">
        <v>1845</v>
      </c>
      <c r="B513" s="6" t="s">
        <v>4342</v>
      </c>
      <c r="C513" s="6" t="s">
        <v>285</v>
      </c>
      <c r="D513" s="6" t="s">
        <v>255</v>
      </c>
      <c r="E513" s="6" t="s">
        <v>4306</v>
      </c>
      <c r="F513" s="6" t="s">
        <v>75</v>
      </c>
      <c r="G513" s="6" t="s">
        <v>80</v>
      </c>
      <c r="H513" s="6" t="s">
        <v>4275</v>
      </c>
      <c r="I513" s="6" t="s">
        <v>213</v>
      </c>
      <c r="J513" s="7" t="s">
        <v>133</v>
      </c>
      <c r="K513" s="6" t="s">
        <v>204</v>
      </c>
      <c r="L513" s="6" t="s">
        <v>1846</v>
      </c>
      <c r="M513" s="6" t="s">
        <v>4454</v>
      </c>
      <c r="N513" s="6" t="s">
        <v>5063</v>
      </c>
      <c r="O513" s="6" t="s">
        <v>3344</v>
      </c>
      <c r="P513" s="6">
        <v>13</v>
      </c>
      <c r="Q513" s="6">
        <v>46831312</v>
      </c>
      <c r="R513" s="6">
        <v>0.16</v>
      </c>
      <c r="S513" s="6">
        <v>0.2</v>
      </c>
      <c r="T513" s="6">
        <v>47205962.5</v>
      </c>
      <c r="U513" s="6">
        <v>41159140.18</v>
      </c>
      <c r="V513" s="6">
        <v>0.13</v>
      </c>
      <c r="W513" s="6">
        <v>0.16</v>
      </c>
      <c r="X513" s="6" t="s">
        <v>1847</v>
      </c>
      <c r="Y513" s="6">
        <v>39004396.079999998</v>
      </c>
      <c r="Z513" s="6">
        <v>16344293.59</v>
      </c>
      <c r="AA513" s="6">
        <v>30</v>
      </c>
      <c r="AB513" s="6">
        <v>106</v>
      </c>
      <c r="AC513" s="6" t="s">
        <v>329</v>
      </c>
      <c r="AD513" s="6" t="s">
        <v>455</v>
      </c>
      <c r="AE513" s="6">
        <v>0.16</v>
      </c>
      <c r="AF513" s="6" t="s">
        <v>4312</v>
      </c>
      <c r="AG513" s="6">
        <v>0.1</v>
      </c>
      <c r="AH513" s="6">
        <v>0.02</v>
      </c>
      <c r="AI513" s="6">
        <v>13</v>
      </c>
      <c r="AJ513" s="6">
        <v>45</v>
      </c>
      <c r="AK513" s="6">
        <v>4971969.3</v>
      </c>
      <c r="AL513" s="6">
        <v>22462065.550000001</v>
      </c>
      <c r="AM513" s="6" t="s">
        <v>385</v>
      </c>
      <c r="AN513" s="6" t="s">
        <v>321</v>
      </c>
      <c r="AO513" s="6">
        <v>64.8</v>
      </c>
      <c r="AP513" s="6">
        <v>12</v>
      </c>
      <c r="AQ513" s="6"/>
      <c r="AR513" s="6" t="s">
        <v>229</v>
      </c>
      <c r="AS513" s="6" t="s">
        <v>361</v>
      </c>
    </row>
    <row r="514" spans="1:45" x14ac:dyDescent="0.3">
      <c r="A514" s="7" t="s">
        <v>889</v>
      </c>
      <c r="B514" s="7" t="s">
        <v>4952</v>
      </c>
      <c r="C514" s="7" t="s">
        <v>254</v>
      </c>
      <c r="D514" s="7" t="s">
        <v>274</v>
      </c>
      <c r="E514" s="7" t="s">
        <v>20</v>
      </c>
      <c r="F514" s="7" t="s">
        <v>31</v>
      </c>
      <c r="G514" s="7" t="s">
        <v>16</v>
      </c>
      <c r="H514" s="7" t="s">
        <v>212</v>
      </c>
      <c r="I514" s="7" t="s">
        <v>4372</v>
      </c>
      <c r="J514" s="7" t="s">
        <v>136</v>
      </c>
      <c r="K514" s="7" t="s">
        <v>326</v>
      </c>
      <c r="L514" s="7" t="s">
        <v>4000</v>
      </c>
      <c r="M514" s="7" t="s">
        <v>5064</v>
      </c>
      <c r="N514" s="7"/>
      <c r="O514" s="7" t="s">
        <v>5065</v>
      </c>
      <c r="P514" s="7">
        <v>26</v>
      </c>
      <c r="Q514" s="7">
        <v>32901382</v>
      </c>
      <c r="R514" s="7">
        <v>0.27</v>
      </c>
      <c r="S514" s="7">
        <v>0.1</v>
      </c>
      <c r="T514" s="7">
        <v>26419809.75</v>
      </c>
      <c r="U514" s="7">
        <v>21214060.359999999</v>
      </c>
      <c r="V514" s="7">
        <v>0.21</v>
      </c>
      <c r="W514" s="7">
        <v>0.14000000000000001</v>
      </c>
      <c r="X514" s="7" t="s">
        <v>4002</v>
      </c>
      <c r="Y514" s="7">
        <v>16415673.66</v>
      </c>
      <c r="Z514" s="7">
        <v>17045141.800000001</v>
      </c>
      <c r="AA514" s="7">
        <v>45</v>
      </c>
      <c r="AB514" s="7">
        <v>60</v>
      </c>
      <c r="AC514" s="7" t="s">
        <v>347</v>
      </c>
      <c r="AD514" s="7" t="s">
        <v>354</v>
      </c>
      <c r="AE514" s="7">
        <v>0.66</v>
      </c>
      <c r="AF514" s="7" t="s">
        <v>4303</v>
      </c>
      <c r="AG514" s="7">
        <v>0.1</v>
      </c>
      <c r="AH514" s="7">
        <v>0.05</v>
      </c>
      <c r="AI514" s="7">
        <v>6</v>
      </c>
      <c r="AJ514" s="7">
        <v>1424</v>
      </c>
      <c r="AK514" s="7"/>
      <c r="AL514" s="7">
        <v>11607209.51</v>
      </c>
      <c r="AM514" s="7" t="s">
        <v>355</v>
      </c>
      <c r="AN514" s="7" t="s">
        <v>330</v>
      </c>
      <c r="AO514" s="7">
        <v>95.8</v>
      </c>
      <c r="AP514" s="7">
        <v>60</v>
      </c>
      <c r="AQ514" s="7" t="s">
        <v>387</v>
      </c>
      <c r="AR514" s="7" t="s">
        <v>224</v>
      </c>
      <c r="AS514" s="7" t="s">
        <v>357</v>
      </c>
    </row>
    <row r="515" spans="1:45" x14ac:dyDescent="0.3">
      <c r="A515" s="6" t="s">
        <v>1364</v>
      </c>
      <c r="B515" s="6" t="s">
        <v>4003</v>
      </c>
      <c r="C515" s="6" t="s">
        <v>211</v>
      </c>
      <c r="D515" s="6" t="s">
        <v>202</v>
      </c>
      <c r="E515" s="6" t="s">
        <v>20</v>
      </c>
      <c r="F515" s="6" t="s">
        <v>196</v>
      </c>
      <c r="G515" s="6" t="s">
        <v>73</v>
      </c>
      <c r="H515" s="6" t="s">
        <v>4326</v>
      </c>
      <c r="I515" s="6" t="s">
        <v>4307</v>
      </c>
      <c r="J515" s="6" t="s">
        <v>136</v>
      </c>
      <c r="K515" s="6" t="s">
        <v>204</v>
      </c>
      <c r="L515" s="6" t="s">
        <v>4004</v>
      </c>
      <c r="M515" s="6" t="s">
        <v>4556</v>
      </c>
      <c r="N515" s="6" t="s">
        <v>4624</v>
      </c>
      <c r="O515" s="6" t="s">
        <v>4274</v>
      </c>
      <c r="P515" s="6">
        <v>23</v>
      </c>
      <c r="Q515" s="6">
        <v>5158385</v>
      </c>
      <c r="R515" s="6">
        <v>0.2</v>
      </c>
      <c r="S515" s="6">
        <v>0</v>
      </c>
      <c r="T515" s="6">
        <v>4126708</v>
      </c>
      <c r="U515" s="6">
        <v>3168890.57</v>
      </c>
      <c r="V515" s="6">
        <v>0.24</v>
      </c>
      <c r="W515" s="6">
        <v>0.18</v>
      </c>
      <c r="X515" s="6" t="s">
        <v>653</v>
      </c>
      <c r="Y515" s="6">
        <v>1040013.33</v>
      </c>
      <c r="Z515" s="6">
        <v>882977.72</v>
      </c>
      <c r="AA515" s="6">
        <v>45</v>
      </c>
      <c r="AB515" s="6">
        <v>151</v>
      </c>
      <c r="AC515" s="6" t="s">
        <v>342</v>
      </c>
      <c r="AD515" s="6" t="s">
        <v>354</v>
      </c>
      <c r="AE515" s="6">
        <v>0.74</v>
      </c>
      <c r="AF515" s="6" t="s">
        <v>159</v>
      </c>
      <c r="AG515" s="6">
        <v>0.05</v>
      </c>
      <c r="AH515" s="6">
        <v>0.08</v>
      </c>
      <c r="AI515" s="6">
        <v>5</v>
      </c>
      <c r="AJ515" s="6">
        <v>1310</v>
      </c>
      <c r="AK515" s="6">
        <v>574715.14</v>
      </c>
      <c r="AL515" s="6">
        <v>1638307.18</v>
      </c>
      <c r="AM515" s="6" t="s">
        <v>391</v>
      </c>
      <c r="AN515" s="6"/>
      <c r="AO515" s="6">
        <v>77.400000000000006</v>
      </c>
      <c r="AP515" s="6">
        <v>24</v>
      </c>
      <c r="AQ515" s="6" t="s">
        <v>323</v>
      </c>
      <c r="AR515" s="6" t="s">
        <v>229</v>
      </c>
      <c r="AS515" s="6" t="s">
        <v>361</v>
      </c>
    </row>
    <row r="516" spans="1:45" x14ac:dyDescent="0.3">
      <c r="A516" s="7" t="s">
        <v>1848</v>
      </c>
      <c r="B516" s="7" t="s">
        <v>4354</v>
      </c>
      <c r="C516" s="7" t="s">
        <v>251</v>
      </c>
      <c r="D516" s="7" t="s">
        <v>209</v>
      </c>
      <c r="E516" s="7"/>
      <c r="F516" s="7" t="s">
        <v>196</v>
      </c>
      <c r="G516" s="7" t="s">
        <v>54</v>
      </c>
      <c r="H516" s="7" t="s">
        <v>236</v>
      </c>
      <c r="I516" s="7" t="s">
        <v>4272</v>
      </c>
      <c r="J516" s="7" t="s">
        <v>130</v>
      </c>
      <c r="K516" s="7" t="s">
        <v>199</v>
      </c>
      <c r="L516" s="7" t="s">
        <v>1849</v>
      </c>
      <c r="M516" s="7" t="s">
        <v>4623</v>
      </c>
      <c r="N516" s="7"/>
      <c r="O516" s="7" t="s">
        <v>5066</v>
      </c>
      <c r="P516" s="7">
        <v>33</v>
      </c>
      <c r="Q516" s="7">
        <v>33973839</v>
      </c>
      <c r="R516" s="7">
        <v>0.21</v>
      </c>
      <c r="S516" s="7">
        <v>-0.02</v>
      </c>
      <c r="T516" s="7">
        <v>26302546.149999999</v>
      </c>
      <c r="U516" s="7">
        <v>21900311.379999999</v>
      </c>
      <c r="V516" s="7">
        <v>0.2</v>
      </c>
      <c r="W516" s="7">
        <v>7.0000000000000007E-2</v>
      </c>
      <c r="X516" s="7" t="s">
        <v>1850</v>
      </c>
      <c r="Y516" s="7">
        <v>21012665.82</v>
      </c>
      <c r="Z516" s="7">
        <v>14558744.789999999</v>
      </c>
      <c r="AA516" s="7">
        <v>30</v>
      </c>
      <c r="AB516" s="7">
        <v>146</v>
      </c>
      <c r="AC516" s="7"/>
      <c r="AD516" s="7" t="s">
        <v>354</v>
      </c>
      <c r="AE516" s="7">
        <v>0.44</v>
      </c>
      <c r="AF516" s="7" t="s">
        <v>4361</v>
      </c>
      <c r="AG516" s="7">
        <v>0.15</v>
      </c>
      <c r="AH516" s="7">
        <v>0.08</v>
      </c>
      <c r="AI516" s="7">
        <v>13</v>
      </c>
      <c r="AJ516" s="7">
        <v>4289</v>
      </c>
      <c r="AK516" s="7"/>
      <c r="AL516" s="7">
        <v>8023849.6799999997</v>
      </c>
      <c r="AM516" s="7" t="s">
        <v>355</v>
      </c>
      <c r="AN516" s="7" t="s">
        <v>348</v>
      </c>
      <c r="AO516" s="7">
        <v>80.3</v>
      </c>
      <c r="AP516" s="7">
        <v>48</v>
      </c>
      <c r="AQ516" s="7" t="s">
        <v>387</v>
      </c>
      <c r="AR516" s="7" t="s">
        <v>192</v>
      </c>
      <c r="AS516" s="7" t="s">
        <v>361</v>
      </c>
    </row>
    <row r="517" spans="1:45" x14ac:dyDescent="0.3">
      <c r="A517" s="6" t="s">
        <v>1851</v>
      </c>
      <c r="B517" s="6" t="s">
        <v>4006</v>
      </c>
      <c r="C517" s="6" t="s">
        <v>251</v>
      </c>
      <c r="D517" s="6" t="s">
        <v>394</v>
      </c>
      <c r="E517" s="6"/>
      <c r="F517" s="6" t="s">
        <v>339</v>
      </c>
      <c r="G517" s="6" t="s">
        <v>70</v>
      </c>
      <c r="H517" s="6" t="s">
        <v>212</v>
      </c>
      <c r="I517" s="6" t="s">
        <v>4372</v>
      </c>
      <c r="J517" s="6" t="s">
        <v>130</v>
      </c>
      <c r="K517" s="6" t="s">
        <v>204</v>
      </c>
      <c r="L517" s="6" t="s">
        <v>1852</v>
      </c>
      <c r="M517" s="6" t="s">
        <v>4007</v>
      </c>
      <c r="N517" s="6" t="s">
        <v>5067</v>
      </c>
      <c r="O517" s="6" t="s">
        <v>5068</v>
      </c>
      <c r="P517" s="6" t="s">
        <v>4275</v>
      </c>
      <c r="Q517" s="6">
        <v>23124396</v>
      </c>
      <c r="R517" s="6">
        <v>0.08</v>
      </c>
      <c r="S517" s="6">
        <v>7.0000000000000007E-2</v>
      </c>
      <c r="T517" s="6">
        <v>22763655.420000002</v>
      </c>
      <c r="U517" s="6">
        <v>13781156.27</v>
      </c>
      <c r="V517" s="6">
        <v>0.08</v>
      </c>
      <c r="W517" s="6">
        <v>0.14000000000000001</v>
      </c>
      <c r="X517" s="6"/>
      <c r="Y517" s="6">
        <v>13627523.970000001</v>
      </c>
      <c r="Z517" s="6">
        <v>14352574.970000001</v>
      </c>
      <c r="AA517" s="6">
        <v>30</v>
      </c>
      <c r="AB517" s="6">
        <v>86</v>
      </c>
      <c r="AC517" s="6" t="s">
        <v>329</v>
      </c>
      <c r="AD517" s="6" t="s">
        <v>381</v>
      </c>
      <c r="AE517" s="6">
        <v>0.41</v>
      </c>
      <c r="AF517" s="6" t="s">
        <v>4303</v>
      </c>
      <c r="AG517" s="6">
        <v>0.15</v>
      </c>
      <c r="AH517" s="6">
        <v>0.05</v>
      </c>
      <c r="AI517" s="6">
        <v>0</v>
      </c>
      <c r="AJ517" s="6">
        <v>19</v>
      </c>
      <c r="AK517" s="6">
        <v>4536164.33</v>
      </c>
      <c r="AL517" s="6">
        <v>6700699.3499999996</v>
      </c>
      <c r="AM517" s="6" t="s">
        <v>385</v>
      </c>
      <c r="AN517" s="6" t="s">
        <v>356</v>
      </c>
      <c r="AO517" s="6">
        <v>51</v>
      </c>
      <c r="AP517" s="6">
        <v>36</v>
      </c>
      <c r="AQ517" s="6" t="s">
        <v>387</v>
      </c>
      <c r="AR517" s="6" t="s">
        <v>192</v>
      </c>
      <c r="AS517" s="6" t="s">
        <v>188</v>
      </c>
    </row>
    <row r="518" spans="1:45" x14ac:dyDescent="0.3">
      <c r="A518" s="7" t="s">
        <v>1853</v>
      </c>
      <c r="B518" s="7" t="s">
        <v>5069</v>
      </c>
      <c r="C518" s="7" t="s">
        <v>201</v>
      </c>
      <c r="D518" s="7" t="s">
        <v>265</v>
      </c>
      <c r="E518" s="7" t="s">
        <v>36</v>
      </c>
      <c r="F518" s="7" t="s">
        <v>339</v>
      </c>
      <c r="G518" s="7" t="s">
        <v>16</v>
      </c>
      <c r="H518" s="7" t="s">
        <v>197</v>
      </c>
      <c r="I518" s="7" t="s">
        <v>203</v>
      </c>
      <c r="J518" s="7" t="s">
        <v>115</v>
      </c>
      <c r="K518" s="7" t="s">
        <v>204</v>
      </c>
      <c r="L518" s="7" t="s">
        <v>1854</v>
      </c>
      <c r="M518" s="7" t="s">
        <v>5070</v>
      </c>
      <c r="N518" s="7"/>
      <c r="O518" s="7" t="s">
        <v>5071</v>
      </c>
      <c r="P518" s="7">
        <v>51</v>
      </c>
      <c r="Q518" s="7">
        <v>19341590</v>
      </c>
      <c r="R518" s="7">
        <v>0.03</v>
      </c>
      <c r="S518" s="7">
        <v>0.01</v>
      </c>
      <c r="T518" s="7">
        <v>18948955.719999999</v>
      </c>
      <c r="U518" s="7">
        <v>12674824.949999999</v>
      </c>
      <c r="V518" s="7">
        <v>0.11</v>
      </c>
      <c r="W518" s="7">
        <v>0.06</v>
      </c>
      <c r="X518" s="7" t="s">
        <v>1855</v>
      </c>
      <c r="Y518" s="7">
        <v>7787101.7400000002</v>
      </c>
      <c r="Z518" s="7">
        <v>5749820.46</v>
      </c>
      <c r="AA518" s="7">
        <v>60</v>
      </c>
      <c r="AB518" s="7">
        <v>114</v>
      </c>
      <c r="AC518" s="7" t="s">
        <v>376</v>
      </c>
      <c r="AD518" s="7" t="s">
        <v>406</v>
      </c>
      <c r="AE518" s="7">
        <v>0.61</v>
      </c>
      <c r="AF518" s="7" t="s">
        <v>152</v>
      </c>
      <c r="AG518" s="7">
        <v>0.1</v>
      </c>
      <c r="AH518" s="7">
        <v>7.0000000000000007E-2</v>
      </c>
      <c r="AI518" s="7">
        <v>9</v>
      </c>
      <c r="AJ518" s="7">
        <v>3887</v>
      </c>
      <c r="AK518" s="7">
        <v>2386883.42</v>
      </c>
      <c r="AL518" s="7">
        <v>6924791.0599999996</v>
      </c>
      <c r="AM518" s="7" t="s">
        <v>73</v>
      </c>
      <c r="AN518" s="7" t="s">
        <v>356</v>
      </c>
      <c r="AO518" s="7">
        <v>95.1</v>
      </c>
      <c r="AP518" s="7">
        <v>24</v>
      </c>
      <c r="AQ518" s="7"/>
      <c r="AR518" s="7" t="s">
        <v>224</v>
      </c>
      <c r="AS518" s="7" t="s">
        <v>377</v>
      </c>
    </row>
    <row r="519" spans="1:45" x14ac:dyDescent="0.3">
      <c r="A519" s="6" t="s">
        <v>1856</v>
      </c>
      <c r="B519" s="6" t="s">
        <v>4621</v>
      </c>
      <c r="C519" s="6" t="s">
        <v>235</v>
      </c>
      <c r="D519" s="6" t="s">
        <v>220</v>
      </c>
      <c r="E519" s="6"/>
      <c r="F519" s="6" t="s">
        <v>363</v>
      </c>
      <c r="G519" s="6" t="s">
        <v>54</v>
      </c>
      <c r="H519" s="6" t="s">
        <v>212</v>
      </c>
      <c r="I519" s="6" t="s">
        <v>198</v>
      </c>
      <c r="J519" s="6" t="s">
        <v>130</v>
      </c>
      <c r="K519" s="6" t="s">
        <v>326</v>
      </c>
      <c r="L519" s="6" t="s">
        <v>1857</v>
      </c>
      <c r="M519" s="6" t="s">
        <v>4877</v>
      </c>
      <c r="N519" s="6" t="s">
        <v>4008</v>
      </c>
      <c r="O519" s="6" t="s">
        <v>5072</v>
      </c>
      <c r="P519" s="6">
        <v>52</v>
      </c>
      <c r="Q519" s="6">
        <v>10356787</v>
      </c>
      <c r="R519" s="6">
        <v>0.14000000000000001</v>
      </c>
      <c r="S519" s="6">
        <v>0.12</v>
      </c>
      <c r="T519" s="6">
        <v>9975657.2400000002</v>
      </c>
      <c r="U519" s="6">
        <v>8366728.5300000003</v>
      </c>
      <c r="V519" s="6">
        <v>0.28000000000000003</v>
      </c>
      <c r="W519" s="6">
        <v>0.17</v>
      </c>
      <c r="X519" s="6" t="s">
        <v>1858</v>
      </c>
      <c r="Y519" s="6">
        <v>5718052.5199999996</v>
      </c>
      <c r="Z519" s="6">
        <v>5109632.75</v>
      </c>
      <c r="AA519" s="6">
        <v>45</v>
      </c>
      <c r="AB519" s="6">
        <v>15</v>
      </c>
      <c r="AC519" s="6" t="s">
        <v>329</v>
      </c>
      <c r="AD519" s="6" t="s">
        <v>406</v>
      </c>
      <c r="AE519" s="6">
        <v>0.31</v>
      </c>
      <c r="AF519" s="6" t="s">
        <v>4361</v>
      </c>
      <c r="AG519" s="6">
        <v>0.1</v>
      </c>
      <c r="AH519" s="6">
        <v>0.04</v>
      </c>
      <c r="AI519" s="6">
        <v>11</v>
      </c>
      <c r="AJ519" s="6">
        <v>4828</v>
      </c>
      <c r="AK519" s="6">
        <v>1382295.43</v>
      </c>
      <c r="AL519" s="6">
        <v>4267535.59</v>
      </c>
      <c r="AM519" s="6" t="s">
        <v>321</v>
      </c>
      <c r="AN519" s="6" t="s">
        <v>348</v>
      </c>
      <c r="AO519" s="6">
        <v>86.2</v>
      </c>
      <c r="AP519" s="6">
        <v>48</v>
      </c>
      <c r="AQ519" s="6"/>
      <c r="AR519" s="6" t="s">
        <v>186</v>
      </c>
      <c r="AS519" s="6" t="s">
        <v>361</v>
      </c>
    </row>
    <row r="520" spans="1:45" x14ac:dyDescent="0.3">
      <c r="A520" s="7" t="s">
        <v>1859</v>
      </c>
      <c r="B520" s="7" t="s">
        <v>4953</v>
      </c>
      <c r="C520" s="7" t="s">
        <v>237</v>
      </c>
      <c r="D520" s="7" t="s">
        <v>262</v>
      </c>
      <c r="E520" s="7" t="s">
        <v>4376</v>
      </c>
      <c r="F520" s="7" t="s">
        <v>31</v>
      </c>
      <c r="G520" s="7" t="s">
        <v>23</v>
      </c>
      <c r="H520" s="7"/>
      <c r="I520" s="7" t="s">
        <v>198</v>
      </c>
      <c r="J520" s="7" t="s">
        <v>136</v>
      </c>
      <c r="K520" s="7" t="s">
        <v>223</v>
      </c>
      <c r="L520" s="7" t="s">
        <v>1860</v>
      </c>
      <c r="M520" s="7" t="s">
        <v>4269</v>
      </c>
      <c r="N520" s="7" t="s">
        <v>5073</v>
      </c>
      <c r="O520" s="7" t="s">
        <v>3605</v>
      </c>
      <c r="P520" s="7">
        <v>45</v>
      </c>
      <c r="Q520" s="7">
        <v>1999134</v>
      </c>
      <c r="R520" s="7">
        <v>0.2</v>
      </c>
      <c r="S520" s="7">
        <v>0.09</v>
      </c>
      <c r="T520" s="7">
        <v>1743244.85</v>
      </c>
      <c r="U520" s="7">
        <v>1474123.19</v>
      </c>
      <c r="V520" s="7">
        <v>0.28999999999999998</v>
      </c>
      <c r="W520" s="7">
        <v>0.15</v>
      </c>
      <c r="X520" s="7" t="s">
        <v>1861</v>
      </c>
      <c r="Y520" s="7">
        <v>734290.01</v>
      </c>
      <c r="Z520" s="7">
        <v>327585.78000000003</v>
      </c>
      <c r="AA520" s="7">
        <v>60</v>
      </c>
      <c r="AB520" s="7">
        <v>63</v>
      </c>
      <c r="AC520" s="7" t="s">
        <v>353</v>
      </c>
      <c r="AD520" s="7" t="s">
        <v>226</v>
      </c>
      <c r="AE520" s="7">
        <v>0.35</v>
      </c>
      <c r="AF520" s="7"/>
      <c r="AG520" s="7">
        <v>0.1</v>
      </c>
      <c r="AH520" s="7">
        <v>0.08</v>
      </c>
      <c r="AI520" s="7">
        <v>3</v>
      </c>
      <c r="AJ520" s="7">
        <v>3439</v>
      </c>
      <c r="AK520" s="7">
        <v>173658.63</v>
      </c>
      <c r="AL520" s="7">
        <v>519724.11</v>
      </c>
      <c r="AM520" s="7" t="s">
        <v>343</v>
      </c>
      <c r="AN520" s="7" t="s">
        <v>356</v>
      </c>
      <c r="AO520" s="7">
        <v>76.599999999999994</v>
      </c>
      <c r="AP520" s="7">
        <v>12</v>
      </c>
      <c r="AQ520" s="7" t="s">
        <v>4275</v>
      </c>
      <c r="AR520" s="7" t="s">
        <v>206</v>
      </c>
      <c r="AS520" s="7"/>
    </row>
    <row r="521" spans="1:45" x14ac:dyDescent="0.3">
      <c r="A521" s="6" t="s">
        <v>1862</v>
      </c>
      <c r="B521" s="6" t="s">
        <v>5074</v>
      </c>
      <c r="C521" s="6" t="s">
        <v>282</v>
      </c>
      <c r="D521" s="6" t="s">
        <v>202</v>
      </c>
      <c r="E521" s="6" t="s">
        <v>4270</v>
      </c>
      <c r="F521" s="6" t="s">
        <v>367</v>
      </c>
      <c r="G521" s="6" t="s">
        <v>16</v>
      </c>
      <c r="H521" s="6" t="s">
        <v>212</v>
      </c>
      <c r="I521" s="6" t="s">
        <v>191</v>
      </c>
      <c r="J521" s="6" t="s">
        <v>127</v>
      </c>
      <c r="K521" s="6" t="s">
        <v>199</v>
      </c>
      <c r="L521" s="6" t="s">
        <v>1863</v>
      </c>
      <c r="M521" s="6" t="s">
        <v>3551</v>
      </c>
      <c r="N521" s="6" t="s">
        <v>5075</v>
      </c>
      <c r="O521" s="6" t="s">
        <v>5076</v>
      </c>
      <c r="P521" s="6">
        <v>42</v>
      </c>
      <c r="Q521" s="6">
        <v>32698787</v>
      </c>
      <c r="R521" s="6">
        <v>0.32</v>
      </c>
      <c r="S521" s="6">
        <v>0.09</v>
      </c>
      <c r="T521" s="6">
        <v>24236340.920000002</v>
      </c>
      <c r="U521" s="6">
        <v>15857323.039999999</v>
      </c>
      <c r="V521" s="6">
        <v>0.38</v>
      </c>
      <c r="W521" s="6">
        <v>0.11</v>
      </c>
      <c r="X521" s="6" t="s">
        <v>1864</v>
      </c>
      <c r="Y521" s="6">
        <v>3312585.09</v>
      </c>
      <c r="Z521" s="6">
        <v>2609674.7000000002</v>
      </c>
      <c r="AA521" s="6">
        <v>30</v>
      </c>
      <c r="AB521" s="6">
        <v>73</v>
      </c>
      <c r="AC521" s="6" t="s">
        <v>329</v>
      </c>
      <c r="AD521" s="6" t="s">
        <v>381</v>
      </c>
      <c r="AE521" s="6">
        <v>0.49</v>
      </c>
      <c r="AF521" s="6" t="s">
        <v>4312</v>
      </c>
      <c r="AG521" s="6">
        <v>0.15</v>
      </c>
      <c r="AH521" s="6">
        <v>0.03</v>
      </c>
      <c r="AI521" s="6">
        <v>8</v>
      </c>
      <c r="AJ521" s="6">
        <v>3865</v>
      </c>
      <c r="AK521" s="6">
        <v>2038750.24</v>
      </c>
      <c r="AL521" s="6">
        <v>10988540.34</v>
      </c>
      <c r="AM521" s="6" t="s">
        <v>73</v>
      </c>
      <c r="AN521" s="6" t="s">
        <v>348</v>
      </c>
      <c r="AO521" s="6">
        <v>80.900000000000006</v>
      </c>
      <c r="AP521" s="6">
        <v>12</v>
      </c>
      <c r="AQ521" s="6" t="s">
        <v>4275</v>
      </c>
      <c r="AR521" s="6" t="s">
        <v>224</v>
      </c>
      <c r="AS521" s="6" t="s">
        <v>357</v>
      </c>
    </row>
    <row r="522" spans="1:45" x14ac:dyDescent="0.3">
      <c r="A522" s="7" t="s">
        <v>1865</v>
      </c>
      <c r="B522" s="7" t="s">
        <v>3334</v>
      </c>
      <c r="C522" s="7" t="s">
        <v>241</v>
      </c>
      <c r="D522" s="7" t="s">
        <v>253</v>
      </c>
      <c r="E522" s="7" t="s">
        <v>4325</v>
      </c>
      <c r="F522" s="7" t="s">
        <v>19</v>
      </c>
      <c r="G522" s="7" t="s">
        <v>57</v>
      </c>
      <c r="H522" s="7" t="s">
        <v>4271</v>
      </c>
      <c r="I522" s="7" t="s">
        <v>198</v>
      </c>
      <c r="J522" s="7" t="s">
        <v>115</v>
      </c>
      <c r="K522" s="7" t="s">
        <v>326</v>
      </c>
      <c r="L522" s="7" t="s">
        <v>1866</v>
      </c>
      <c r="M522" s="7" t="s">
        <v>3340</v>
      </c>
      <c r="N522" s="7" t="s">
        <v>4009</v>
      </c>
      <c r="O522" s="7" t="s">
        <v>4274</v>
      </c>
      <c r="P522" s="7">
        <v>18</v>
      </c>
      <c r="Q522" s="7">
        <v>418847</v>
      </c>
      <c r="R522" s="7">
        <v>0.25</v>
      </c>
      <c r="S522" s="7">
        <v>0.19</v>
      </c>
      <c r="T522" s="7">
        <v>373820.95</v>
      </c>
      <c r="U522" s="7">
        <v>231257.13</v>
      </c>
      <c r="V522" s="7">
        <v>0.21</v>
      </c>
      <c r="W522" s="7">
        <v>0.15</v>
      </c>
      <c r="X522" s="7" t="s">
        <v>1867</v>
      </c>
      <c r="Y522" s="7">
        <v>156899.97</v>
      </c>
      <c r="Z522" s="7">
        <v>134354.01</v>
      </c>
      <c r="AA522" s="7">
        <v>60</v>
      </c>
      <c r="AB522" s="7">
        <v>170</v>
      </c>
      <c r="AC522" s="7" t="s">
        <v>342</v>
      </c>
      <c r="AD522" s="7" t="s">
        <v>455</v>
      </c>
      <c r="AE522" s="7">
        <v>0.98</v>
      </c>
      <c r="AF522" s="7" t="s">
        <v>152</v>
      </c>
      <c r="AG522" s="7">
        <v>0.15</v>
      </c>
      <c r="AH522" s="7">
        <v>0.06</v>
      </c>
      <c r="AI522" s="7">
        <v>8</v>
      </c>
      <c r="AJ522" s="7">
        <v>1085</v>
      </c>
      <c r="AK522" s="7">
        <v>46124.82</v>
      </c>
      <c r="AL522" s="7">
        <v>73459.17</v>
      </c>
      <c r="AM522" s="7" t="s">
        <v>321</v>
      </c>
      <c r="AN522" s="7" t="s">
        <v>386</v>
      </c>
      <c r="AO522" s="7">
        <v>75.900000000000006</v>
      </c>
      <c r="AP522" s="7" t="s">
        <v>4275</v>
      </c>
      <c r="AQ522" s="7"/>
      <c r="AR522" s="7" t="s">
        <v>206</v>
      </c>
      <c r="AS522" s="7" t="s">
        <v>188</v>
      </c>
    </row>
    <row r="523" spans="1:45" x14ac:dyDescent="0.3">
      <c r="A523" s="6" t="s">
        <v>1868</v>
      </c>
      <c r="B523" s="6" t="s">
        <v>5077</v>
      </c>
      <c r="C523" s="6" t="s">
        <v>256</v>
      </c>
      <c r="D523" s="6" t="s">
        <v>245</v>
      </c>
      <c r="E523" s="6" t="s">
        <v>41</v>
      </c>
      <c r="F523" s="6" t="s">
        <v>363</v>
      </c>
      <c r="G523" s="6" t="s">
        <v>16</v>
      </c>
      <c r="H523" s="6" t="s">
        <v>4340</v>
      </c>
      <c r="I523" s="6" t="s">
        <v>4291</v>
      </c>
      <c r="J523" s="6" t="s">
        <v>130</v>
      </c>
      <c r="K523" s="6" t="s">
        <v>326</v>
      </c>
      <c r="L523" s="6" t="s">
        <v>1869</v>
      </c>
      <c r="M523" s="6" t="s">
        <v>4437</v>
      </c>
      <c r="N523" s="6" t="s">
        <v>4992</v>
      </c>
      <c r="O523" s="6" t="s">
        <v>4274</v>
      </c>
      <c r="P523" s="6">
        <v>13</v>
      </c>
      <c r="Q523" s="6">
        <v>42863770</v>
      </c>
      <c r="R523" s="6">
        <v>0.23</v>
      </c>
      <c r="S523" s="6">
        <v>0.02</v>
      </c>
      <c r="T523" s="6">
        <v>33665204.960000001</v>
      </c>
      <c r="U523" s="6">
        <v>25763732.18</v>
      </c>
      <c r="V523" s="6">
        <v>0.17</v>
      </c>
      <c r="W523" s="6">
        <v>0.06</v>
      </c>
      <c r="X523" s="6" t="s">
        <v>1870</v>
      </c>
      <c r="Y523" s="6">
        <v>14748154.76</v>
      </c>
      <c r="Z523" s="6">
        <v>14740341.369999999</v>
      </c>
      <c r="AA523" s="6">
        <v>90</v>
      </c>
      <c r="AB523" s="6">
        <v>49</v>
      </c>
      <c r="AC523" s="6" t="s">
        <v>329</v>
      </c>
      <c r="AD523" s="6" t="s">
        <v>406</v>
      </c>
      <c r="AE523" s="6">
        <v>0.86</v>
      </c>
      <c r="AF523" s="6" t="s">
        <v>159</v>
      </c>
      <c r="AG523" s="6">
        <v>0.05</v>
      </c>
      <c r="AH523" s="6">
        <v>0.02</v>
      </c>
      <c r="AI523" s="6">
        <v>2</v>
      </c>
      <c r="AJ523" s="6">
        <v>2599</v>
      </c>
      <c r="AK523" s="6">
        <v>5423267.04</v>
      </c>
      <c r="AL523" s="6">
        <v>15786859.810000001</v>
      </c>
      <c r="AM523" s="6" t="s">
        <v>391</v>
      </c>
      <c r="AN523" s="6" t="s">
        <v>322</v>
      </c>
      <c r="AO523" s="6">
        <v>76.2</v>
      </c>
      <c r="AP523" s="6">
        <v>36</v>
      </c>
      <c r="AQ523" s="6"/>
      <c r="AR523" s="6" t="s">
        <v>229</v>
      </c>
      <c r="AS523" s="6"/>
    </row>
    <row r="524" spans="1:45" x14ac:dyDescent="0.3">
      <c r="A524" s="7" t="s">
        <v>1871</v>
      </c>
      <c r="B524" s="7" t="s">
        <v>4010</v>
      </c>
      <c r="C524" s="7" t="s">
        <v>286</v>
      </c>
      <c r="D524" s="7" t="s">
        <v>281</v>
      </c>
      <c r="E524" s="7" t="s">
        <v>36</v>
      </c>
      <c r="F524" s="7"/>
      <c r="G524" s="7" t="s">
        <v>80</v>
      </c>
      <c r="H524" s="7" t="s">
        <v>182</v>
      </c>
      <c r="I524" s="7" t="s">
        <v>183</v>
      </c>
      <c r="J524" s="7" t="s">
        <v>115</v>
      </c>
      <c r="K524" s="7" t="s">
        <v>223</v>
      </c>
      <c r="L524" s="7" t="s">
        <v>1872</v>
      </c>
      <c r="M524" s="7" t="s">
        <v>5078</v>
      </c>
      <c r="N524" s="7"/>
      <c r="O524" s="7" t="s">
        <v>5053</v>
      </c>
      <c r="P524" s="7">
        <v>12</v>
      </c>
      <c r="Q524" s="7">
        <v>22234428</v>
      </c>
      <c r="R524" s="7">
        <v>0.06</v>
      </c>
      <c r="S524" s="7">
        <v>0.01</v>
      </c>
      <c r="T524" s="7">
        <v>21109365.940000001</v>
      </c>
      <c r="U524" s="7"/>
      <c r="V524" s="7">
        <v>0.22</v>
      </c>
      <c r="W524" s="7">
        <v>0.13</v>
      </c>
      <c r="X524" s="7" t="s">
        <v>1873</v>
      </c>
      <c r="Y524" s="7">
        <v>13074539.92</v>
      </c>
      <c r="Z524" s="7">
        <v>12705681.85</v>
      </c>
      <c r="AA524" s="7">
        <v>45</v>
      </c>
      <c r="AB524" s="7">
        <v>158</v>
      </c>
      <c r="AC524" s="7" t="s">
        <v>342</v>
      </c>
      <c r="AD524" s="7" t="s">
        <v>226</v>
      </c>
      <c r="AE524" s="7">
        <v>0.56000000000000005</v>
      </c>
      <c r="AF524" s="7" t="s">
        <v>4303</v>
      </c>
      <c r="AG524" s="7">
        <v>0.1</v>
      </c>
      <c r="AH524" s="7">
        <v>0.02</v>
      </c>
      <c r="AI524" s="7">
        <v>5</v>
      </c>
      <c r="AJ524" s="7">
        <v>4408</v>
      </c>
      <c r="AK524" s="7">
        <v>1499372.37</v>
      </c>
      <c r="AL524" s="7">
        <v>5040568.1399999997</v>
      </c>
      <c r="AM524" s="7" t="s">
        <v>391</v>
      </c>
      <c r="AN524" s="7"/>
      <c r="AO524" s="7">
        <v>98.5</v>
      </c>
      <c r="AP524" s="7">
        <v>36</v>
      </c>
      <c r="AQ524" s="7" t="s">
        <v>392</v>
      </c>
      <c r="AR524" s="7" t="s">
        <v>229</v>
      </c>
      <c r="AS524" s="7" t="s">
        <v>357</v>
      </c>
    </row>
    <row r="525" spans="1:45" x14ac:dyDescent="0.3">
      <c r="A525" s="6" t="s">
        <v>1874</v>
      </c>
      <c r="B525" s="6" t="s">
        <v>3867</v>
      </c>
      <c r="C525" s="6" t="s">
        <v>189</v>
      </c>
      <c r="D525" s="6" t="s">
        <v>242</v>
      </c>
      <c r="E525" s="6"/>
      <c r="F525" s="6" t="s">
        <v>35</v>
      </c>
      <c r="G525" s="6" t="s">
        <v>70</v>
      </c>
      <c r="H525" s="6" t="s">
        <v>4326</v>
      </c>
      <c r="I525" s="6" t="s">
        <v>4372</v>
      </c>
      <c r="J525" s="6" t="s">
        <v>99</v>
      </c>
      <c r="K525" s="6" t="s">
        <v>223</v>
      </c>
      <c r="L525" s="6" t="s">
        <v>1875</v>
      </c>
      <c r="M525" s="6" t="s">
        <v>4736</v>
      </c>
      <c r="N525" s="6"/>
      <c r="O525" s="6" t="s">
        <v>5079</v>
      </c>
      <c r="P525" s="6">
        <v>53</v>
      </c>
      <c r="Q525" s="6">
        <v>43439359</v>
      </c>
      <c r="R525" s="6">
        <v>0.25</v>
      </c>
      <c r="S525" s="6">
        <v>-0.04</v>
      </c>
      <c r="T525" s="6">
        <v>31276338.48</v>
      </c>
      <c r="U525" s="6">
        <v>27355875.18</v>
      </c>
      <c r="V525" s="6">
        <v>0.06</v>
      </c>
      <c r="W525" s="6">
        <v>7.0000000000000007E-2</v>
      </c>
      <c r="X525" s="6" t="s">
        <v>1876</v>
      </c>
      <c r="Y525" s="6">
        <v>8334709.7300000004</v>
      </c>
      <c r="Z525" s="6">
        <v>3920417.66</v>
      </c>
      <c r="AA525" s="6">
        <v>120</v>
      </c>
      <c r="AB525" s="6">
        <v>92</v>
      </c>
      <c r="AC525" s="6" t="s">
        <v>342</v>
      </c>
      <c r="AD525" s="6" t="s">
        <v>381</v>
      </c>
      <c r="AE525" s="6">
        <v>0.71</v>
      </c>
      <c r="AF525" s="6" t="s">
        <v>159</v>
      </c>
      <c r="AG525" s="6">
        <v>0.1</v>
      </c>
      <c r="AH525" s="6">
        <v>0.03</v>
      </c>
      <c r="AI525" s="6">
        <v>4</v>
      </c>
      <c r="AJ525" s="6">
        <v>2348</v>
      </c>
      <c r="AK525" s="6">
        <v>5264821.04</v>
      </c>
      <c r="AL525" s="6">
        <v>8018930.04</v>
      </c>
      <c r="AM525" s="6"/>
      <c r="AN525" s="6" t="s">
        <v>330</v>
      </c>
      <c r="AO525" s="6">
        <v>77.900000000000006</v>
      </c>
      <c r="AP525" s="6">
        <v>36</v>
      </c>
      <c r="AQ525" s="6" t="s">
        <v>337</v>
      </c>
      <c r="AR525" s="6" t="s">
        <v>229</v>
      </c>
      <c r="AS525" s="6" t="s">
        <v>324</v>
      </c>
    </row>
    <row r="526" spans="1:45" x14ac:dyDescent="0.3">
      <c r="A526" s="7" t="s">
        <v>1877</v>
      </c>
      <c r="B526" s="7" t="s">
        <v>3867</v>
      </c>
      <c r="C526" s="7" t="s">
        <v>271</v>
      </c>
      <c r="D526" s="7" t="s">
        <v>215</v>
      </c>
      <c r="E526" s="7" t="s">
        <v>4306</v>
      </c>
      <c r="F526" s="7" t="s">
        <v>75</v>
      </c>
      <c r="G526" s="7" t="s">
        <v>16</v>
      </c>
      <c r="H526" s="7" t="s">
        <v>4326</v>
      </c>
      <c r="I526" s="7"/>
      <c r="J526" s="7" t="s">
        <v>133</v>
      </c>
      <c r="K526" s="7" t="s">
        <v>333</v>
      </c>
      <c r="L526" s="7" t="s">
        <v>1878</v>
      </c>
      <c r="M526" s="7" t="s">
        <v>5014</v>
      </c>
      <c r="N526" s="7" t="s">
        <v>5080</v>
      </c>
      <c r="O526" s="7" t="s">
        <v>3575</v>
      </c>
      <c r="P526" s="7">
        <v>6</v>
      </c>
      <c r="Q526" s="7">
        <v>15518544</v>
      </c>
      <c r="R526" s="7">
        <v>0.08</v>
      </c>
      <c r="S526" s="7">
        <v>0.13</v>
      </c>
      <c r="T526" s="7">
        <v>16133078.34</v>
      </c>
      <c r="U526" s="7">
        <v>14303015.51</v>
      </c>
      <c r="V526" s="7">
        <v>0.06</v>
      </c>
      <c r="W526" s="7">
        <v>7.0000000000000007E-2</v>
      </c>
      <c r="X526" s="7" t="s">
        <v>1879</v>
      </c>
      <c r="Y526" s="7">
        <v>9358148.9900000002</v>
      </c>
      <c r="Z526" s="7">
        <v>3335641.9</v>
      </c>
      <c r="AA526" s="7">
        <v>45</v>
      </c>
      <c r="AB526" s="7">
        <v>73</v>
      </c>
      <c r="AC526" s="7" t="s">
        <v>347</v>
      </c>
      <c r="AD526" s="7" t="s">
        <v>336</v>
      </c>
      <c r="AE526" s="7">
        <v>0.56000000000000005</v>
      </c>
      <c r="AF526" s="7" t="s">
        <v>4303</v>
      </c>
      <c r="AG526" s="7">
        <v>0.1</v>
      </c>
      <c r="AH526" s="7">
        <v>0.04</v>
      </c>
      <c r="AI526" s="7">
        <v>14</v>
      </c>
      <c r="AJ526" s="7">
        <v>2925</v>
      </c>
      <c r="AK526" s="7">
        <v>2640137.84</v>
      </c>
      <c r="AL526" s="7">
        <v>7341295.1699999999</v>
      </c>
      <c r="AM526" s="7" t="s">
        <v>73</v>
      </c>
      <c r="AN526" s="7" t="s">
        <v>356</v>
      </c>
      <c r="AO526" s="7">
        <v>74.900000000000006</v>
      </c>
      <c r="AP526" s="7">
        <v>12</v>
      </c>
      <c r="AQ526" s="7" t="s">
        <v>323</v>
      </c>
      <c r="AR526" s="7" t="s">
        <v>229</v>
      </c>
      <c r="AS526" s="7" t="s">
        <v>361</v>
      </c>
    </row>
    <row r="527" spans="1:45" x14ac:dyDescent="0.3">
      <c r="A527" s="6" t="s">
        <v>1880</v>
      </c>
      <c r="B527" s="6" t="s">
        <v>4534</v>
      </c>
      <c r="C527" s="6" t="s">
        <v>249</v>
      </c>
      <c r="D527" s="6" t="s">
        <v>232</v>
      </c>
      <c r="E527" s="6" t="s">
        <v>4376</v>
      </c>
      <c r="F527" s="6" t="s">
        <v>196</v>
      </c>
      <c r="G527" s="6" t="s">
        <v>50</v>
      </c>
      <c r="H527" s="6" t="s">
        <v>4326</v>
      </c>
      <c r="I527" s="6" t="s">
        <v>4307</v>
      </c>
      <c r="J527" s="6" t="s">
        <v>136</v>
      </c>
      <c r="K527" s="6" t="s">
        <v>184</v>
      </c>
      <c r="L527" s="6" t="s">
        <v>1881</v>
      </c>
      <c r="M527" s="6" t="s">
        <v>4423</v>
      </c>
      <c r="N527" s="6" t="s">
        <v>3745</v>
      </c>
      <c r="O527" s="6" t="s">
        <v>4274</v>
      </c>
      <c r="P527" s="6">
        <v>8</v>
      </c>
      <c r="Q527" s="6">
        <v>13469245</v>
      </c>
      <c r="R527" s="6">
        <v>0.12</v>
      </c>
      <c r="S527" s="6">
        <v>0.06</v>
      </c>
      <c r="T527" s="6">
        <v>12564111.74</v>
      </c>
      <c r="U527" s="6">
        <v>8670603.4499999993</v>
      </c>
      <c r="V527" s="6">
        <v>0.36</v>
      </c>
      <c r="W527" s="6">
        <v>0.18</v>
      </c>
      <c r="X527" s="6" t="s">
        <v>1882</v>
      </c>
      <c r="Y527" s="6">
        <v>2009068.7</v>
      </c>
      <c r="Z527" s="6">
        <v>1656978.65</v>
      </c>
      <c r="AA527" s="6">
        <v>90</v>
      </c>
      <c r="AB527" s="6">
        <v>43</v>
      </c>
      <c r="AC527" s="6" t="s">
        <v>329</v>
      </c>
      <c r="AD527" s="6" t="s">
        <v>455</v>
      </c>
      <c r="AE527" s="6">
        <v>0.53</v>
      </c>
      <c r="AF527" s="6" t="s">
        <v>4276</v>
      </c>
      <c r="AG527" s="6">
        <v>0.1</v>
      </c>
      <c r="AH527" s="6">
        <v>0.02</v>
      </c>
      <c r="AI527" s="6">
        <v>10</v>
      </c>
      <c r="AJ527" s="6">
        <v>3016</v>
      </c>
      <c r="AK527" s="6">
        <v>2947497.56</v>
      </c>
      <c r="AL527" s="6">
        <v>5750443.5499999998</v>
      </c>
      <c r="AM527" s="6" t="s">
        <v>343</v>
      </c>
      <c r="AN527" s="6" t="s">
        <v>321</v>
      </c>
      <c r="AO527" s="6">
        <v>81.2</v>
      </c>
      <c r="AP527" s="6">
        <v>60</v>
      </c>
      <c r="AQ527" s="6" t="s">
        <v>387</v>
      </c>
      <c r="AR527" s="6" t="s">
        <v>192</v>
      </c>
      <c r="AS527" s="6" t="s">
        <v>188</v>
      </c>
    </row>
    <row r="528" spans="1:45" x14ac:dyDescent="0.3">
      <c r="A528" s="7" t="s">
        <v>1883</v>
      </c>
      <c r="B528" s="7" t="s">
        <v>4601</v>
      </c>
      <c r="C528" s="7" t="s">
        <v>282</v>
      </c>
      <c r="D528" s="7"/>
      <c r="E528" s="7"/>
      <c r="F528" s="7" t="s">
        <v>181</v>
      </c>
      <c r="G528" s="7" t="s">
        <v>28</v>
      </c>
      <c r="H528" s="7" t="s">
        <v>4340</v>
      </c>
      <c r="I528" s="7" t="s">
        <v>4372</v>
      </c>
      <c r="J528" s="7" t="s">
        <v>99</v>
      </c>
      <c r="K528" s="7" t="s">
        <v>221</v>
      </c>
      <c r="L528" s="7" t="s">
        <v>1884</v>
      </c>
      <c r="M528" s="7" t="s">
        <v>3681</v>
      </c>
      <c r="N528" s="7" t="s">
        <v>5081</v>
      </c>
      <c r="O528" s="7" t="s">
        <v>4640</v>
      </c>
      <c r="P528" s="7">
        <v>14</v>
      </c>
      <c r="Q528" s="7">
        <v>42421698</v>
      </c>
      <c r="R528" s="7">
        <v>0.25</v>
      </c>
      <c r="S528" s="7">
        <v>-0.03</v>
      </c>
      <c r="T528" s="7">
        <v>30861785.289999999</v>
      </c>
      <c r="U528" s="7">
        <v>27763277.48</v>
      </c>
      <c r="V528" s="7">
        <v>0.15</v>
      </c>
      <c r="W528" s="7">
        <v>0.18</v>
      </c>
      <c r="X528" s="7" t="s">
        <v>1885</v>
      </c>
      <c r="Y528" s="7">
        <v>23374596.68</v>
      </c>
      <c r="Z528" s="7">
        <v>14010936.49</v>
      </c>
      <c r="AA528" s="7">
        <v>60</v>
      </c>
      <c r="AB528" s="7">
        <v>76</v>
      </c>
      <c r="AC528" s="7" t="s">
        <v>376</v>
      </c>
      <c r="AD528" s="7" t="s">
        <v>406</v>
      </c>
      <c r="AE528" s="7">
        <v>0.35</v>
      </c>
      <c r="AF528" s="7" t="s">
        <v>4303</v>
      </c>
      <c r="AG528" s="7">
        <v>0.05</v>
      </c>
      <c r="AH528" s="7">
        <v>0.08</v>
      </c>
      <c r="AI528" s="7">
        <v>1</v>
      </c>
      <c r="AJ528" s="7">
        <v>735</v>
      </c>
      <c r="AK528" s="7">
        <v>7013988.6100000003</v>
      </c>
      <c r="AL528" s="7">
        <v>13337884.58</v>
      </c>
      <c r="AM528" s="7" t="s">
        <v>343</v>
      </c>
      <c r="AN528" s="7"/>
      <c r="AO528" s="7"/>
      <c r="AP528" s="7">
        <v>48</v>
      </c>
      <c r="AQ528" s="7" t="s">
        <v>323</v>
      </c>
      <c r="AR528" s="7" t="s">
        <v>229</v>
      </c>
      <c r="AS528" s="7" t="s">
        <v>188</v>
      </c>
    </row>
    <row r="529" spans="1:45" x14ac:dyDescent="0.3">
      <c r="A529" s="6" t="s">
        <v>1886</v>
      </c>
      <c r="B529" s="6" t="s">
        <v>4528</v>
      </c>
      <c r="C529" s="6" t="s">
        <v>261</v>
      </c>
      <c r="D529" s="6" t="s">
        <v>190</v>
      </c>
      <c r="E529" s="6"/>
      <c r="F529" s="6" t="s">
        <v>228</v>
      </c>
      <c r="G529" s="6" t="s">
        <v>73</v>
      </c>
      <c r="H529" s="6" t="s">
        <v>212</v>
      </c>
      <c r="I529" s="6" t="s">
        <v>4272</v>
      </c>
      <c r="J529" s="6" t="s">
        <v>99</v>
      </c>
      <c r="K529" s="6" t="s">
        <v>333</v>
      </c>
      <c r="L529" s="6" t="s">
        <v>1887</v>
      </c>
      <c r="M529" s="6" t="s">
        <v>4012</v>
      </c>
      <c r="N529" s="6"/>
      <c r="O529" s="6" t="s">
        <v>3652</v>
      </c>
      <c r="P529" s="6">
        <v>10</v>
      </c>
      <c r="Q529" s="6">
        <v>17170533</v>
      </c>
      <c r="R529" s="6">
        <v>0.04</v>
      </c>
      <c r="S529" s="6">
        <v>0.15</v>
      </c>
      <c r="T529" s="6">
        <v>18956268.43</v>
      </c>
      <c r="U529" s="6">
        <v>15771267.1</v>
      </c>
      <c r="V529" s="6">
        <v>0.36</v>
      </c>
      <c r="W529" s="6">
        <v>0.16</v>
      </c>
      <c r="X529" s="6" t="s">
        <v>1888</v>
      </c>
      <c r="Y529" s="6">
        <v>11508286.49</v>
      </c>
      <c r="Z529" s="6">
        <v>11777465.880000001</v>
      </c>
      <c r="AA529" s="6">
        <v>60</v>
      </c>
      <c r="AB529" s="6">
        <v>78</v>
      </c>
      <c r="AC529" s="6"/>
      <c r="AD529" s="6" t="s">
        <v>226</v>
      </c>
      <c r="AE529" s="6">
        <v>0.43</v>
      </c>
      <c r="AF529" s="6"/>
      <c r="AG529" s="6">
        <v>0.05</v>
      </c>
      <c r="AH529" s="6">
        <v>0.06</v>
      </c>
      <c r="AI529" s="6">
        <v>2</v>
      </c>
      <c r="AJ529" s="6">
        <v>2511</v>
      </c>
      <c r="AK529" s="6">
        <v>1088754.53</v>
      </c>
      <c r="AL529" s="6">
        <v>6462888.3899999997</v>
      </c>
      <c r="AM529" s="6" t="s">
        <v>321</v>
      </c>
      <c r="AN529" s="6" t="s">
        <v>348</v>
      </c>
      <c r="AO529" s="6"/>
      <c r="AP529" s="6">
        <v>60</v>
      </c>
      <c r="AQ529" s="6"/>
      <c r="AR529" s="6" t="s">
        <v>186</v>
      </c>
      <c r="AS529" s="6" t="s">
        <v>377</v>
      </c>
    </row>
    <row r="530" spans="1:45" x14ac:dyDescent="0.3">
      <c r="A530" s="7" t="s">
        <v>1889</v>
      </c>
      <c r="B530" s="7" t="s">
        <v>4013</v>
      </c>
      <c r="C530" s="7" t="s">
        <v>275</v>
      </c>
      <c r="D530" s="7" t="s">
        <v>248</v>
      </c>
      <c r="E530" s="7" t="s">
        <v>4376</v>
      </c>
      <c r="F530" s="7" t="s">
        <v>196</v>
      </c>
      <c r="G530" s="7" t="s">
        <v>70</v>
      </c>
      <c r="H530" s="7" t="s">
        <v>212</v>
      </c>
      <c r="I530" s="7" t="s">
        <v>4272</v>
      </c>
      <c r="J530" s="7" t="s">
        <v>136</v>
      </c>
      <c r="K530" s="7" t="s">
        <v>210</v>
      </c>
      <c r="L530" s="7" t="s">
        <v>1890</v>
      </c>
      <c r="M530" s="7" t="s">
        <v>3501</v>
      </c>
      <c r="N530" s="7"/>
      <c r="O530" s="7" t="s">
        <v>3708</v>
      </c>
      <c r="P530" s="7">
        <v>59</v>
      </c>
      <c r="Q530" s="7">
        <v>12833640</v>
      </c>
      <c r="R530" s="7">
        <v>0.05</v>
      </c>
      <c r="S530" s="7">
        <v>0.09</v>
      </c>
      <c r="T530" s="7">
        <v>13289234.220000001</v>
      </c>
      <c r="U530" s="7">
        <v>11014364.41</v>
      </c>
      <c r="V530" s="7">
        <v>0.16</v>
      </c>
      <c r="W530" s="7">
        <v>0.18</v>
      </c>
      <c r="X530" s="7" t="s">
        <v>1891</v>
      </c>
      <c r="Y530" s="7">
        <v>8301589.6299999999</v>
      </c>
      <c r="Z530" s="7">
        <v>8260809.7199999997</v>
      </c>
      <c r="AA530" s="7">
        <v>30</v>
      </c>
      <c r="AB530" s="7">
        <v>132</v>
      </c>
      <c r="AC530" s="7" t="s">
        <v>353</v>
      </c>
      <c r="AD530" s="7" t="s">
        <v>226</v>
      </c>
      <c r="AE530" s="7">
        <v>0.19</v>
      </c>
      <c r="AF530" s="7" t="s">
        <v>162</v>
      </c>
      <c r="AG530" s="7">
        <v>0.15</v>
      </c>
      <c r="AH530" s="7">
        <v>0.03</v>
      </c>
      <c r="AI530" s="7">
        <v>10</v>
      </c>
      <c r="AJ530" s="7">
        <v>2049</v>
      </c>
      <c r="AK530" s="7">
        <v>2707986.99</v>
      </c>
      <c r="AL530" s="7">
        <v>3613913.31</v>
      </c>
      <c r="AM530" s="7"/>
      <c r="AN530" s="7" t="s">
        <v>321</v>
      </c>
      <c r="AO530" s="7">
        <v>60.3</v>
      </c>
      <c r="AP530" s="7">
        <v>12</v>
      </c>
      <c r="AQ530" s="7" t="s">
        <v>387</v>
      </c>
      <c r="AR530" s="7" t="s">
        <v>229</v>
      </c>
      <c r="AS530" s="7" t="s">
        <v>361</v>
      </c>
    </row>
    <row r="531" spans="1:45" x14ac:dyDescent="0.3">
      <c r="A531" s="6" t="s">
        <v>1892</v>
      </c>
      <c r="B531" s="6" t="s">
        <v>3373</v>
      </c>
      <c r="C531" s="6" t="s">
        <v>244</v>
      </c>
      <c r="D531" s="6" t="s">
        <v>562</v>
      </c>
      <c r="E531" s="6" t="s">
        <v>41</v>
      </c>
      <c r="F531" s="6"/>
      <c r="G531" s="6" t="s">
        <v>78</v>
      </c>
      <c r="H531" s="6" t="s">
        <v>216</v>
      </c>
      <c r="I531" s="6" t="s">
        <v>4372</v>
      </c>
      <c r="J531" s="6" t="s">
        <v>105</v>
      </c>
      <c r="K531" s="6" t="s">
        <v>221</v>
      </c>
      <c r="L531" s="6" t="s">
        <v>1893</v>
      </c>
      <c r="M531" s="6" t="s">
        <v>4014</v>
      </c>
      <c r="N531" s="6" t="s">
        <v>5082</v>
      </c>
      <c r="O531" s="6" t="s">
        <v>4683</v>
      </c>
      <c r="P531" s="6" t="s">
        <v>4275</v>
      </c>
      <c r="Q531" s="6">
        <v>23470162</v>
      </c>
      <c r="R531" s="6">
        <v>0.27</v>
      </c>
      <c r="S531" s="6">
        <v>-0.01</v>
      </c>
      <c r="T531" s="6">
        <v>16961886.079999998</v>
      </c>
      <c r="U531" s="6">
        <v>11606689.970000001</v>
      </c>
      <c r="V531" s="6">
        <v>0.35</v>
      </c>
      <c r="W531" s="6">
        <v>0.2</v>
      </c>
      <c r="X531" s="6" t="s">
        <v>1894</v>
      </c>
      <c r="Y531" s="6">
        <v>11048350.07</v>
      </c>
      <c r="Z531" s="6">
        <v>9086329.1799999997</v>
      </c>
      <c r="AA531" s="6">
        <v>45</v>
      </c>
      <c r="AB531" s="6">
        <v>58</v>
      </c>
      <c r="AC531" s="6" t="s">
        <v>347</v>
      </c>
      <c r="AD531" s="6" t="s">
        <v>320</v>
      </c>
      <c r="AE531" s="6">
        <v>0.12</v>
      </c>
      <c r="AF531" s="6" t="s">
        <v>4294</v>
      </c>
      <c r="AG531" s="6">
        <v>0.1</v>
      </c>
      <c r="AH531" s="6">
        <v>0.08</v>
      </c>
      <c r="AI531" s="6">
        <v>6</v>
      </c>
      <c r="AJ531" s="6">
        <v>3788</v>
      </c>
      <c r="AK531" s="6"/>
      <c r="AL531" s="6">
        <v>6731761.8700000001</v>
      </c>
      <c r="AM531" s="6"/>
      <c r="AN531" s="6" t="s">
        <v>330</v>
      </c>
      <c r="AO531" s="6">
        <v>62.3</v>
      </c>
      <c r="AP531" s="6">
        <v>12</v>
      </c>
      <c r="AQ531" s="6" t="s">
        <v>337</v>
      </c>
      <c r="AR531" s="6" t="s">
        <v>229</v>
      </c>
      <c r="AS531" s="6" t="s">
        <v>188</v>
      </c>
    </row>
    <row r="532" spans="1:45" x14ac:dyDescent="0.3">
      <c r="A532" s="7" t="s">
        <v>1895</v>
      </c>
      <c r="B532" s="7" t="s">
        <v>5083</v>
      </c>
      <c r="C532" s="7" t="s">
        <v>267</v>
      </c>
      <c r="D532" s="7" t="s">
        <v>281</v>
      </c>
      <c r="E532" s="7" t="s">
        <v>4376</v>
      </c>
      <c r="F532" s="7"/>
      <c r="G532" s="7" t="s">
        <v>28</v>
      </c>
      <c r="H532" s="7" t="s">
        <v>216</v>
      </c>
      <c r="I532" s="7" t="s">
        <v>246</v>
      </c>
      <c r="J532" s="7" t="s">
        <v>136</v>
      </c>
      <c r="K532" s="7" t="s">
        <v>223</v>
      </c>
      <c r="L532" s="7" t="s">
        <v>1896</v>
      </c>
      <c r="M532" s="7" t="s">
        <v>5084</v>
      </c>
      <c r="N532" s="7" t="s">
        <v>3445</v>
      </c>
      <c r="O532" s="7" t="s">
        <v>4016</v>
      </c>
      <c r="P532" s="7">
        <v>16</v>
      </c>
      <c r="Q532" s="7">
        <v>16953538</v>
      </c>
      <c r="R532" s="7">
        <v>7.0000000000000007E-2</v>
      </c>
      <c r="S532" s="7">
        <v>0.02</v>
      </c>
      <c r="T532" s="7">
        <v>16082126.15</v>
      </c>
      <c r="U532" s="7">
        <v>12155097.25</v>
      </c>
      <c r="V532" s="7">
        <v>0.31</v>
      </c>
      <c r="W532" s="7">
        <v>0.11</v>
      </c>
      <c r="X532" s="7" t="s">
        <v>1897</v>
      </c>
      <c r="Y532" s="7">
        <v>12346618.529999999</v>
      </c>
      <c r="Z532" s="7">
        <v>11596748.49</v>
      </c>
      <c r="AA532" s="7">
        <v>90</v>
      </c>
      <c r="AB532" s="7">
        <v>87</v>
      </c>
      <c r="AC532" s="7"/>
      <c r="AD532" s="7" t="s">
        <v>406</v>
      </c>
      <c r="AE532" s="7">
        <v>0.89</v>
      </c>
      <c r="AF532" s="7" t="s">
        <v>4276</v>
      </c>
      <c r="AG532" s="7">
        <v>0.1</v>
      </c>
      <c r="AH532" s="7">
        <v>0.04</v>
      </c>
      <c r="AI532" s="7">
        <v>6</v>
      </c>
      <c r="AJ532" s="7">
        <v>4618</v>
      </c>
      <c r="AK532" s="7">
        <v>1033710.2</v>
      </c>
      <c r="AL532" s="7">
        <v>5029775.54</v>
      </c>
      <c r="AM532" s="7" t="s">
        <v>343</v>
      </c>
      <c r="AN532" s="7" t="s">
        <v>348</v>
      </c>
      <c r="AO532" s="7">
        <v>60.3</v>
      </c>
      <c r="AP532" s="7" t="s">
        <v>4275</v>
      </c>
      <c r="AQ532" s="7" t="s">
        <v>387</v>
      </c>
      <c r="AR532" s="7" t="s">
        <v>229</v>
      </c>
      <c r="AS532" s="7" t="s">
        <v>361</v>
      </c>
    </row>
    <row r="533" spans="1:45" x14ac:dyDescent="0.3">
      <c r="A533" s="6" t="s">
        <v>1898</v>
      </c>
      <c r="B533" s="6" t="s">
        <v>5085</v>
      </c>
      <c r="C533" s="6" t="s">
        <v>237</v>
      </c>
      <c r="D533" s="6"/>
      <c r="E533" s="6" t="s">
        <v>41</v>
      </c>
      <c r="F533" s="6" t="s">
        <v>363</v>
      </c>
      <c r="G533" s="6" t="s">
        <v>46</v>
      </c>
      <c r="H533" s="6" t="s">
        <v>197</v>
      </c>
      <c r="I533" s="6" t="s">
        <v>191</v>
      </c>
      <c r="J533" s="6" t="s">
        <v>105</v>
      </c>
      <c r="K533" s="6" t="s">
        <v>199</v>
      </c>
      <c r="L533" s="6" t="s">
        <v>1899</v>
      </c>
      <c r="M533" s="6" t="s">
        <v>5086</v>
      </c>
      <c r="N533" s="6" t="s">
        <v>3385</v>
      </c>
      <c r="O533" s="6" t="s">
        <v>3605</v>
      </c>
      <c r="P533" s="6">
        <v>7</v>
      </c>
      <c r="Q533" s="6">
        <v>18552262</v>
      </c>
      <c r="R533" s="6">
        <v>0.19</v>
      </c>
      <c r="S533" s="6">
        <v>0.13</v>
      </c>
      <c r="T533" s="6">
        <v>16980885.41</v>
      </c>
      <c r="U533" s="6">
        <v>12130511.960000001</v>
      </c>
      <c r="V533" s="6">
        <v>0.19</v>
      </c>
      <c r="W533" s="6">
        <v>0.05</v>
      </c>
      <c r="X533" s="6" t="s">
        <v>1900</v>
      </c>
      <c r="Y533" s="6">
        <v>14470611.789999999</v>
      </c>
      <c r="Z533" s="6">
        <v>7417623.4299999997</v>
      </c>
      <c r="AA533" s="6">
        <v>90</v>
      </c>
      <c r="AB533" s="6">
        <v>60</v>
      </c>
      <c r="AC533" s="6" t="s">
        <v>329</v>
      </c>
      <c r="AD533" s="6" t="s">
        <v>226</v>
      </c>
      <c r="AE533" s="6">
        <v>0.51</v>
      </c>
      <c r="AF533" s="6" t="s">
        <v>4312</v>
      </c>
      <c r="AG533" s="6">
        <v>0.05</v>
      </c>
      <c r="AH533" s="6">
        <v>0.02</v>
      </c>
      <c r="AI533" s="6">
        <v>12</v>
      </c>
      <c r="AJ533" s="6">
        <v>191</v>
      </c>
      <c r="AK533" s="6">
        <v>1674143.4</v>
      </c>
      <c r="AL533" s="6">
        <v>3529398.11</v>
      </c>
      <c r="AM533" s="6" t="s">
        <v>343</v>
      </c>
      <c r="AN533" s="6" t="s">
        <v>322</v>
      </c>
      <c r="AO533" s="6">
        <v>53.8</v>
      </c>
      <c r="AP533" s="6">
        <v>36</v>
      </c>
      <c r="AQ533" s="6" t="s">
        <v>392</v>
      </c>
      <c r="AR533" s="6" t="s">
        <v>186</v>
      </c>
      <c r="AS533" s="6" t="s">
        <v>377</v>
      </c>
    </row>
    <row r="534" spans="1:45" x14ac:dyDescent="0.3">
      <c r="A534" s="7" t="s">
        <v>358</v>
      </c>
      <c r="B534" s="7" t="s">
        <v>4976</v>
      </c>
      <c r="C534" s="7" t="s">
        <v>272</v>
      </c>
      <c r="D534" s="7" t="s">
        <v>238</v>
      </c>
      <c r="E534" s="7"/>
      <c r="F534" s="7" t="s">
        <v>31</v>
      </c>
      <c r="G534" s="7" t="s">
        <v>66</v>
      </c>
      <c r="H534" s="7" t="s">
        <v>4280</v>
      </c>
      <c r="I534" s="7" t="s">
        <v>4289</v>
      </c>
      <c r="J534" s="7" t="s">
        <v>99</v>
      </c>
      <c r="K534" s="7" t="s">
        <v>221</v>
      </c>
      <c r="L534" s="7" t="s">
        <v>4017</v>
      </c>
      <c r="M534" s="7" t="s">
        <v>3964</v>
      </c>
      <c r="N534" s="7" t="s">
        <v>5087</v>
      </c>
      <c r="O534" s="7" t="s">
        <v>3832</v>
      </c>
      <c r="P534" s="7">
        <v>49</v>
      </c>
      <c r="Q534" s="7">
        <v>15733964</v>
      </c>
      <c r="R534" s="7">
        <v>0.18</v>
      </c>
      <c r="S534" s="7">
        <v>-0.03</v>
      </c>
      <c r="T534" s="7">
        <v>12514794.970000001</v>
      </c>
      <c r="U534" s="7">
        <v>9179680.0099999998</v>
      </c>
      <c r="V534" s="7">
        <v>0.12</v>
      </c>
      <c r="W534" s="7">
        <v>0.17</v>
      </c>
      <c r="X534" s="7" t="s">
        <v>4018</v>
      </c>
      <c r="Y534" s="7">
        <v>3465094.5</v>
      </c>
      <c r="Z534" s="7">
        <v>1115213.1200000001</v>
      </c>
      <c r="AA534" s="7">
        <v>60</v>
      </c>
      <c r="AB534" s="7">
        <v>174</v>
      </c>
      <c r="AC534" s="7"/>
      <c r="AD534" s="7" t="s">
        <v>455</v>
      </c>
      <c r="AE534" s="7">
        <v>0.31</v>
      </c>
      <c r="AF534" s="7" t="s">
        <v>4303</v>
      </c>
      <c r="AG534" s="7">
        <v>0.15</v>
      </c>
      <c r="AH534" s="7">
        <v>0.04</v>
      </c>
      <c r="AI534" s="7">
        <v>10</v>
      </c>
      <c r="AJ534" s="7">
        <v>3704</v>
      </c>
      <c r="AK534" s="7"/>
      <c r="AL534" s="7">
        <v>2221019.15</v>
      </c>
      <c r="AM534" s="7" t="s">
        <v>355</v>
      </c>
      <c r="AN534" s="7" t="s">
        <v>322</v>
      </c>
      <c r="AO534" s="7">
        <v>82.9</v>
      </c>
      <c r="AP534" s="7" t="s">
        <v>4275</v>
      </c>
      <c r="AQ534" s="7" t="s">
        <v>387</v>
      </c>
      <c r="AR534" s="7" t="s">
        <v>206</v>
      </c>
      <c r="AS534" s="7" t="s">
        <v>188</v>
      </c>
    </row>
    <row r="535" spans="1:45" x14ac:dyDescent="0.3">
      <c r="A535" s="6" t="s">
        <v>1901</v>
      </c>
      <c r="B535" s="6" t="s">
        <v>5088</v>
      </c>
      <c r="C535" s="6" t="s">
        <v>270</v>
      </c>
      <c r="D535" s="6" t="s">
        <v>202</v>
      </c>
      <c r="E535" s="6" t="s">
        <v>20</v>
      </c>
      <c r="F535" s="6" t="s">
        <v>196</v>
      </c>
      <c r="G535" s="6" t="s">
        <v>54</v>
      </c>
      <c r="H535" s="6" t="s">
        <v>212</v>
      </c>
      <c r="I535" s="6" t="s">
        <v>246</v>
      </c>
      <c r="J535" s="6" t="s">
        <v>136</v>
      </c>
      <c r="K535" s="6" t="s">
        <v>204</v>
      </c>
      <c r="L535" s="6" t="s">
        <v>1902</v>
      </c>
      <c r="M535" s="6" t="s">
        <v>4336</v>
      </c>
      <c r="N535" s="6"/>
      <c r="O535" s="6" t="s">
        <v>4019</v>
      </c>
      <c r="P535" s="6">
        <v>21</v>
      </c>
      <c r="Q535" s="6">
        <v>4873004</v>
      </c>
      <c r="R535" s="6">
        <v>7.0000000000000007E-2</v>
      </c>
      <c r="S535" s="6">
        <v>0.15</v>
      </c>
      <c r="T535" s="6">
        <v>5211677.78</v>
      </c>
      <c r="U535" s="6">
        <v>3259190.74</v>
      </c>
      <c r="V535" s="6">
        <v>0.28999999999999998</v>
      </c>
      <c r="W535" s="6">
        <v>0.18</v>
      </c>
      <c r="X535" s="6" t="s">
        <v>1903</v>
      </c>
      <c r="Y535" s="6">
        <v>3763418.18</v>
      </c>
      <c r="Z535" s="6">
        <v>3706613.26</v>
      </c>
      <c r="AA535" s="6">
        <v>30</v>
      </c>
      <c r="AB535" s="6">
        <v>62</v>
      </c>
      <c r="AC535" s="6"/>
      <c r="AD535" s="6" t="s">
        <v>320</v>
      </c>
      <c r="AE535" s="6">
        <v>0.31</v>
      </c>
      <c r="AF535" s="6" t="s">
        <v>153</v>
      </c>
      <c r="AG535" s="6">
        <v>0.15</v>
      </c>
      <c r="AH535" s="6">
        <v>7.0000000000000007E-2</v>
      </c>
      <c r="AI535" s="6">
        <v>8</v>
      </c>
      <c r="AJ535" s="6">
        <v>73</v>
      </c>
      <c r="AK535" s="6">
        <v>238781.24</v>
      </c>
      <c r="AL535" s="6">
        <v>2069006.74</v>
      </c>
      <c r="AM535" s="6" t="s">
        <v>355</v>
      </c>
      <c r="AN535" s="6" t="s">
        <v>356</v>
      </c>
      <c r="AO535" s="6">
        <v>92.2</v>
      </c>
      <c r="AP535" s="6">
        <v>12</v>
      </c>
      <c r="AQ535" s="6" t="s">
        <v>337</v>
      </c>
      <c r="AR535" s="6" t="s">
        <v>186</v>
      </c>
      <c r="AS535" s="6" t="s">
        <v>361</v>
      </c>
    </row>
    <row r="536" spans="1:45" x14ac:dyDescent="0.3">
      <c r="A536" s="7" t="s">
        <v>1904</v>
      </c>
      <c r="B536" s="7" t="s">
        <v>4020</v>
      </c>
      <c r="C536" s="7" t="s">
        <v>219</v>
      </c>
      <c r="D536" s="7" t="s">
        <v>255</v>
      </c>
      <c r="E536" s="7" t="s">
        <v>4265</v>
      </c>
      <c r="F536" s="7" t="s">
        <v>363</v>
      </c>
      <c r="G536" s="7" t="s">
        <v>66</v>
      </c>
      <c r="H536" s="7" t="s">
        <v>212</v>
      </c>
      <c r="I536" s="7" t="s">
        <v>198</v>
      </c>
      <c r="J536" s="6" t="s">
        <v>130</v>
      </c>
      <c r="K536" s="7" t="s">
        <v>210</v>
      </c>
      <c r="L536" s="7" t="s">
        <v>1905</v>
      </c>
      <c r="M536" s="7" t="s">
        <v>5089</v>
      </c>
      <c r="N536" s="7" t="s">
        <v>5090</v>
      </c>
      <c r="O536" s="7" t="s">
        <v>4585</v>
      </c>
      <c r="P536" s="7">
        <v>48</v>
      </c>
      <c r="Q536" s="7">
        <v>21602643</v>
      </c>
      <c r="R536" s="7">
        <v>0.21</v>
      </c>
      <c r="S536" s="7">
        <v>0.01</v>
      </c>
      <c r="T536" s="7">
        <v>17236748.850000001</v>
      </c>
      <c r="U536" s="7">
        <v>14726085.199999999</v>
      </c>
      <c r="V536" s="7">
        <v>0.16</v>
      </c>
      <c r="W536" s="7">
        <v>0.1</v>
      </c>
      <c r="X536" s="7" t="s">
        <v>1906</v>
      </c>
      <c r="Y536" s="7">
        <v>10739084.23</v>
      </c>
      <c r="Z536" s="7">
        <v>10233184.720000001</v>
      </c>
      <c r="AA536" s="7">
        <v>45</v>
      </c>
      <c r="AB536" s="7">
        <v>142</v>
      </c>
      <c r="AC536" s="7" t="s">
        <v>376</v>
      </c>
      <c r="AD536" s="7" t="s">
        <v>406</v>
      </c>
      <c r="AE536" s="7">
        <v>0.26</v>
      </c>
      <c r="AF536" s="7" t="s">
        <v>153</v>
      </c>
      <c r="AG536" s="7">
        <v>0.05</v>
      </c>
      <c r="AH536" s="7">
        <v>0.05</v>
      </c>
      <c r="AI536" s="7">
        <v>15</v>
      </c>
      <c r="AJ536" s="7">
        <v>1394</v>
      </c>
      <c r="AK536" s="7">
        <v>3554664.14</v>
      </c>
      <c r="AL536" s="7">
        <v>7649291.79</v>
      </c>
      <c r="AM536" s="7" t="s">
        <v>385</v>
      </c>
      <c r="AN536" s="7" t="s">
        <v>322</v>
      </c>
      <c r="AO536" s="7">
        <v>94.3</v>
      </c>
      <c r="AP536" s="7">
        <v>60</v>
      </c>
      <c r="AQ536" s="7" t="s">
        <v>323</v>
      </c>
      <c r="AR536" s="7" t="s">
        <v>229</v>
      </c>
      <c r="AS536" s="7" t="s">
        <v>357</v>
      </c>
    </row>
    <row r="537" spans="1:45" x14ac:dyDescent="0.3">
      <c r="A537" s="6" t="s">
        <v>1907</v>
      </c>
      <c r="B537" s="6" t="s">
        <v>4760</v>
      </c>
      <c r="C537" s="6" t="s">
        <v>264</v>
      </c>
      <c r="D537" s="6" t="s">
        <v>265</v>
      </c>
      <c r="E537" s="6"/>
      <c r="F537" s="6" t="s">
        <v>350</v>
      </c>
      <c r="G537" s="6" t="s">
        <v>54</v>
      </c>
      <c r="H537" s="6" t="s">
        <v>182</v>
      </c>
      <c r="I537" s="6" t="s">
        <v>4372</v>
      </c>
      <c r="J537" s="6" t="s">
        <v>99</v>
      </c>
      <c r="K537" s="6" t="s">
        <v>326</v>
      </c>
      <c r="L537" s="6" t="s">
        <v>1908</v>
      </c>
      <c r="M537" s="6" t="s">
        <v>5091</v>
      </c>
      <c r="N537" s="6" t="s">
        <v>3788</v>
      </c>
      <c r="O537" s="6" t="s">
        <v>5092</v>
      </c>
      <c r="P537" s="6" t="s">
        <v>4275</v>
      </c>
      <c r="Q537" s="6">
        <v>42962686</v>
      </c>
      <c r="R537" s="6">
        <v>0.17</v>
      </c>
      <c r="S537" s="6">
        <v>0.13</v>
      </c>
      <c r="T537" s="6">
        <v>40294703.200000003</v>
      </c>
      <c r="U537" s="6">
        <v>28567826.699999999</v>
      </c>
      <c r="V537" s="6">
        <v>0.31</v>
      </c>
      <c r="W537" s="6">
        <v>0.1</v>
      </c>
      <c r="X537" s="6" t="s">
        <v>1909</v>
      </c>
      <c r="Y537" s="6">
        <v>5297861.41</v>
      </c>
      <c r="Z537" s="6">
        <v>1940236.23</v>
      </c>
      <c r="AA537" s="6">
        <v>120</v>
      </c>
      <c r="AB537" s="6">
        <v>144</v>
      </c>
      <c r="AC537" s="6" t="s">
        <v>376</v>
      </c>
      <c r="AD537" s="6" t="s">
        <v>354</v>
      </c>
      <c r="AE537" s="6">
        <v>0.17</v>
      </c>
      <c r="AF537" s="6" t="s">
        <v>4319</v>
      </c>
      <c r="AG537" s="6">
        <v>0.15</v>
      </c>
      <c r="AH537" s="6">
        <v>0.08</v>
      </c>
      <c r="AI537" s="6">
        <v>2</v>
      </c>
      <c r="AJ537" s="6">
        <v>2766</v>
      </c>
      <c r="AK537" s="6">
        <v>2517881.9700000002</v>
      </c>
      <c r="AL537" s="6">
        <v>15660327.17</v>
      </c>
      <c r="AM537" s="6" t="s">
        <v>73</v>
      </c>
      <c r="AN537" s="6" t="s">
        <v>330</v>
      </c>
      <c r="AO537" s="6">
        <v>86.6</v>
      </c>
      <c r="AP537" s="6">
        <v>36</v>
      </c>
      <c r="AQ537" s="6" t="s">
        <v>387</v>
      </c>
      <c r="AR537" s="6" t="s">
        <v>206</v>
      </c>
      <c r="AS537" s="6"/>
    </row>
    <row r="538" spans="1:45" x14ac:dyDescent="0.3">
      <c r="A538" s="7" t="s">
        <v>1910</v>
      </c>
      <c r="B538" s="7" t="s">
        <v>5002</v>
      </c>
      <c r="C538" s="7" t="s">
        <v>282</v>
      </c>
      <c r="D538" s="7" t="s">
        <v>248</v>
      </c>
      <c r="E538" s="7" t="s">
        <v>20</v>
      </c>
      <c r="F538" s="7" t="s">
        <v>31</v>
      </c>
      <c r="G538" s="7" t="s">
        <v>73</v>
      </c>
      <c r="H538" s="7" t="s">
        <v>236</v>
      </c>
      <c r="I538" s="7" t="s">
        <v>233</v>
      </c>
      <c r="J538" s="7" t="s">
        <v>136</v>
      </c>
      <c r="K538" s="7" t="s">
        <v>221</v>
      </c>
      <c r="L538" s="7" t="s">
        <v>1911</v>
      </c>
      <c r="M538" s="7" t="s">
        <v>5093</v>
      </c>
      <c r="N538" s="7" t="s">
        <v>4601</v>
      </c>
      <c r="O538" s="7" t="s">
        <v>3719</v>
      </c>
      <c r="P538" s="7">
        <v>52</v>
      </c>
      <c r="Q538" s="7" t="s">
        <v>4275</v>
      </c>
      <c r="R538" s="7">
        <v>0.23</v>
      </c>
      <c r="S538" s="7">
        <v>0.04</v>
      </c>
      <c r="T538" s="7">
        <v>6662774.5199999996</v>
      </c>
      <c r="U538" s="7">
        <v>5654913.7400000002</v>
      </c>
      <c r="V538" s="7">
        <v>0.4</v>
      </c>
      <c r="W538" s="7">
        <v>0.12</v>
      </c>
      <c r="X538" s="7" t="s">
        <v>1912</v>
      </c>
      <c r="Y538" s="7">
        <v>1310531.69</v>
      </c>
      <c r="Z538" s="7">
        <v>1369685.39</v>
      </c>
      <c r="AA538" s="7">
        <v>45</v>
      </c>
      <c r="AB538" s="7">
        <v>23</v>
      </c>
      <c r="AC538" s="7" t="s">
        <v>376</v>
      </c>
      <c r="AD538" s="7" t="s">
        <v>320</v>
      </c>
      <c r="AE538" s="7">
        <v>0.76</v>
      </c>
      <c r="AF538" s="7" t="s">
        <v>4294</v>
      </c>
      <c r="AG538" s="7">
        <v>0.15</v>
      </c>
      <c r="AH538" s="7">
        <v>0.08</v>
      </c>
      <c r="AI538" s="7">
        <v>0</v>
      </c>
      <c r="AJ538" s="7">
        <v>4002</v>
      </c>
      <c r="AK538" s="7">
        <v>226382.89</v>
      </c>
      <c r="AL538" s="7">
        <v>2669944.9900000002</v>
      </c>
      <c r="AM538" s="7" t="s">
        <v>321</v>
      </c>
      <c r="AN538" s="7"/>
      <c r="AO538" s="7">
        <v>79.7</v>
      </c>
      <c r="AP538" s="7">
        <v>48</v>
      </c>
      <c r="AQ538" s="7" t="s">
        <v>387</v>
      </c>
      <c r="AR538" s="7" t="s">
        <v>206</v>
      </c>
      <c r="AS538" s="7"/>
    </row>
    <row r="539" spans="1:45" x14ac:dyDescent="0.3">
      <c r="A539" s="6" t="s">
        <v>1913</v>
      </c>
      <c r="B539" s="6" t="s">
        <v>4824</v>
      </c>
      <c r="C539" s="6" t="s">
        <v>219</v>
      </c>
      <c r="D539" s="6" t="s">
        <v>242</v>
      </c>
      <c r="E539" s="6" t="s">
        <v>4306</v>
      </c>
      <c r="F539" s="6" t="s">
        <v>75</v>
      </c>
      <c r="G539" s="6" t="s">
        <v>16</v>
      </c>
      <c r="H539" s="6" t="s">
        <v>212</v>
      </c>
      <c r="I539" s="6" t="s">
        <v>246</v>
      </c>
      <c r="J539" s="7" t="s">
        <v>119</v>
      </c>
      <c r="K539" s="6" t="s">
        <v>204</v>
      </c>
      <c r="L539" s="6" t="s">
        <v>1914</v>
      </c>
      <c r="M539" s="6" t="s">
        <v>3415</v>
      </c>
      <c r="N539" s="6" t="s">
        <v>4642</v>
      </c>
      <c r="O539" s="6" t="s">
        <v>5094</v>
      </c>
      <c r="P539" s="6" t="s">
        <v>4275</v>
      </c>
      <c r="Q539" s="6">
        <v>18518198</v>
      </c>
      <c r="R539" s="6">
        <v>0.18</v>
      </c>
      <c r="S539" s="6">
        <v>0.1</v>
      </c>
      <c r="T539" s="6">
        <v>16703414.6</v>
      </c>
      <c r="U539" s="6">
        <v>10224284.550000001</v>
      </c>
      <c r="V539" s="6">
        <v>0.32</v>
      </c>
      <c r="W539" s="6">
        <v>0.16</v>
      </c>
      <c r="X539" s="6" t="s">
        <v>1915</v>
      </c>
      <c r="Y539" s="6">
        <v>10381649.1</v>
      </c>
      <c r="Z539" s="6">
        <v>8858158.9800000004</v>
      </c>
      <c r="AA539" s="6">
        <v>90</v>
      </c>
      <c r="AB539" s="6">
        <v>78</v>
      </c>
      <c r="AC539" s="6" t="s">
        <v>342</v>
      </c>
      <c r="AD539" s="6" t="s">
        <v>354</v>
      </c>
      <c r="AE539" s="6">
        <v>0.56000000000000005</v>
      </c>
      <c r="AF539" s="6" t="s">
        <v>155</v>
      </c>
      <c r="AG539" s="6">
        <v>0.1</v>
      </c>
      <c r="AH539" s="6">
        <v>0.09</v>
      </c>
      <c r="AI539" s="6">
        <v>5</v>
      </c>
      <c r="AJ539" s="6">
        <v>1034</v>
      </c>
      <c r="AK539" s="6">
        <v>1828292.36</v>
      </c>
      <c r="AL539" s="6">
        <v>3378694.14</v>
      </c>
      <c r="AM539" s="6" t="s">
        <v>343</v>
      </c>
      <c r="AN539" s="6" t="s">
        <v>321</v>
      </c>
      <c r="AO539" s="6">
        <v>98.7</v>
      </c>
      <c r="AP539" s="6">
        <v>36</v>
      </c>
      <c r="AQ539" s="6" t="s">
        <v>4275</v>
      </c>
      <c r="AR539" s="6" t="s">
        <v>186</v>
      </c>
      <c r="AS539" s="6" t="s">
        <v>188</v>
      </c>
    </row>
    <row r="540" spans="1:45" x14ac:dyDescent="0.3">
      <c r="A540" s="7" t="s">
        <v>1916</v>
      </c>
      <c r="B540" s="7" t="s">
        <v>5095</v>
      </c>
      <c r="C540" s="7" t="s">
        <v>201</v>
      </c>
      <c r="D540" s="7" t="s">
        <v>265</v>
      </c>
      <c r="E540" s="7" t="s">
        <v>41</v>
      </c>
      <c r="F540" s="7" t="s">
        <v>228</v>
      </c>
      <c r="G540" s="7" t="s">
        <v>46</v>
      </c>
      <c r="H540" s="7"/>
      <c r="I540" s="7" t="s">
        <v>4291</v>
      </c>
      <c r="J540" s="6" t="s">
        <v>130</v>
      </c>
      <c r="K540" s="7" t="s">
        <v>326</v>
      </c>
      <c r="L540" s="7" t="s">
        <v>1917</v>
      </c>
      <c r="M540" s="7" t="s">
        <v>4528</v>
      </c>
      <c r="N540" s="7"/>
      <c r="O540" s="7" t="s">
        <v>5096</v>
      </c>
      <c r="P540" s="7">
        <v>11</v>
      </c>
      <c r="Q540" s="7">
        <v>2832170</v>
      </c>
      <c r="R540" s="7">
        <v>0.26</v>
      </c>
      <c r="S540" s="7">
        <v>0.01</v>
      </c>
      <c r="T540" s="7">
        <v>2116763.86</v>
      </c>
      <c r="U540" s="7">
        <v>1869320.44</v>
      </c>
      <c r="V540" s="7">
        <v>0.11</v>
      </c>
      <c r="W540" s="7">
        <v>0.19</v>
      </c>
      <c r="X540" s="7" t="s">
        <v>1918</v>
      </c>
      <c r="Y540" s="7">
        <v>261547.7</v>
      </c>
      <c r="Z540" s="7">
        <v>186209.5</v>
      </c>
      <c r="AA540" s="7">
        <v>45</v>
      </c>
      <c r="AB540" s="7">
        <v>166</v>
      </c>
      <c r="AC540" s="7"/>
      <c r="AD540" s="7" t="s">
        <v>406</v>
      </c>
      <c r="AE540" s="7">
        <v>0.19</v>
      </c>
      <c r="AF540" s="7" t="s">
        <v>162</v>
      </c>
      <c r="AG540" s="7">
        <v>0.1</v>
      </c>
      <c r="AH540" s="7">
        <v>0.05</v>
      </c>
      <c r="AI540" s="7">
        <v>15</v>
      </c>
      <c r="AJ540" s="7">
        <v>2770</v>
      </c>
      <c r="AK540" s="7">
        <v>143551.43</v>
      </c>
      <c r="AL540" s="7"/>
      <c r="AM540" s="7" t="s">
        <v>385</v>
      </c>
      <c r="AN540" s="7" t="s">
        <v>348</v>
      </c>
      <c r="AO540" s="7">
        <v>57</v>
      </c>
      <c r="AP540" s="7">
        <v>48</v>
      </c>
      <c r="AQ540" s="7" t="s">
        <v>323</v>
      </c>
      <c r="AR540" s="7" t="s">
        <v>224</v>
      </c>
      <c r="AS540" s="7" t="s">
        <v>324</v>
      </c>
    </row>
    <row r="541" spans="1:45" x14ac:dyDescent="0.3">
      <c r="A541" s="6" t="s">
        <v>1919</v>
      </c>
      <c r="B541" s="6" t="s">
        <v>3640</v>
      </c>
      <c r="C541" s="6" t="s">
        <v>275</v>
      </c>
      <c r="D541" s="6" t="s">
        <v>262</v>
      </c>
      <c r="E541" s="6" t="s">
        <v>4265</v>
      </c>
      <c r="F541" s="6" t="s">
        <v>228</v>
      </c>
      <c r="G541" s="6" t="s">
        <v>50</v>
      </c>
      <c r="H541" s="6" t="s">
        <v>4326</v>
      </c>
      <c r="I541" s="6" t="s">
        <v>4289</v>
      </c>
      <c r="J541" s="6" t="s">
        <v>130</v>
      </c>
      <c r="K541" s="6" t="s">
        <v>223</v>
      </c>
      <c r="L541" s="6" t="s">
        <v>1920</v>
      </c>
      <c r="M541" s="6" t="s">
        <v>5059</v>
      </c>
      <c r="N541" s="6" t="s">
        <v>4022</v>
      </c>
      <c r="O541" s="6" t="s">
        <v>3819</v>
      </c>
      <c r="P541" s="6">
        <v>57</v>
      </c>
      <c r="Q541" s="6">
        <v>14132894</v>
      </c>
      <c r="R541" s="6">
        <v>0.1</v>
      </c>
      <c r="S541" s="6">
        <v>0.17</v>
      </c>
      <c r="T541" s="6">
        <v>14881937.380000001</v>
      </c>
      <c r="U541" s="6">
        <v>10300517.43</v>
      </c>
      <c r="V541" s="6">
        <v>0.28999999999999998</v>
      </c>
      <c r="W541" s="6">
        <v>0.06</v>
      </c>
      <c r="X541" s="6" t="s">
        <v>1921</v>
      </c>
      <c r="Y541" s="6">
        <v>3329861.3</v>
      </c>
      <c r="Z541" s="6">
        <v>2186442.54</v>
      </c>
      <c r="AA541" s="6">
        <v>60</v>
      </c>
      <c r="AB541" s="6">
        <v>51</v>
      </c>
      <c r="AC541" s="6" t="s">
        <v>342</v>
      </c>
      <c r="AD541" s="6" t="s">
        <v>381</v>
      </c>
      <c r="AE541" s="6">
        <v>0.23</v>
      </c>
      <c r="AF541" s="6" t="s">
        <v>152</v>
      </c>
      <c r="AG541" s="6">
        <v>0.05</v>
      </c>
      <c r="AH541" s="6">
        <v>7.0000000000000007E-2</v>
      </c>
      <c r="AI541" s="6">
        <v>6</v>
      </c>
      <c r="AJ541" s="6">
        <v>3574</v>
      </c>
      <c r="AK541" s="6">
        <v>1403932.68</v>
      </c>
      <c r="AL541" s="6">
        <v>5233911.8</v>
      </c>
      <c r="AM541" s="6" t="s">
        <v>73</v>
      </c>
      <c r="AN541" s="6" t="s">
        <v>330</v>
      </c>
      <c r="AO541" s="6">
        <v>77</v>
      </c>
      <c r="AP541" s="6">
        <v>60</v>
      </c>
      <c r="AQ541" s="6" t="s">
        <v>4275</v>
      </c>
      <c r="AR541" s="6" t="s">
        <v>224</v>
      </c>
      <c r="AS541" s="6" t="s">
        <v>357</v>
      </c>
    </row>
    <row r="542" spans="1:45" x14ac:dyDescent="0.3">
      <c r="A542" s="7" t="s">
        <v>1922</v>
      </c>
      <c r="B542" s="7" t="s">
        <v>3721</v>
      </c>
      <c r="C542" s="7" t="s">
        <v>278</v>
      </c>
      <c r="D542" s="7" t="s">
        <v>394</v>
      </c>
      <c r="E542" s="7" t="s">
        <v>4270</v>
      </c>
      <c r="F542" s="7" t="s">
        <v>367</v>
      </c>
      <c r="G542" s="7" t="s">
        <v>70</v>
      </c>
      <c r="H542" s="7" t="s">
        <v>197</v>
      </c>
      <c r="I542" s="7" t="s">
        <v>198</v>
      </c>
      <c r="J542" s="7" t="s">
        <v>127</v>
      </c>
      <c r="K542" s="7" t="s">
        <v>184</v>
      </c>
      <c r="L542" s="7" t="s">
        <v>1923</v>
      </c>
      <c r="M542" s="7" t="s">
        <v>5097</v>
      </c>
      <c r="N542" s="7"/>
      <c r="O542" s="7" t="s">
        <v>4023</v>
      </c>
      <c r="P542" s="7">
        <v>52</v>
      </c>
      <c r="Q542" s="7">
        <v>37518747</v>
      </c>
      <c r="R542" s="7">
        <v>0.08</v>
      </c>
      <c r="S542" s="7">
        <v>0.15</v>
      </c>
      <c r="T542" s="7">
        <v>39694834.329999998</v>
      </c>
      <c r="U542" s="7"/>
      <c r="V542" s="7">
        <v>0.13</v>
      </c>
      <c r="W542" s="7">
        <v>0.09</v>
      </c>
      <c r="X542" s="7" t="s">
        <v>1924</v>
      </c>
      <c r="Y542" s="7">
        <v>3267429.51</v>
      </c>
      <c r="Z542" s="7">
        <v>2557038.73</v>
      </c>
      <c r="AA542" s="7">
        <v>120</v>
      </c>
      <c r="AB542" s="7">
        <v>156</v>
      </c>
      <c r="AC542" s="7" t="s">
        <v>376</v>
      </c>
      <c r="AD542" s="7" t="s">
        <v>354</v>
      </c>
      <c r="AE542" s="7">
        <v>0.49</v>
      </c>
      <c r="AF542" s="7" t="s">
        <v>162</v>
      </c>
      <c r="AG542" s="7">
        <v>0.15</v>
      </c>
      <c r="AH542" s="7">
        <v>7.0000000000000007E-2</v>
      </c>
      <c r="AI542" s="7">
        <v>6</v>
      </c>
      <c r="AJ542" s="7">
        <v>2030</v>
      </c>
      <c r="AK542" s="7">
        <v>6121827.1900000004</v>
      </c>
      <c r="AL542" s="7">
        <v>5383046.96</v>
      </c>
      <c r="AM542" s="7" t="s">
        <v>385</v>
      </c>
      <c r="AN542" s="7" t="s">
        <v>330</v>
      </c>
      <c r="AO542" s="7">
        <v>93.5</v>
      </c>
      <c r="AP542" s="7">
        <v>24</v>
      </c>
      <c r="AQ542" s="7" t="s">
        <v>392</v>
      </c>
      <c r="AR542" s="7" t="s">
        <v>224</v>
      </c>
      <c r="AS542" s="7"/>
    </row>
    <row r="543" spans="1:45" x14ac:dyDescent="0.3">
      <c r="A543" s="6" t="s">
        <v>1925</v>
      </c>
      <c r="B543" s="6" t="s">
        <v>4411</v>
      </c>
      <c r="C543" s="6" t="s">
        <v>286</v>
      </c>
      <c r="D543" s="6" t="s">
        <v>215</v>
      </c>
      <c r="E543" s="6" t="s">
        <v>41</v>
      </c>
      <c r="F543" s="6" t="s">
        <v>350</v>
      </c>
      <c r="G543" s="6" t="s">
        <v>62</v>
      </c>
      <c r="H543" s="6" t="s">
        <v>197</v>
      </c>
      <c r="I543" s="6" t="s">
        <v>4307</v>
      </c>
      <c r="J543" s="6" t="s">
        <v>105</v>
      </c>
      <c r="K543" s="6" t="s">
        <v>210</v>
      </c>
      <c r="L543" s="6" t="s">
        <v>1926</v>
      </c>
      <c r="M543" s="6" t="s">
        <v>5007</v>
      </c>
      <c r="N543" s="6" t="s">
        <v>5098</v>
      </c>
      <c r="O543" s="6" t="s">
        <v>4274</v>
      </c>
      <c r="P543" s="6">
        <v>8</v>
      </c>
      <c r="Q543" s="6">
        <v>7123176</v>
      </c>
      <c r="R543" s="6">
        <v>0.12</v>
      </c>
      <c r="S543" s="6">
        <v>0.09</v>
      </c>
      <c r="T543" s="6">
        <v>6832550.4199999999</v>
      </c>
      <c r="U543" s="6"/>
      <c r="V543" s="6">
        <v>0.33</v>
      </c>
      <c r="W543" s="6">
        <v>0.12</v>
      </c>
      <c r="X543" s="6" t="s">
        <v>1927</v>
      </c>
      <c r="Y543" s="6">
        <v>2667255.7999999998</v>
      </c>
      <c r="Z543" s="6">
        <v>2736699.02</v>
      </c>
      <c r="AA543" s="6">
        <v>90</v>
      </c>
      <c r="AB543" s="6">
        <v>76</v>
      </c>
      <c r="AC543" s="6" t="s">
        <v>342</v>
      </c>
      <c r="AD543" s="6" t="s">
        <v>381</v>
      </c>
      <c r="AE543" s="6">
        <v>0.24</v>
      </c>
      <c r="AF543" s="6" t="s">
        <v>155</v>
      </c>
      <c r="AG543" s="6">
        <v>0.15</v>
      </c>
      <c r="AH543" s="6">
        <v>0.1</v>
      </c>
      <c r="AI543" s="6">
        <v>7</v>
      </c>
      <c r="AJ543" s="6">
        <v>3788</v>
      </c>
      <c r="AK543" s="6">
        <v>1243726.98</v>
      </c>
      <c r="AL543" s="6">
        <v>3271626.33</v>
      </c>
      <c r="AM543" s="6" t="s">
        <v>355</v>
      </c>
      <c r="AN543" s="6" t="s">
        <v>322</v>
      </c>
      <c r="AO543" s="6">
        <v>68.8</v>
      </c>
      <c r="AP543" s="6">
        <v>60</v>
      </c>
      <c r="AQ543" s="6" t="s">
        <v>4275</v>
      </c>
      <c r="AR543" s="6" t="s">
        <v>229</v>
      </c>
      <c r="AS543" s="6"/>
    </row>
    <row r="544" spans="1:45" x14ac:dyDescent="0.3">
      <c r="A544" s="7" t="s">
        <v>1928</v>
      </c>
      <c r="B544" s="7" t="s">
        <v>4615</v>
      </c>
      <c r="C544" s="7" t="s">
        <v>270</v>
      </c>
      <c r="D544" s="7" t="s">
        <v>262</v>
      </c>
      <c r="E544" s="7" t="s">
        <v>20</v>
      </c>
      <c r="F544" s="7" t="s">
        <v>31</v>
      </c>
      <c r="G544" s="7" t="s">
        <v>70</v>
      </c>
      <c r="H544" s="7" t="s">
        <v>236</v>
      </c>
      <c r="I544" s="7" t="s">
        <v>233</v>
      </c>
      <c r="J544" s="7" t="s">
        <v>136</v>
      </c>
      <c r="K544" s="7" t="s">
        <v>199</v>
      </c>
      <c r="L544" s="7" t="s">
        <v>1929</v>
      </c>
      <c r="M544" s="7" t="s">
        <v>5099</v>
      </c>
      <c r="N544" s="7" t="s">
        <v>5100</v>
      </c>
      <c r="O544" s="7" t="s">
        <v>5101</v>
      </c>
      <c r="P544" s="7">
        <v>34</v>
      </c>
      <c r="Q544" s="7">
        <v>6645015</v>
      </c>
      <c r="R544" s="7">
        <v>0.21</v>
      </c>
      <c r="S544" s="7">
        <v>-0.04</v>
      </c>
      <c r="T544" s="7">
        <v>5039579.38</v>
      </c>
      <c r="U544" s="7">
        <v>3650923.75</v>
      </c>
      <c r="V544" s="7">
        <v>0.32</v>
      </c>
      <c r="W544" s="7">
        <v>0.15</v>
      </c>
      <c r="X544" s="7" t="s">
        <v>1930</v>
      </c>
      <c r="Y544" s="7">
        <v>296428.28000000003</v>
      </c>
      <c r="Z544" s="7">
        <v>219052.32</v>
      </c>
      <c r="AA544" s="7">
        <v>90</v>
      </c>
      <c r="AB544" s="7">
        <v>102</v>
      </c>
      <c r="AC544" s="7" t="s">
        <v>329</v>
      </c>
      <c r="AD544" s="7" t="s">
        <v>455</v>
      </c>
      <c r="AE544" s="7">
        <v>0.73</v>
      </c>
      <c r="AF544" s="7" t="s">
        <v>155</v>
      </c>
      <c r="AG544" s="7">
        <v>0.15</v>
      </c>
      <c r="AH544" s="7">
        <v>0.01</v>
      </c>
      <c r="AI544" s="7">
        <v>14</v>
      </c>
      <c r="AJ544" s="7">
        <v>2032</v>
      </c>
      <c r="AK544" s="7">
        <v>585837.93000000005</v>
      </c>
      <c r="AL544" s="7">
        <v>2187966.85</v>
      </c>
      <c r="AM544" s="7" t="s">
        <v>355</v>
      </c>
      <c r="AN544" s="7" t="s">
        <v>386</v>
      </c>
      <c r="AO544" s="7">
        <v>78</v>
      </c>
      <c r="AP544" s="7">
        <v>48</v>
      </c>
      <c r="AQ544" s="7" t="s">
        <v>4275</v>
      </c>
      <c r="AR544" s="7" t="s">
        <v>186</v>
      </c>
      <c r="AS544" s="7" t="s">
        <v>377</v>
      </c>
    </row>
    <row r="545" spans="1:45" x14ac:dyDescent="0.3">
      <c r="A545" s="6" t="s">
        <v>1931</v>
      </c>
      <c r="B545" s="6" t="s">
        <v>5102</v>
      </c>
      <c r="C545" s="6" t="s">
        <v>249</v>
      </c>
      <c r="D545" s="6" t="s">
        <v>180</v>
      </c>
      <c r="E545" s="6" t="s">
        <v>4270</v>
      </c>
      <c r="F545" s="6" t="s">
        <v>367</v>
      </c>
      <c r="G545" s="6" t="s">
        <v>23</v>
      </c>
      <c r="H545" s="6" t="s">
        <v>4271</v>
      </c>
      <c r="I545" s="6" t="s">
        <v>4291</v>
      </c>
      <c r="J545" s="6" t="s">
        <v>123</v>
      </c>
      <c r="K545" s="6" t="s">
        <v>326</v>
      </c>
      <c r="L545" s="6" t="s">
        <v>1932</v>
      </c>
      <c r="M545" s="6" t="s">
        <v>5103</v>
      </c>
      <c r="N545" s="6"/>
      <c r="O545" s="6" t="s">
        <v>4024</v>
      </c>
      <c r="P545" s="6">
        <v>54</v>
      </c>
      <c r="Q545" s="6">
        <v>33833180</v>
      </c>
      <c r="R545" s="6">
        <v>0.33</v>
      </c>
      <c r="S545" s="6">
        <v>-0.04</v>
      </c>
      <c r="T545" s="6">
        <v>21761501.379999999</v>
      </c>
      <c r="U545" s="6">
        <v>17233673.329999998</v>
      </c>
      <c r="V545" s="6">
        <v>0.13</v>
      </c>
      <c r="W545" s="6">
        <v>0.17</v>
      </c>
      <c r="X545" s="6" t="s">
        <v>1933</v>
      </c>
      <c r="Y545" s="6">
        <v>7224639.4800000004</v>
      </c>
      <c r="Z545" s="6">
        <v>4691641.37</v>
      </c>
      <c r="AA545" s="6">
        <v>30</v>
      </c>
      <c r="AB545" s="6">
        <v>142</v>
      </c>
      <c r="AC545" s="6" t="s">
        <v>347</v>
      </c>
      <c r="AD545" s="6" t="s">
        <v>354</v>
      </c>
      <c r="AE545" s="6">
        <v>0.23</v>
      </c>
      <c r="AF545" s="6" t="s">
        <v>4319</v>
      </c>
      <c r="AG545" s="6">
        <v>0.15</v>
      </c>
      <c r="AH545" s="6">
        <v>0.08</v>
      </c>
      <c r="AI545" s="6">
        <v>9</v>
      </c>
      <c r="AJ545" s="6">
        <v>1539</v>
      </c>
      <c r="AK545" s="6">
        <v>3868906.12</v>
      </c>
      <c r="AL545" s="6">
        <v>9336071.8499999996</v>
      </c>
      <c r="AM545" s="6" t="s">
        <v>343</v>
      </c>
      <c r="AN545" s="6" t="s">
        <v>322</v>
      </c>
      <c r="AO545" s="6">
        <v>76.400000000000006</v>
      </c>
      <c r="AP545" s="6">
        <v>12</v>
      </c>
      <c r="AQ545" s="6" t="s">
        <v>392</v>
      </c>
      <c r="AR545" s="6" t="s">
        <v>206</v>
      </c>
      <c r="AS545" s="6" t="s">
        <v>361</v>
      </c>
    </row>
    <row r="546" spans="1:45" x14ac:dyDescent="0.3">
      <c r="A546" s="7" t="s">
        <v>1934</v>
      </c>
      <c r="B546" s="7" t="s">
        <v>3901</v>
      </c>
      <c r="C546" s="7" t="s">
        <v>282</v>
      </c>
      <c r="D546" s="7" t="s">
        <v>274</v>
      </c>
      <c r="E546" s="7" t="s">
        <v>20</v>
      </c>
      <c r="F546" s="7" t="s">
        <v>31</v>
      </c>
      <c r="G546" s="7" t="s">
        <v>23</v>
      </c>
      <c r="H546" s="7" t="s">
        <v>4280</v>
      </c>
      <c r="I546" s="7" t="s">
        <v>203</v>
      </c>
      <c r="J546" s="7" t="s">
        <v>136</v>
      </c>
      <c r="K546" s="7" t="s">
        <v>326</v>
      </c>
      <c r="L546" s="7" t="s">
        <v>1935</v>
      </c>
      <c r="M546" s="7" t="s">
        <v>4025</v>
      </c>
      <c r="N546" s="7" t="s">
        <v>5104</v>
      </c>
      <c r="O546" s="7" t="s">
        <v>4274</v>
      </c>
      <c r="P546" s="7">
        <v>10</v>
      </c>
      <c r="Q546" s="7">
        <v>25819534</v>
      </c>
      <c r="R546" s="7">
        <v>0.16</v>
      </c>
      <c r="S546" s="7">
        <v>0.18</v>
      </c>
      <c r="T546" s="7">
        <v>25592322.100000001</v>
      </c>
      <c r="U546" s="7">
        <v>19978731.960000001</v>
      </c>
      <c r="V546" s="7">
        <v>0.18</v>
      </c>
      <c r="W546" s="7">
        <v>0.18</v>
      </c>
      <c r="X546" s="7" t="s">
        <v>1936</v>
      </c>
      <c r="Y546" s="7">
        <v>14057725.789999999</v>
      </c>
      <c r="Z546" s="7">
        <v>4876324.01</v>
      </c>
      <c r="AA546" s="7">
        <v>90</v>
      </c>
      <c r="AB546" s="7">
        <v>104</v>
      </c>
      <c r="AC546" s="7" t="s">
        <v>329</v>
      </c>
      <c r="AD546" s="7" t="s">
        <v>336</v>
      </c>
      <c r="AE546" s="7">
        <v>0.28999999999999998</v>
      </c>
      <c r="AF546" s="7" t="s">
        <v>159</v>
      </c>
      <c r="AG546" s="7">
        <v>0.1</v>
      </c>
      <c r="AH546" s="7">
        <v>0.05</v>
      </c>
      <c r="AI546" s="7">
        <v>3</v>
      </c>
      <c r="AJ546" s="7">
        <v>2580</v>
      </c>
      <c r="AK546" s="7">
        <v>513751.88</v>
      </c>
      <c r="AL546" s="7">
        <v>4272385.0599999996</v>
      </c>
      <c r="AM546" s="7"/>
      <c r="AN546" s="7" t="s">
        <v>330</v>
      </c>
      <c r="AO546" s="7">
        <v>83.1</v>
      </c>
      <c r="AP546" s="7">
        <v>48</v>
      </c>
      <c r="AQ546" s="7" t="s">
        <v>323</v>
      </c>
      <c r="AR546" s="7" t="s">
        <v>186</v>
      </c>
      <c r="AS546" s="7"/>
    </row>
    <row r="547" spans="1:45" x14ac:dyDescent="0.3">
      <c r="A547" s="6" t="s">
        <v>1937</v>
      </c>
      <c r="B547" s="6" t="s">
        <v>5105</v>
      </c>
      <c r="C547" s="6" t="s">
        <v>270</v>
      </c>
      <c r="D547" s="6" t="s">
        <v>255</v>
      </c>
      <c r="E547" s="6" t="s">
        <v>4376</v>
      </c>
      <c r="F547" s="6" t="s">
        <v>196</v>
      </c>
      <c r="G547" s="6" t="s">
        <v>62</v>
      </c>
      <c r="H547" s="6" t="s">
        <v>263</v>
      </c>
      <c r="I547" s="6" t="s">
        <v>183</v>
      </c>
      <c r="J547" s="6" t="s">
        <v>136</v>
      </c>
      <c r="K547" s="6" t="s">
        <v>326</v>
      </c>
      <c r="L547" s="6" t="s">
        <v>1938</v>
      </c>
      <c r="M547" s="6" t="s">
        <v>4945</v>
      </c>
      <c r="N547" s="6"/>
      <c r="O547" s="6" t="s">
        <v>5106</v>
      </c>
      <c r="P547" s="6" t="s">
        <v>4275</v>
      </c>
      <c r="Q547" s="6">
        <v>23944511</v>
      </c>
      <c r="R547" s="6">
        <v>0.3</v>
      </c>
      <c r="S547" s="6">
        <v>-0.03</v>
      </c>
      <c r="T547" s="6">
        <v>16258322.970000001</v>
      </c>
      <c r="U547" s="6"/>
      <c r="V547" s="6" t="s">
        <v>4374</v>
      </c>
      <c r="W547" s="6">
        <v>0.1</v>
      </c>
      <c r="X547" s="6" t="s">
        <v>1939</v>
      </c>
      <c r="Y547" s="6">
        <v>8302810.7300000004</v>
      </c>
      <c r="Z547" s="6">
        <v>8543397.2899999991</v>
      </c>
      <c r="AA547" s="6">
        <v>120</v>
      </c>
      <c r="AB547" s="6">
        <v>15</v>
      </c>
      <c r="AC547" s="6" t="s">
        <v>329</v>
      </c>
      <c r="AD547" s="6" t="s">
        <v>455</v>
      </c>
      <c r="AE547" s="6">
        <v>0.41</v>
      </c>
      <c r="AF547" s="6" t="s">
        <v>4303</v>
      </c>
      <c r="AG547" s="6">
        <v>0.15</v>
      </c>
      <c r="AH547" s="6">
        <v>0.08</v>
      </c>
      <c r="AI547" s="6">
        <v>9</v>
      </c>
      <c r="AJ547" s="6">
        <v>3005</v>
      </c>
      <c r="AK547" s="6"/>
      <c r="AL547" s="6">
        <v>6191134.9400000004</v>
      </c>
      <c r="AM547" s="6" t="s">
        <v>385</v>
      </c>
      <c r="AN547" s="6" t="s">
        <v>322</v>
      </c>
      <c r="AO547" s="6">
        <v>60.2</v>
      </c>
      <c r="AP547" s="6">
        <v>12</v>
      </c>
      <c r="AQ547" s="6" t="s">
        <v>392</v>
      </c>
      <c r="AR547" s="6" t="s">
        <v>224</v>
      </c>
      <c r="AS547" s="6"/>
    </row>
    <row r="548" spans="1:45" x14ac:dyDescent="0.3">
      <c r="A548" s="7" t="s">
        <v>1940</v>
      </c>
      <c r="B548" s="7" t="s">
        <v>3688</v>
      </c>
      <c r="C548" s="7" t="s">
        <v>252</v>
      </c>
      <c r="D548" s="7" t="s">
        <v>265</v>
      </c>
      <c r="E548" s="7" t="s">
        <v>20</v>
      </c>
      <c r="F548" s="7" t="s">
        <v>35</v>
      </c>
      <c r="G548" s="7" t="s">
        <v>57</v>
      </c>
      <c r="H548" s="7" t="s">
        <v>4266</v>
      </c>
      <c r="I548" s="7" t="s">
        <v>213</v>
      </c>
      <c r="J548" s="7" t="s">
        <v>136</v>
      </c>
      <c r="K548" s="7" t="s">
        <v>326</v>
      </c>
      <c r="L548" s="7" t="s">
        <v>1941</v>
      </c>
      <c r="M548" s="7" t="s">
        <v>5107</v>
      </c>
      <c r="N548" s="7" t="s">
        <v>5108</v>
      </c>
      <c r="O548" s="7" t="s">
        <v>4447</v>
      </c>
      <c r="P548" s="7">
        <v>30</v>
      </c>
      <c r="Q548" s="7">
        <v>38887420</v>
      </c>
      <c r="R548" s="7">
        <v>0.13</v>
      </c>
      <c r="S548" s="7">
        <v>0.19</v>
      </c>
      <c r="T548" s="7">
        <v>40260145.93</v>
      </c>
      <c r="U548" s="7">
        <v>32293962.18</v>
      </c>
      <c r="V548" s="7">
        <v>0.09</v>
      </c>
      <c r="W548" s="7">
        <v>0.11</v>
      </c>
      <c r="X548" s="7" t="s">
        <v>1942</v>
      </c>
      <c r="Y548" s="7">
        <v>3453417.34</v>
      </c>
      <c r="Z548" s="7">
        <v>3443840.46</v>
      </c>
      <c r="AA548" s="7">
        <v>60</v>
      </c>
      <c r="AB548" s="7">
        <v>11</v>
      </c>
      <c r="AC548" s="7" t="s">
        <v>353</v>
      </c>
      <c r="AD548" s="7" t="s">
        <v>455</v>
      </c>
      <c r="AE548" s="7">
        <v>0.68</v>
      </c>
      <c r="AF548" s="7" t="s">
        <v>4303</v>
      </c>
      <c r="AG548" s="7">
        <v>0.05</v>
      </c>
      <c r="AH548" s="7">
        <v>0.05</v>
      </c>
      <c r="AI548" s="7">
        <v>2</v>
      </c>
      <c r="AJ548" s="7">
        <v>1894</v>
      </c>
      <c r="AK548" s="7">
        <v>6496122.0899999999</v>
      </c>
      <c r="AL548" s="7">
        <v>7595511.3799999999</v>
      </c>
      <c r="AM548" s="7" t="s">
        <v>385</v>
      </c>
      <c r="AN548" s="7"/>
      <c r="AO548" s="7">
        <v>77.099999999999994</v>
      </c>
      <c r="AP548" s="7" t="s">
        <v>4275</v>
      </c>
      <c r="AQ548" s="7" t="s">
        <v>387</v>
      </c>
      <c r="AR548" s="7" t="s">
        <v>229</v>
      </c>
      <c r="AS548" s="7" t="s">
        <v>324</v>
      </c>
    </row>
    <row r="549" spans="1:45" x14ac:dyDescent="0.3">
      <c r="A549" s="6" t="s">
        <v>1943</v>
      </c>
      <c r="B549" s="6" t="s">
        <v>3384</v>
      </c>
      <c r="C549" s="6" t="s">
        <v>201</v>
      </c>
      <c r="D549" s="6" t="s">
        <v>262</v>
      </c>
      <c r="E549" s="6"/>
      <c r="F549" s="6" t="s">
        <v>363</v>
      </c>
      <c r="G549" s="6"/>
      <c r="H549" s="6" t="s">
        <v>4271</v>
      </c>
      <c r="I549" s="6" t="s">
        <v>4272</v>
      </c>
      <c r="J549" s="6" t="s">
        <v>99</v>
      </c>
      <c r="K549" s="6" t="s">
        <v>184</v>
      </c>
      <c r="L549" s="6" t="s">
        <v>1944</v>
      </c>
      <c r="M549" s="6" t="s">
        <v>3409</v>
      </c>
      <c r="N549" s="6"/>
      <c r="O549" s="6" t="s">
        <v>4274</v>
      </c>
      <c r="P549" s="6">
        <v>52</v>
      </c>
      <c r="Q549" s="6">
        <v>10309508</v>
      </c>
      <c r="R549" s="6">
        <v>0.09</v>
      </c>
      <c r="S549" s="6">
        <v>0.15</v>
      </c>
      <c r="T549" s="6">
        <v>10788900.119999999</v>
      </c>
      <c r="U549" s="6">
        <v>8703524.2599999998</v>
      </c>
      <c r="V549" s="6">
        <v>0.05</v>
      </c>
      <c r="W549" s="6">
        <v>0.09</v>
      </c>
      <c r="X549" s="6" t="s">
        <v>1945</v>
      </c>
      <c r="Y549" s="6">
        <v>8022572.1900000004</v>
      </c>
      <c r="Z549" s="6">
        <v>4594325.8099999996</v>
      </c>
      <c r="AA549" s="6">
        <v>90</v>
      </c>
      <c r="AB549" s="6">
        <v>143</v>
      </c>
      <c r="AC549" s="6" t="s">
        <v>353</v>
      </c>
      <c r="AD549" s="6" t="s">
        <v>455</v>
      </c>
      <c r="AE549" s="6">
        <v>0.67</v>
      </c>
      <c r="AF549" s="6" t="s">
        <v>4303</v>
      </c>
      <c r="AG549" s="6">
        <v>0.15</v>
      </c>
      <c r="AH549" s="6">
        <v>7.0000000000000007E-2</v>
      </c>
      <c r="AI549" s="6">
        <v>3</v>
      </c>
      <c r="AJ549" s="6">
        <v>847</v>
      </c>
      <c r="AK549" s="6">
        <v>2211959.0699999998</v>
      </c>
      <c r="AL549" s="6">
        <v>2097732.38</v>
      </c>
      <c r="AM549" s="6" t="s">
        <v>385</v>
      </c>
      <c r="AN549" s="6"/>
      <c r="AO549" s="6">
        <v>92</v>
      </c>
      <c r="AP549" s="6">
        <v>36</v>
      </c>
      <c r="AQ549" s="6" t="s">
        <v>323</v>
      </c>
      <c r="AR549" s="6" t="s">
        <v>206</v>
      </c>
      <c r="AS549" s="6"/>
    </row>
    <row r="550" spans="1:45" x14ac:dyDescent="0.3">
      <c r="A550" s="7" t="s">
        <v>1946</v>
      </c>
      <c r="B550" s="7" t="s">
        <v>4486</v>
      </c>
      <c r="C550" s="7" t="s">
        <v>222</v>
      </c>
      <c r="D550" s="7" t="s">
        <v>180</v>
      </c>
      <c r="E550" s="7" t="s">
        <v>4376</v>
      </c>
      <c r="F550" s="7" t="s">
        <v>35</v>
      </c>
      <c r="G550" s="7" t="s">
        <v>66</v>
      </c>
      <c r="H550" s="7" t="s">
        <v>4271</v>
      </c>
      <c r="I550" s="7" t="s">
        <v>4372</v>
      </c>
      <c r="J550" s="7" t="s">
        <v>136</v>
      </c>
      <c r="K550" s="7" t="s">
        <v>199</v>
      </c>
      <c r="L550" s="7" t="s">
        <v>1947</v>
      </c>
      <c r="M550" s="7" t="s">
        <v>4520</v>
      </c>
      <c r="N550" s="7" t="s">
        <v>4027</v>
      </c>
      <c r="O550" s="7" t="s">
        <v>5109</v>
      </c>
      <c r="P550" s="7">
        <v>46</v>
      </c>
      <c r="Q550" s="7">
        <v>49874143</v>
      </c>
      <c r="R550" s="7">
        <v>0.12</v>
      </c>
      <c r="S550" s="7">
        <v>0.18</v>
      </c>
      <c r="T550" s="7">
        <v>51789310.090000004</v>
      </c>
      <c r="U550" s="7">
        <v>39364858.130000003</v>
      </c>
      <c r="V550" s="7">
        <v>0.31</v>
      </c>
      <c r="W550" s="7">
        <v>0.14000000000000001</v>
      </c>
      <c r="X550" s="7" t="s">
        <v>1948</v>
      </c>
      <c r="Y550" s="7">
        <v>24666052.859999999</v>
      </c>
      <c r="Z550" s="7">
        <v>15568638.51</v>
      </c>
      <c r="AA550" s="7">
        <v>45</v>
      </c>
      <c r="AB550" s="7">
        <v>178</v>
      </c>
      <c r="AC550" s="7" t="s">
        <v>376</v>
      </c>
      <c r="AD550" s="7" t="s">
        <v>336</v>
      </c>
      <c r="AE550" s="7">
        <v>0.94</v>
      </c>
      <c r="AF550" s="7" t="s">
        <v>4319</v>
      </c>
      <c r="AG550" s="7">
        <v>0.1</v>
      </c>
      <c r="AH550" s="7">
        <v>0.04</v>
      </c>
      <c r="AI550" s="7">
        <v>13</v>
      </c>
      <c r="AJ550" s="7">
        <v>4068</v>
      </c>
      <c r="AK550" s="7">
        <v>12713980.779999999</v>
      </c>
      <c r="AL550" s="7">
        <v>14903165.75</v>
      </c>
      <c r="AM550" s="7"/>
      <c r="AN550" s="7" t="s">
        <v>348</v>
      </c>
      <c r="AO550" s="7">
        <v>59.8</v>
      </c>
      <c r="AP550" s="7">
        <v>48</v>
      </c>
      <c r="AQ550" s="7" t="s">
        <v>392</v>
      </c>
      <c r="AR550" s="7" t="s">
        <v>206</v>
      </c>
      <c r="AS550" s="7"/>
    </row>
    <row r="551" spans="1:45" x14ac:dyDescent="0.3">
      <c r="A551" s="6" t="s">
        <v>1949</v>
      </c>
      <c r="B551" s="6" t="s">
        <v>4028</v>
      </c>
      <c r="C551" s="6" t="s">
        <v>251</v>
      </c>
      <c r="D551" s="6" t="s">
        <v>245</v>
      </c>
      <c r="E551" s="6" t="s">
        <v>41</v>
      </c>
      <c r="F551" s="6" t="s">
        <v>363</v>
      </c>
      <c r="G551" s="6" t="s">
        <v>50</v>
      </c>
      <c r="H551" s="6" t="s">
        <v>4266</v>
      </c>
      <c r="I551" s="6" t="s">
        <v>4307</v>
      </c>
      <c r="J551" s="6" t="s">
        <v>130</v>
      </c>
      <c r="K551" s="6" t="s">
        <v>204</v>
      </c>
      <c r="L551" s="6" t="s">
        <v>1950</v>
      </c>
      <c r="M551" s="6" t="s">
        <v>4855</v>
      </c>
      <c r="N551" s="6" t="s">
        <v>4029</v>
      </c>
      <c r="O551" s="6" t="s">
        <v>4334</v>
      </c>
      <c r="P551" s="6">
        <v>14</v>
      </c>
      <c r="Q551" s="6">
        <v>30129907</v>
      </c>
      <c r="R551" s="6">
        <v>0.34</v>
      </c>
      <c r="S551" s="6">
        <v>-0.03</v>
      </c>
      <c r="T551" s="6">
        <v>19289166.460000001</v>
      </c>
      <c r="U551" s="6">
        <v>13542168.25</v>
      </c>
      <c r="V551" s="6">
        <v>0.31</v>
      </c>
      <c r="W551" s="6">
        <v>0.17</v>
      </c>
      <c r="X551" s="6" t="s">
        <v>1951</v>
      </c>
      <c r="Y551" s="6">
        <v>13401567.42</v>
      </c>
      <c r="Z551" s="6">
        <v>8169019.04</v>
      </c>
      <c r="AA551" s="6">
        <v>120</v>
      </c>
      <c r="AB551" s="6">
        <v>103</v>
      </c>
      <c r="AC551" s="6"/>
      <c r="AD551" s="6" t="s">
        <v>336</v>
      </c>
      <c r="AE551" s="6">
        <v>0.46</v>
      </c>
      <c r="AF551" s="6" t="s">
        <v>4361</v>
      </c>
      <c r="AG551" s="6">
        <v>0.05</v>
      </c>
      <c r="AH551" s="6">
        <v>0.04</v>
      </c>
      <c r="AI551" s="6">
        <v>4</v>
      </c>
      <c r="AJ551" s="6">
        <v>522</v>
      </c>
      <c r="AK551" s="6">
        <v>864928.4</v>
      </c>
      <c r="AL551" s="6">
        <v>2365355.89</v>
      </c>
      <c r="AM551" s="6" t="s">
        <v>355</v>
      </c>
      <c r="AN551" s="6" t="s">
        <v>321</v>
      </c>
      <c r="AO551" s="6">
        <v>87.3</v>
      </c>
      <c r="AP551" s="6">
        <v>12</v>
      </c>
      <c r="AQ551" s="6" t="s">
        <v>337</v>
      </c>
      <c r="AR551" s="6" t="s">
        <v>192</v>
      </c>
      <c r="AS551" s="6" t="s">
        <v>357</v>
      </c>
    </row>
    <row r="552" spans="1:45" x14ac:dyDescent="0.3">
      <c r="A552" s="7" t="s">
        <v>1952</v>
      </c>
      <c r="B552" s="7" t="s">
        <v>3763</v>
      </c>
      <c r="C552" s="7" t="s">
        <v>283</v>
      </c>
      <c r="D552" s="7" t="s">
        <v>180</v>
      </c>
      <c r="E552" s="7" t="s">
        <v>4376</v>
      </c>
      <c r="F552" s="7" t="s">
        <v>196</v>
      </c>
      <c r="G552" s="7" t="s">
        <v>23</v>
      </c>
      <c r="H552" s="7" t="s">
        <v>182</v>
      </c>
      <c r="I552" s="7" t="s">
        <v>4307</v>
      </c>
      <c r="J552" s="7" t="s">
        <v>136</v>
      </c>
      <c r="K552" s="7" t="s">
        <v>210</v>
      </c>
      <c r="L552" s="7" t="s">
        <v>1953</v>
      </c>
      <c r="M552" s="7" t="s">
        <v>4964</v>
      </c>
      <c r="N552" s="7" t="s">
        <v>1954</v>
      </c>
      <c r="O552" s="7" t="s">
        <v>4413</v>
      </c>
      <c r="P552" s="7">
        <v>43</v>
      </c>
      <c r="Q552" s="7">
        <v>18466704</v>
      </c>
      <c r="R552" s="7">
        <v>0.14000000000000001</v>
      </c>
      <c r="S552" s="7">
        <v>0.05</v>
      </c>
      <c r="T552" s="7">
        <v>16675433.710000001</v>
      </c>
      <c r="U552" s="7">
        <v>14179821.34</v>
      </c>
      <c r="V552" s="7">
        <v>0.24</v>
      </c>
      <c r="W552" s="7">
        <v>0.15</v>
      </c>
      <c r="X552" s="7" t="s">
        <v>1955</v>
      </c>
      <c r="Y552" s="7">
        <v>5502543.9900000002</v>
      </c>
      <c r="Z552" s="7">
        <v>5879710.0700000003</v>
      </c>
      <c r="AA552" s="7">
        <v>120</v>
      </c>
      <c r="AB552" s="7">
        <v>59</v>
      </c>
      <c r="AC552" s="7" t="s">
        <v>347</v>
      </c>
      <c r="AD552" s="7" t="s">
        <v>354</v>
      </c>
      <c r="AE552" s="7">
        <v>0.32</v>
      </c>
      <c r="AF552" s="7" t="s">
        <v>152</v>
      </c>
      <c r="AG552" s="7">
        <v>0.05</v>
      </c>
      <c r="AH552" s="7">
        <v>0.03</v>
      </c>
      <c r="AI552" s="7">
        <v>4</v>
      </c>
      <c r="AJ552" s="7">
        <v>4359</v>
      </c>
      <c r="AK552" s="7">
        <v>689158.87</v>
      </c>
      <c r="AL552" s="7">
        <v>7939656.8799999999</v>
      </c>
      <c r="AM552" s="7" t="s">
        <v>321</v>
      </c>
      <c r="AN552" s="7" t="s">
        <v>386</v>
      </c>
      <c r="AO552" s="7"/>
      <c r="AP552" s="7">
        <v>60</v>
      </c>
      <c r="AQ552" s="7" t="s">
        <v>323</v>
      </c>
      <c r="AR552" s="7" t="s">
        <v>224</v>
      </c>
      <c r="AS552" s="7"/>
    </row>
    <row r="553" spans="1:45" x14ac:dyDescent="0.3">
      <c r="A553" s="6" t="s">
        <v>1956</v>
      </c>
      <c r="B553" s="6" t="s">
        <v>3556</v>
      </c>
      <c r="C553" s="6" t="s">
        <v>267</v>
      </c>
      <c r="D553" s="6" t="s">
        <v>253</v>
      </c>
      <c r="E553" s="6" t="s">
        <v>41</v>
      </c>
      <c r="F553" s="6" t="s">
        <v>228</v>
      </c>
      <c r="G553" s="6" t="s">
        <v>78</v>
      </c>
      <c r="H553" s="6" t="s">
        <v>197</v>
      </c>
      <c r="I553" s="6"/>
      <c r="J553" s="6" t="s">
        <v>105</v>
      </c>
      <c r="K553" s="6" t="s">
        <v>204</v>
      </c>
      <c r="L553" s="6" t="s">
        <v>1957</v>
      </c>
      <c r="M553" s="6" t="s">
        <v>5110</v>
      </c>
      <c r="N553" s="6"/>
      <c r="O553" s="6" t="s">
        <v>4274</v>
      </c>
      <c r="P553" s="6">
        <v>15</v>
      </c>
      <c r="Q553" s="6">
        <v>11113569</v>
      </c>
      <c r="R553" s="6">
        <v>0.34</v>
      </c>
      <c r="S553" s="6">
        <v>0.04</v>
      </c>
      <c r="T553" s="6">
        <v>7628353.7599999998</v>
      </c>
      <c r="U553" s="6">
        <v>4731734.58</v>
      </c>
      <c r="V553" s="6">
        <v>0.23</v>
      </c>
      <c r="W553" s="6">
        <v>0.13</v>
      </c>
      <c r="X553" s="6" t="s">
        <v>1958</v>
      </c>
      <c r="Y553" s="6">
        <v>3384620.42</v>
      </c>
      <c r="Z553" s="6">
        <v>3106694.08</v>
      </c>
      <c r="AA553" s="6">
        <v>90</v>
      </c>
      <c r="AB553" s="6">
        <v>56</v>
      </c>
      <c r="AC553" s="6" t="s">
        <v>342</v>
      </c>
      <c r="AD553" s="6" t="s">
        <v>320</v>
      </c>
      <c r="AE553" s="6">
        <v>0.69</v>
      </c>
      <c r="AF553" s="6" t="s">
        <v>159</v>
      </c>
      <c r="AG553" s="6">
        <v>0.1</v>
      </c>
      <c r="AH553" s="6">
        <v>0.06</v>
      </c>
      <c r="AI553" s="6">
        <v>14</v>
      </c>
      <c r="AJ553" s="6">
        <v>4548</v>
      </c>
      <c r="AK553" s="6">
        <v>480114.99</v>
      </c>
      <c r="AL553" s="6">
        <v>1247503.8500000001</v>
      </c>
      <c r="AM553" s="6" t="s">
        <v>355</v>
      </c>
      <c r="AN553" s="6" t="s">
        <v>322</v>
      </c>
      <c r="AO553" s="6">
        <v>66.599999999999994</v>
      </c>
      <c r="AP553" s="6">
        <v>48</v>
      </c>
      <c r="AQ553" s="6" t="s">
        <v>387</v>
      </c>
      <c r="AR553" s="6" t="s">
        <v>224</v>
      </c>
      <c r="AS553" s="6" t="s">
        <v>188</v>
      </c>
    </row>
    <row r="554" spans="1:45" x14ac:dyDescent="0.3">
      <c r="A554" s="7" t="s">
        <v>1959</v>
      </c>
      <c r="B554" s="7" t="s">
        <v>3618</v>
      </c>
      <c r="C554" s="7" t="s">
        <v>251</v>
      </c>
      <c r="D554" s="7" t="s">
        <v>255</v>
      </c>
      <c r="E554" s="7" t="s">
        <v>52</v>
      </c>
      <c r="F554" s="7" t="s">
        <v>75</v>
      </c>
      <c r="G554" s="7" t="s">
        <v>66</v>
      </c>
      <c r="H554" s="7" t="s">
        <v>212</v>
      </c>
      <c r="I554" s="7"/>
      <c r="J554" s="7" t="s">
        <v>133</v>
      </c>
      <c r="K554" s="7" t="s">
        <v>333</v>
      </c>
      <c r="L554" s="7" t="s">
        <v>1960</v>
      </c>
      <c r="M554" s="7" t="s">
        <v>4030</v>
      </c>
      <c r="N554" s="7"/>
      <c r="O554" s="7" t="s">
        <v>5000</v>
      </c>
      <c r="P554" s="7">
        <v>10</v>
      </c>
      <c r="Q554" s="7">
        <v>36840228</v>
      </c>
      <c r="R554" s="7">
        <v>0.34</v>
      </c>
      <c r="S554" s="7">
        <v>0.02</v>
      </c>
      <c r="T554" s="7">
        <v>24800841.489999998</v>
      </c>
      <c r="U554" s="7"/>
      <c r="V554" s="7">
        <v>0.15</v>
      </c>
      <c r="W554" s="7">
        <v>0.09</v>
      </c>
      <c r="X554" s="7" t="s">
        <v>1961</v>
      </c>
      <c r="Y554" s="7">
        <v>16139243.35</v>
      </c>
      <c r="Z554" s="7">
        <v>15529769.17</v>
      </c>
      <c r="AA554" s="7">
        <v>90</v>
      </c>
      <c r="AB554" s="7">
        <v>21</v>
      </c>
      <c r="AC554" s="7" t="s">
        <v>347</v>
      </c>
      <c r="AD554" s="7" t="s">
        <v>226</v>
      </c>
      <c r="AE554" s="7">
        <v>0.73</v>
      </c>
      <c r="AF554" s="7" t="s">
        <v>162</v>
      </c>
      <c r="AG554" s="7">
        <v>0.05</v>
      </c>
      <c r="AH554" s="7">
        <v>0.02</v>
      </c>
      <c r="AI554" s="7">
        <v>15</v>
      </c>
      <c r="AJ554" s="7">
        <v>2564</v>
      </c>
      <c r="AK554" s="7">
        <v>1663903.05</v>
      </c>
      <c r="AL554" s="7"/>
      <c r="AM554" s="7" t="s">
        <v>355</v>
      </c>
      <c r="AN554" s="7" t="s">
        <v>322</v>
      </c>
      <c r="AO554" s="7">
        <v>93.4</v>
      </c>
      <c r="AP554" s="7">
        <v>48</v>
      </c>
      <c r="AQ554" s="7" t="s">
        <v>337</v>
      </c>
      <c r="AR554" s="7" t="s">
        <v>224</v>
      </c>
      <c r="AS554" s="7" t="s">
        <v>357</v>
      </c>
    </row>
    <row r="555" spans="1:45" x14ac:dyDescent="0.3">
      <c r="A555" s="6" t="s">
        <v>1962</v>
      </c>
      <c r="B555" s="6" t="s">
        <v>4794</v>
      </c>
      <c r="C555" s="6" t="s">
        <v>282</v>
      </c>
      <c r="D555" s="6" t="s">
        <v>238</v>
      </c>
      <c r="E555" s="6" t="s">
        <v>20</v>
      </c>
      <c r="F555" s="6" t="s">
        <v>196</v>
      </c>
      <c r="G555" s="6" t="s">
        <v>62</v>
      </c>
      <c r="H555" s="6" t="s">
        <v>4271</v>
      </c>
      <c r="I555" s="6" t="s">
        <v>246</v>
      </c>
      <c r="J555" s="6" t="s">
        <v>136</v>
      </c>
      <c r="K555" s="6" t="s">
        <v>204</v>
      </c>
      <c r="L555" s="6" t="s">
        <v>1963</v>
      </c>
      <c r="M555" s="6" t="s">
        <v>5111</v>
      </c>
      <c r="N555" s="6" t="s">
        <v>1964</v>
      </c>
      <c r="O555" s="6" t="s">
        <v>5112</v>
      </c>
      <c r="P555" s="6">
        <v>17</v>
      </c>
      <c r="Q555" s="6">
        <v>39165312</v>
      </c>
      <c r="R555" s="6">
        <v>0.33</v>
      </c>
      <c r="S555" s="6">
        <v>-0.01</v>
      </c>
      <c r="T555" s="6">
        <v>25978351.449999999</v>
      </c>
      <c r="U555" s="6">
        <v>19413966.57</v>
      </c>
      <c r="V555" s="6">
        <v>0.35</v>
      </c>
      <c r="W555" s="6">
        <v>0.19</v>
      </c>
      <c r="X555" s="6" t="s">
        <v>1965</v>
      </c>
      <c r="Y555" s="6">
        <v>10841172.27</v>
      </c>
      <c r="Z555" s="6">
        <v>8588499.0800000001</v>
      </c>
      <c r="AA555" s="6">
        <v>30</v>
      </c>
      <c r="AB555" s="6">
        <v>24</v>
      </c>
      <c r="AC555" s="6" t="s">
        <v>353</v>
      </c>
      <c r="AD555" s="6" t="s">
        <v>320</v>
      </c>
      <c r="AE555" s="6">
        <v>7.0000000000000007E-2</v>
      </c>
      <c r="AF555" s="6" t="s">
        <v>4276</v>
      </c>
      <c r="AG555" s="6">
        <v>0.05</v>
      </c>
      <c r="AH555" s="6">
        <v>0.08</v>
      </c>
      <c r="AI555" s="6">
        <v>9</v>
      </c>
      <c r="AJ555" s="6">
        <v>2173</v>
      </c>
      <c r="AK555" s="6">
        <v>6072625.6100000003</v>
      </c>
      <c r="AL555" s="6">
        <v>5609637.7000000002</v>
      </c>
      <c r="AM555" s="6"/>
      <c r="AN555" s="6" t="s">
        <v>322</v>
      </c>
      <c r="AO555" s="6">
        <v>58</v>
      </c>
      <c r="AP555" s="6">
        <v>12</v>
      </c>
      <c r="AQ555" s="6" t="s">
        <v>392</v>
      </c>
      <c r="AR555" s="6" t="s">
        <v>229</v>
      </c>
      <c r="AS555" s="6"/>
    </row>
    <row r="556" spans="1:45" x14ac:dyDescent="0.3">
      <c r="A556" s="7" t="s">
        <v>1966</v>
      </c>
      <c r="B556" s="7" t="s">
        <v>4031</v>
      </c>
      <c r="C556" s="7" t="s">
        <v>219</v>
      </c>
      <c r="D556" s="7" t="s">
        <v>262</v>
      </c>
      <c r="E556" s="7" t="s">
        <v>52</v>
      </c>
      <c r="F556" s="7" t="s">
        <v>75</v>
      </c>
      <c r="G556" s="7" t="s">
        <v>50</v>
      </c>
      <c r="H556" s="7"/>
      <c r="I556" s="7" t="s">
        <v>191</v>
      </c>
      <c r="J556" s="7" t="s">
        <v>133</v>
      </c>
      <c r="K556" s="7" t="s">
        <v>204</v>
      </c>
      <c r="L556" s="7" t="s">
        <v>1967</v>
      </c>
      <c r="M556" s="7" t="s">
        <v>5113</v>
      </c>
      <c r="N556" s="7" t="s">
        <v>3667</v>
      </c>
      <c r="O556" s="7" t="s">
        <v>4488</v>
      </c>
      <c r="P556" s="7">
        <v>3</v>
      </c>
      <c r="Q556" s="7">
        <v>31058782</v>
      </c>
      <c r="R556" s="7">
        <v>0.17</v>
      </c>
      <c r="S556" s="7">
        <v>0.16</v>
      </c>
      <c r="T556" s="7">
        <v>29903395.309999999</v>
      </c>
      <c r="U556" s="7">
        <v>24418417.690000001</v>
      </c>
      <c r="V556" s="7">
        <v>0.26</v>
      </c>
      <c r="W556" s="7">
        <v>0.18</v>
      </c>
      <c r="X556" s="7" t="s">
        <v>1968</v>
      </c>
      <c r="Y556" s="7">
        <v>7998039.0099999998</v>
      </c>
      <c r="Z556" s="7">
        <v>5336564.16</v>
      </c>
      <c r="AA556" s="7">
        <v>45</v>
      </c>
      <c r="AB556" s="7">
        <v>104</v>
      </c>
      <c r="AC556" s="7" t="s">
        <v>329</v>
      </c>
      <c r="AD556" s="7" t="s">
        <v>320</v>
      </c>
      <c r="AE556" s="7">
        <v>0.41</v>
      </c>
      <c r="AF556" s="7" t="s">
        <v>159</v>
      </c>
      <c r="AG556" s="7">
        <v>0.1</v>
      </c>
      <c r="AH556" s="7">
        <v>0.05</v>
      </c>
      <c r="AI556" s="7">
        <v>0</v>
      </c>
      <c r="AJ556" s="7">
        <v>275</v>
      </c>
      <c r="AK556" s="7">
        <v>4333257.2</v>
      </c>
      <c r="AL556" s="7">
        <v>4120696.6</v>
      </c>
      <c r="AM556" s="7" t="s">
        <v>385</v>
      </c>
      <c r="AN556" s="7" t="s">
        <v>348</v>
      </c>
      <c r="AO556" s="7">
        <v>88</v>
      </c>
      <c r="AP556" s="7">
        <v>36</v>
      </c>
      <c r="AQ556" s="7"/>
      <c r="AR556" s="7" t="s">
        <v>192</v>
      </c>
      <c r="AS556" s="7" t="s">
        <v>361</v>
      </c>
    </row>
    <row r="557" spans="1:45" x14ac:dyDescent="0.3">
      <c r="A557" s="6" t="s">
        <v>1969</v>
      </c>
      <c r="B557" s="6" t="s">
        <v>5114</v>
      </c>
      <c r="C557" s="6" t="s">
        <v>286</v>
      </c>
      <c r="D557" s="6" t="s">
        <v>274</v>
      </c>
      <c r="E557" s="6" t="s">
        <v>4325</v>
      </c>
      <c r="F557" s="6" t="s">
        <v>19</v>
      </c>
      <c r="G557" s="6" t="s">
        <v>23</v>
      </c>
      <c r="H557" s="6" t="s">
        <v>4340</v>
      </c>
      <c r="I557" s="6" t="s">
        <v>4289</v>
      </c>
      <c r="J557" s="6" t="s">
        <v>115</v>
      </c>
      <c r="K557" s="6" t="s">
        <v>223</v>
      </c>
      <c r="L557" s="6" t="s">
        <v>1970</v>
      </c>
      <c r="M557" s="6" t="s">
        <v>4927</v>
      </c>
      <c r="N557" s="6" t="s">
        <v>5115</v>
      </c>
      <c r="O557" s="6" t="s">
        <v>3576</v>
      </c>
      <c r="P557" s="6" t="s">
        <v>4275</v>
      </c>
      <c r="Q557" s="6">
        <v>35153970</v>
      </c>
      <c r="R557" s="6">
        <v>0.23</v>
      </c>
      <c r="S557" s="6">
        <v>0.2</v>
      </c>
      <c r="T557" s="6">
        <v>32482268.280000001</v>
      </c>
      <c r="U557" s="6">
        <v>25080939.399999999</v>
      </c>
      <c r="V557" s="6">
        <v>0.09</v>
      </c>
      <c r="W557" s="6">
        <v>0.16</v>
      </c>
      <c r="X557" s="6" t="s">
        <v>1971</v>
      </c>
      <c r="Y557" s="6">
        <v>23666154.550000001</v>
      </c>
      <c r="Z557" s="6">
        <v>13754469.09</v>
      </c>
      <c r="AA557" s="6">
        <v>45</v>
      </c>
      <c r="AB557" s="6">
        <v>67</v>
      </c>
      <c r="AC557" s="6" t="s">
        <v>342</v>
      </c>
      <c r="AD557" s="6" t="s">
        <v>320</v>
      </c>
      <c r="AE557" s="6">
        <v>0.22</v>
      </c>
      <c r="AF557" s="6"/>
      <c r="AG557" s="6">
        <v>0.05</v>
      </c>
      <c r="AH557" s="6">
        <v>0.09</v>
      </c>
      <c r="AI557" s="6">
        <v>7</v>
      </c>
      <c r="AJ557" s="6">
        <v>3284</v>
      </c>
      <c r="AK557" s="6">
        <v>4532034.97</v>
      </c>
      <c r="AL557" s="6">
        <v>8005024.2300000004</v>
      </c>
      <c r="AM557" s="6" t="s">
        <v>391</v>
      </c>
      <c r="AN557" s="6" t="s">
        <v>330</v>
      </c>
      <c r="AO557" s="6">
        <v>84.5</v>
      </c>
      <c r="AP557" s="6">
        <v>60</v>
      </c>
      <c r="AQ557" s="6" t="s">
        <v>323</v>
      </c>
      <c r="AR557" s="6" t="s">
        <v>192</v>
      </c>
      <c r="AS557" s="6" t="s">
        <v>377</v>
      </c>
    </row>
    <row r="558" spans="1:45" x14ac:dyDescent="0.3">
      <c r="A558" s="7" t="s">
        <v>1972</v>
      </c>
      <c r="B558" s="7" t="s">
        <v>3958</v>
      </c>
      <c r="C558" s="7" t="s">
        <v>214</v>
      </c>
      <c r="D558" s="7" t="s">
        <v>562</v>
      </c>
      <c r="E558" s="7" t="s">
        <v>113</v>
      </c>
      <c r="F558" s="7" t="s">
        <v>181</v>
      </c>
      <c r="G558" s="7" t="s">
        <v>16</v>
      </c>
      <c r="H558" s="7" t="s">
        <v>4326</v>
      </c>
      <c r="I558" s="7" t="s">
        <v>4289</v>
      </c>
      <c r="J558" s="7" t="s">
        <v>123</v>
      </c>
      <c r="K558" s="7" t="s">
        <v>199</v>
      </c>
      <c r="L558" s="7" t="s">
        <v>1973</v>
      </c>
      <c r="M558" s="7" t="s">
        <v>3872</v>
      </c>
      <c r="N558" s="7" t="s">
        <v>4680</v>
      </c>
      <c r="O558" s="7" t="s">
        <v>3814</v>
      </c>
      <c r="P558" s="7">
        <v>40</v>
      </c>
      <c r="Q558" s="7">
        <v>23422754</v>
      </c>
      <c r="R558" s="7">
        <v>0.08</v>
      </c>
      <c r="S558" s="7">
        <v>0.15</v>
      </c>
      <c r="T558" s="7">
        <v>24781273.73</v>
      </c>
      <c r="U558" s="7">
        <v>15515785.220000001</v>
      </c>
      <c r="V558" s="7">
        <v>0.23</v>
      </c>
      <c r="W558" s="7">
        <v>0.11</v>
      </c>
      <c r="X558" s="7" t="s">
        <v>1668</v>
      </c>
      <c r="Y558" s="7">
        <v>12938009.99</v>
      </c>
      <c r="Z558" s="7">
        <v>13817102.289999999</v>
      </c>
      <c r="AA558" s="7">
        <v>120</v>
      </c>
      <c r="AB558" s="7">
        <v>77</v>
      </c>
      <c r="AC558" s="7" t="s">
        <v>342</v>
      </c>
      <c r="AD558" s="7" t="s">
        <v>320</v>
      </c>
      <c r="AE558" s="7">
        <v>0.22</v>
      </c>
      <c r="AF558" s="7" t="s">
        <v>4294</v>
      </c>
      <c r="AG558" s="7">
        <v>0.1</v>
      </c>
      <c r="AH558" s="7">
        <v>0.09</v>
      </c>
      <c r="AI558" s="7">
        <v>6</v>
      </c>
      <c r="AJ558" s="7">
        <v>2564</v>
      </c>
      <c r="AK558" s="7">
        <v>6085715.6600000001</v>
      </c>
      <c r="AL558" s="7">
        <v>8135065.71</v>
      </c>
      <c r="AM558" s="7" t="s">
        <v>385</v>
      </c>
      <c r="AN558" s="7"/>
      <c r="AO558" s="7">
        <v>88.9</v>
      </c>
      <c r="AP558" s="7" t="s">
        <v>4275</v>
      </c>
      <c r="AQ558" s="7" t="s">
        <v>323</v>
      </c>
      <c r="AR558" s="7" t="s">
        <v>206</v>
      </c>
      <c r="AS558" s="7" t="s">
        <v>377</v>
      </c>
    </row>
    <row r="559" spans="1:45" x14ac:dyDescent="0.3">
      <c r="A559" s="6" t="s">
        <v>1974</v>
      </c>
      <c r="B559" s="6" t="s">
        <v>5086</v>
      </c>
      <c r="C559" s="6" t="s">
        <v>258</v>
      </c>
      <c r="D559" s="6" t="s">
        <v>394</v>
      </c>
      <c r="E559" s="6" t="s">
        <v>4306</v>
      </c>
      <c r="F559" s="6" t="s">
        <v>75</v>
      </c>
      <c r="G559" s="6" t="s">
        <v>33</v>
      </c>
      <c r="H559" s="6" t="s">
        <v>4326</v>
      </c>
      <c r="I559" s="6" t="s">
        <v>191</v>
      </c>
      <c r="J559" s="7" t="s">
        <v>119</v>
      </c>
      <c r="K559" s="6" t="s">
        <v>223</v>
      </c>
      <c r="L559" s="6" t="s">
        <v>1975</v>
      </c>
      <c r="M559" s="6" t="s">
        <v>2392</v>
      </c>
      <c r="N559" s="6" t="s">
        <v>1976</v>
      </c>
      <c r="O559" s="6" t="s">
        <v>3362</v>
      </c>
      <c r="P559" s="6">
        <v>22</v>
      </c>
      <c r="Q559" s="6">
        <v>31190197</v>
      </c>
      <c r="R559" s="6">
        <v>0.24</v>
      </c>
      <c r="S559" s="6">
        <v>0.05</v>
      </c>
      <c r="T559" s="6">
        <v>24889777.210000001</v>
      </c>
      <c r="U559" s="6">
        <v>15649758</v>
      </c>
      <c r="V559" s="6">
        <v>0.28999999999999998</v>
      </c>
      <c r="W559" s="6">
        <v>0.08</v>
      </c>
      <c r="X559" s="6" t="s">
        <v>1977</v>
      </c>
      <c r="Y559" s="6">
        <v>5084512.3499999996</v>
      </c>
      <c r="Z559" s="6">
        <v>1674102.6</v>
      </c>
      <c r="AA559" s="6">
        <v>90</v>
      </c>
      <c r="AB559" s="6">
        <v>31</v>
      </c>
      <c r="AC559" s="6" t="s">
        <v>342</v>
      </c>
      <c r="AD559" s="6" t="s">
        <v>354</v>
      </c>
      <c r="AE559" s="6">
        <v>0.09</v>
      </c>
      <c r="AF559" s="6" t="s">
        <v>153</v>
      </c>
      <c r="AG559" s="6">
        <v>0.05</v>
      </c>
      <c r="AH559" s="6">
        <v>0.08</v>
      </c>
      <c r="AI559" s="6">
        <v>14</v>
      </c>
      <c r="AJ559" s="6">
        <v>3483</v>
      </c>
      <c r="AK559" s="6">
        <v>2823725.52</v>
      </c>
      <c r="AL559" s="6">
        <v>7825751.6100000003</v>
      </c>
      <c r="AM559" s="6"/>
      <c r="AN559" s="6"/>
      <c r="AO559" s="6">
        <v>91.8</v>
      </c>
      <c r="AP559" s="6">
        <v>60</v>
      </c>
      <c r="AQ559" s="6" t="s">
        <v>4275</v>
      </c>
      <c r="AR559" s="6" t="s">
        <v>224</v>
      </c>
      <c r="AS559" s="6" t="s">
        <v>361</v>
      </c>
    </row>
    <row r="560" spans="1:45" x14ac:dyDescent="0.3">
      <c r="A560" s="7" t="s">
        <v>1978</v>
      </c>
      <c r="B560" s="7" t="s">
        <v>5116</v>
      </c>
      <c r="C560" s="7" t="s">
        <v>277</v>
      </c>
      <c r="D560" s="7" t="s">
        <v>202</v>
      </c>
      <c r="E560" s="7" t="s">
        <v>41</v>
      </c>
      <c r="F560" s="7" t="s">
        <v>350</v>
      </c>
      <c r="G560" s="7" t="s">
        <v>54</v>
      </c>
      <c r="H560" s="7" t="s">
        <v>182</v>
      </c>
      <c r="I560" s="7" t="s">
        <v>191</v>
      </c>
      <c r="J560" s="6" t="s">
        <v>105</v>
      </c>
      <c r="K560" s="7" t="s">
        <v>199</v>
      </c>
      <c r="L560" s="7" t="s">
        <v>1979</v>
      </c>
      <c r="M560" s="7" t="s">
        <v>5117</v>
      </c>
      <c r="N560" s="7" t="s">
        <v>3700</v>
      </c>
      <c r="O560" s="7" t="s">
        <v>5118</v>
      </c>
      <c r="P560" s="7">
        <v>50</v>
      </c>
      <c r="Q560" s="7">
        <v>33818485</v>
      </c>
      <c r="R560" s="7">
        <v>0.14000000000000001</v>
      </c>
      <c r="S560" s="7">
        <v>0.19</v>
      </c>
      <c r="T560" s="7">
        <v>34609837.549999997</v>
      </c>
      <c r="U560" s="7">
        <v>24437139.899999999</v>
      </c>
      <c r="V560" s="7">
        <v>0.31</v>
      </c>
      <c r="W560" s="7">
        <v>0.09</v>
      </c>
      <c r="X560" s="7" t="s">
        <v>1980</v>
      </c>
      <c r="Y560" s="7">
        <v>27088897.219999999</v>
      </c>
      <c r="Z560" s="7">
        <v>25850569.98</v>
      </c>
      <c r="AA560" s="7">
        <v>120</v>
      </c>
      <c r="AB560" s="7">
        <v>76</v>
      </c>
      <c r="AC560" s="7" t="s">
        <v>376</v>
      </c>
      <c r="AD560" s="7" t="s">
        <v>354</v>
      </c>
      <c r="AE560" s="7">
        <v>0.83</v>
      </c>
      <c r="AF560" s="7" t="s">
        <v>4303</v>
      </c>
      <c r="AG560" s="7">
        <v>0.15</v>
      </c>
      <c r="AH560" s="7">
        <v>0.09</v>
      </c>
      <c r="AI560" s="7">
        <v>13</v>
      </c>
      <c r="AJ560" s="7">
        <v>2084</v>
      </c>
      <c r="AK560" s="7"/>
      <c r="AL560" s="7">
        <v>9589465.9700000007</v>
      </c>
      <c r="AM560" s="7" t="s">
        <v>385</v>
      </c>
      <c r="AN560" s="7" t="s">
        <v>330</v>
      </c>
      <c r="AO560" s="7">
        <v>93.2</v>
      </c>
      <c r="AP560" s="7">
        <v>12</v>
      </c>
      <c r="AQ560" s="7"/>
      <c r="AR560" s="7" t="s">
        <v>186</v>
      </c>
      <c r="AS560" s="7" t="s">
        <v>324</v>
      </c>
    </row>
    <row r="561" spans="1:45" x14ac:dyDescent="0.3">
      <c r="A561" s="6" t="s">
        <v>1981</v>
      </c>
      <c r="B561" s="6" t="s">
        <v>4737</v>
      </c>
      <c r="C561" s="6" t="s">
        <v>271</v>
      </c>
      <c r="D561" s="6" t="s">
        <v>245</v>
      </c>
      <c r="E561" s="6" t="s">
        <v>4376</v>
      </c>
      <c r="F561" s="6" t="s">
        <v>35</v>
      </c>
      <c r="G561" s="6"/>
      <c r="H561" s="6" t="s">
        <v>216</v>
      </c>
      <c r="I561" s="6" t="s">
        <v>4291</v>
      </c>
      <c r="J561" s="6" t="s">
        <v>136</v>
      </c>
      <c r="K561" s="6" t="s">
        <v>184</v>
      </c>
      <c r="L561" s="6" t="s">
        <v>1982</v>
      </c>
      <c r="M561" s="6" t="s">
        <v>4636</v>
      </c>
      <c r="N561" s="6" t="s">
        <v>4526</v>
      </c>
      <c r="O561" s="6" t="s">
        <v>4274</v>
      </c>
      <c r="P561" s="6">
        <v>20</v>
      </c>
      <c r="Q561" s="6">
        <v>43262601</v>
      </c>
      <c r="R561" s="6">
        <v>0.22</v>
      </c>
      <c r="S561" s="6">
        <v>0.03</v>
      </c>
      <c r="T561" s="6">
        <v>34757173.640000001</v>
      </c>
      <c r="U561" s="6">
        <v>20867942.43</v>
      </c>
      <c r="V561" s="6">
        <v>0.13</v>
      </c>
      <c r="W561" s="6">
        <v>0.17</v>
      </c>
      <c r="X561" s="6" t="s">
        <v>1983</v>
      </c>
      <c r="Y561" s="6">
        <v>2535109.14</v>
      </c>
      <c r="Z561" s="6">
        <v>1654769.73</v>
      </c>
      <c r="AA561" s="6">
        <v>60</v>
      </c>
      <c r="AB561" s="6">
        <v>72</v>
      </c>
      <c r="AC561" s="6" t="s">
        <v>329</v>
      </c>
      <c r="AD561" s="6" t="s">
        <v>406</v>
      </c>
      <c r="AE561" s="6">
        <v>0.56999999999999995</v>
      </c>
      <c r="AF561" s="6" t="s">
        <v>162</v>
      </c>
      <c r="AG561" s="6">
        <v>0.05</v>
      </c>
      <c r="AH561" s="6">
        <v>0.08</v>
      </c>
      <c r="AI561" s="6">
        <v>15</v>
      </c>
      <c r="AJ561" s="6">
        <v>1166</v>
      </c>
      <c r="AK561" s="6">
        <v>4824324.05</v>
      </c>
      <c r="AL561" s="6">
        <v>9759197.5700000003</v>
      </c>
      <c r="AM561" s="6"/>
      <c r="AN561" s="6" t="s">
        <v>356</v>
      </c>
      <c r="AO561" s="6">
        <v>51.5</v>
      </c>
      <c r="AP561" s="6">
        <v>24</v>
      </c>
      <c r="AQ561" s="6" t="s">
        <v>387</v>
      </c>
      <c r="AR561" s="6" t="s">
        <v>229</v>
      </c>
      <c r="AS561" s="6" t="s">
        <v>361</v>
      </c>
    </row>
    <row r="562" spans="1:45" x14ac:dyDescent="0.3">
      <c r="A562" s="7" t="s">
        <v>1984</v>
      </c>
      <c r="B562" s="7" t="s">
        <v>5119</v>
      </c>
      <c r="C562" s="7" t="s">
        <v>275</v>
      </c>
      <c r="D562" s="7"/>
      <c r="E562" s="7"/>
      <c r="F562" s="7" t="s">
        <v>19</v>
      </c>
      <c r="G562" s="7" t="s">
        <v>73</v>
      </c>
      <c r="H562" s="7" t="s">
        <v>4271</v>
      </c>
      <c r="I562" s="7" t="s">
        <v>240</v>
      </c>
      <c r="J562" s="7" t="s">
        <v>99</v>
      </c>
      <c r="K562" s="7" t="s">
        <v>223</v>
      </c>
      <c r="L562" s="7" t="s">
        <v>1985</v>
      </c>
      <c r="M562" s="7" t="s">
        <v>3713</v>
      </c>
      <c r="N562" s="7"/>
      <c r="O562" s="7" t="s">
        <v>1819</v>
      </c>
      <c r="P562" s="7">
        <v>43</v>
      </c>
      <c r="Q562" s="7">
        <v>2706027</v>
      </c>
      <c r="R562" s="7">
        <v>0.09</v>
      </c>
      <c r="S562" s="7">
        <v>0.16</v>
      </c>
      <c r="T562" s="7">
        <v>2856482.1</v>
      </c>
      <c r="U562" s="7">
        <v>2158103.33</v>
      </c>
      <c r="V562" s="7">
        <v>0.35</v>
      </c>
      <c r="W562" s="7">
        <v>0.05</v>
      </c>
      <c r="X562" s="7" t="s">
        <v>1986</v>
      </c>
      <c r="Y562" s="7">
        <v>2453423.4900000002</v>
      </c>
      <c r="Z562" s="7">
        <v>2509222.1</v>
      </c>
      <c r="AA562" s="7">
        <v>45</v>
      </c>
      <c r="AB562" s="7">
        <v>147</v>
      </c>
      <c r="AC562" s="7" t="s">
        <v>353</v>
      </c>
      <c r="AD562" s="7" t="s">
        <v>455</v>
      </c>
      <c r="AE562" s="7">
        <v>0.63</v>
      </c>
      <c r="AF562" s="7" t="s">
        <v>152</v>
      </c>
      <c r="AG562" s="7">
        <v>0.1</v>
      </c>
      <c r="AH562" s="7">
        <v>0.02</v>
      </c>
      <c r="AI562" s="7">
        <v>4</v>
      </c>
      <c r="AJ562" s="7">
        <v>2218</v>
      </c>
      <c r="AK562" s="7">
        <v>367924.72</v>
      </c>
      <c r="AL562" s="7">
        <v>1262579.95</v>
      </c>
      <c r="AM562" s="7"/>
      <c r="AN562" s="7" t="s">
        <v>321</v>
      </c>
      <c r="AO562" s="7">
        <v>60.7</v>
      </c>
      <c r="AP562" s="7" t="s">
        <v>4275</v>
      </c>
      <c r="AQ562" s="7"/>
      <c r="AR562" s="7" t="s">
        <v>224</v>
      </c>
      <c r="AS562" s="7" t="s">
        <v>357</v>
      </c>
    </row>
    <row r="563" spans="1:45" x14ac:dyDescent="0.3">
      <c r="A563" s="6" t="s">
        <v>1987</v>
      </c>
      <c r="B563" s="6" t="s">
        <v>5120</v>
      </c>
      <c r="C563" s="6" t="s">
        <v>260</v>
      </c>
      <c r="D563" s="6" t="s">
        <v>202</v>
      </c>
      <c r="E563" s="6" t="s">
        <v>20</v>
      </c>
      <c r="F563" s="6" t="s">
        <v>35</v>
      </c>
      <c r="G563" s="6" t="s">
        <v>33</v>
      </c>
      <c r="H563" s="6"/>
      <c r="I563" s="6" t="s">
        <v>233</v>
      </c>
      <c r="J563" s="6" t="s">
        <v>136</v>
      </c>
      <c r="K563" s="6" t="s">
        <v>210</v>
      </c>
      <c r="L563" s="6" t="s">
        <v>1988</v>
      </c>
      <c r="M563" s="6" t="s">
        <v>5121</v>
      </c>
      <c r="N563" s="6" t="s">
        <v>1989</v>
      </c>
      <c r="O563" s="6" t="s">
        <v>4274</v>
      </c>
      <c r="P563" s="6">
        <v>35</v>
      </c>
      <c r="Q563" s="6">
        <v>31562802</v>
      </c>
      <c r="R563" s="6">
        <v>0.02</v>
      </c>
      <c r="S563" s="6">
        <v>0.05</v>
      </c>
      <c r="T563" s="6">
        <v>32478123.260000002</v>
      </c>
      <c r="U563" s="6">
        <v>19600947.960000001</v>
      </c>
      <c r="V563" s="6">
        <v>0.32</v>
      </c>
      <c r="W563" s="6">
        <v>0.14000000000000001</v>
      </c>
      <c r="X563" s="6" t="s">
        <v>1990</v>
      </c>
      <c r="Y563" s="6">
        <v>16196149.880000001</v>
      </c>
      <c r="Z563" s="6">
        <v>9188012.8900000006</v>
      </c>
      <c r="AA563" s="6">
        <v>90</v>
      </c>
      <c r="AB563" s="6">
        <v>16</v>
      </c>
      <c r="AC563" s="6" t="s">
        <v>342</v>
      </c>
      <c r="AD563" s="6" t="s">
        <v>336</v>
      </c>
      <c r="AE563" s="6">
        <v>0.5</v>
      </c>
      <c r="AF563" s="6" t="s">
        <v>152</v>
      </c>
      <c r="AG563" s="6">
        <v>0.15</v>
      </c>
      <c r="AH563" s="6">
        <v>0.09</v>
      </c>
      <c r="AI563" s="6">
        <v>3</v>
      </c>
      <c r="AJ563" s="6">
        <v>344</v>
      </c>
      <c r="AK563" s="6">
        <v>7862697.8300000001</v>
      </c>
      <c r="AL563" s="6">
        <v>13138723.83</v>
      </c>
      <c r="AM563" s="6"/>
      <c r="AN563" s="6"/>
      <c r="AO563" s="6">
        <v>82.1</v>
      </c>
      <c r="AP563" s="6">
        <v>36</v>
      </c>
      <c r="AQ563" s="6" t="s">
        <v>4275</v>
      </c>
      <c r="AR563" s="6" t="s">
        <v>186</v>
      </c>
      <c r="AS563" s="6" t="s">
        <v>357</v>
      </c>
    </row>
    <row r="564" spans="1:45" x14ac:dyDescent="0.3">
      <c r="A564" s="7" t="s">
        <v>1991</v>
      </c>
      <c r="B564" s="7" t="s">
        <v>5074</v>
      </c>
      <c r="C564" s="7" t="s">
        <v>235</v>
      </c>
      <c r="D564" s="7" t="s">
        <v>180</v>
      </c>
      <c r="E564" s="7" t="s">
        <v>4325</v>
      </c>
      <c r="F564" s="7" t="s">
        <v>19</v>
      </c>
      <c r="G564" s="7" t="s">
        <v>16</v>
      </c>
      <c r="H564" s="7" t="s">
        <v>216</v>
      </c>
      <c r="I564" s="7" t="s">
        <v>203</v>
      </c>
      <c r="J564" s="7" t="s">
        <v>115</v>
      </c>
      <c r="K564" s="7" t="s">
        <v>199</v>
      </c>
      <c r="L564" s="7" t="s">
        <v>1992</v>
      </c>
      <c r="M564" s="7" t="s">
        <v>4833</v>
      </c>
      <c r="N564" s="7" t="s">
        <v>5122</v>
      </c>
      <c r="O564" s="7" t="s">
        <v>4767</v>
      </c>
      <c r="P564" s="7" t="s">
        <v>4275</v>
      </c>
      <c r="Q564" s="7">
        <v>23773276</v>
      </c>
      <c r="R564" s="7">
        <v>0.17</v>
      </c>
      <c r="S564" s="7">
        <v>0.06</v>
      </c>
      <c r="T564" s="7">
        <v>20915728.219999999</v>
      </c>
      <c r="U564" s="7">
        <v>18646692.289999999</v>
      </c>
      <c r="V564" s="7" t="s">
        <v>4374</v>
      </c>
      <c r="W564" s="7">
        <v>0.14000000000000001</v>
      </c>
      <c r="X564" s="7" t="s">
        <v>1993</v>
      </c>
      <c r="Y564" s="7">
        <v>16443082.76</v>
      </c>
      <c r="Z564" s="7">
        <v>13614006.310000001</v>
      </c>
      <c r="AA564" s="7">
        <v>30</v>
      </c>
      <c r="AB564" s="7">
        <v>75</v>
      </c>
      <c r="AC564" s="7" t="s">
        <v>329</v>
      </c>
      <c r="AD564" s="7" t="s">
        <v>354</v>
      </c>
      <c r="AE564" s="7">
        <v>0.87</v>
      </c>
      <c r="AF564" s="7" t="s">
        <v>4294</v>
      </c>
      <c r="AG564" s="7">
        <v>0.15</v>
      </c>
      <c r="AH564" s="7">
        <v>0.02</v>
      </c>
      <c r="AI564" s="7">
        <v>5</v>
      </c>
      <c r="AJ564" s="7">
        <v>453</v>
      </c>
      <c r="AK564" s="7">
        <v>2157848.46</v>
      </c>
      <c r="AL564" s="7">
        <v>9722307.3399999999</v>
      </c>
      <c r="AM564" s="7" t="s">
        <v>391</v>
      </c>
      <c r="AN564" s="7" t="s">
        <v>386</v>
      </c>
      <c r="AO564" s="7">
        <v>92.2</v>
      </c>
      <c r="AP564" s="7" t="s">
        <v>4275</v>
      </c>
      <c r="AQ564" s="7"/>
      <c r="AR564" s="7" t="s">
        <v>224</v>
      </c>
      <c r="AS564" s="7" t="s">
        <v>324</v>
      </c>
    </row>
    <row r="565" spans="1:45" x14ac:dyDescent="0.3">
      <c r="A565" s="6" t="s">
        <v>1994</v>
      </c>
      <c r="B565" s="6" t="s">
        <v>4712</v>
      </c>
      <c r="C565" s="6" t="s">
        <v>278</v>
      </c>
      <c r="D565" s="6" t="s">
        <v>209</v>
      </c>
      <c r="E565" s="6" t="s">
        <v>4376</v>
      </c>
      <c r="F565" s="6" t="s">
        <v>31</v>
      </c>
      <c r="G565" s="6" t="s">
        <v>62</v>
      </c>
      <c r="H565" s="6" t="s">
        <v>263</v>
      </c>
      <c r="I565" s="6" t="s">
        <v>4289</v>
      </c>
      <c r="J565" s="6" t="s">
        <v>136</v>
      </c>
      <c r="K565" s="6" t="s">
        <v>223</v>
      </c>
      <c r="L565" s="6" t="s">
        <v>1995</v>
      </c>
      <c r="M565" s="6" t="s">
        <v>3726</v>
      </c>
      <c r="N565" s="6" t="s">
        <v>5123</v>
      </c>
      <c r="O565" s="6" t="s">
        <v>4274</v>
      </c>
      <c r="P565" s="6">
        <v>15</v>
      </c>
      <c r="Q565" s="6">
        <v>1631484</v>
      </c>
      <c r="R565" s="6">
        <v>0.34</v>
      </c>
      <c r="S565" s="6">
        <v>0.16</v>
      </c>
      <c r="T565" s="6">
        <v>1249064.1499999999</v>
      </c>
      <c r="U565" s="6">
        <v>1104436.55</v>
      </c>
      <c r="V565" s="6">
        <v>0.06</v>
      </c>
      <c r="W565" s="6">
        <v>0.2</v>
      </c>
      <c r="X565" s="6" t="s">
        <v>1996</v>
      </c>
      <c r="Y565" s="6">
        <v>237775.1</v>
      </c>
      <c r="Z565" s="6">
        <v>118105.31</v>
      </c>
      <c r="AA565" s="6">
        <v>90</v>
      </c>
      <c r="AB565" s="6">
        <v>91</v>
      </c>
      <c r="AC565" s="6" t="s">
        <v>376</v>
      </c>
      <c r="AD565" s="6" t="s">
        <v>354</v>
      </c>
      <c r="AE565" s="6">
        <v>0.3</v>
      </c>
      <c r="AF565" s="6" t="s">
        <v>4276</v>
      </c>
      <c r="AG565" s="6">
        <v>0.05</v>
      </c>
      <c r="AH565" s="6">
        <v>0.1</v>
      </c>
      <c r="AI565" s="6">
        <v>0</v>
      </c>
      <c r="AJ565" s="6">
        <v>276</v>
      </c>
      <c r="AK565" s="6">
        <v>286424.09000000003</v>
      </c>
      <c r="AL565" s="6"/>
      <c r="AM565" s="6" t="s">
        <v>73</v>
      </c>
      <c r="AN565" s="6"/>
      <c r="AO565" s="6">
        <v>75.900000000000006</v>
      </c>
      <c r="AP565" s="6">
        <v>36</v>
      </c>
      <c r="AQ565" s="6" t="s">
        <v>392</v>
      </c>
      <c r="AR565" s="6" t="s">
        <v>229</v>
      </c>
      <c r="AS565" s="6" t="s">
        <v>324</v>
      </c>
    </row>
    <row r="566" spans="1:45" x14ac:dyDescent="0.3">
      <c r="A566" s="7" t="s">
        <v>1997</v>
      </c>
      <c r="B566" s="7" t="s">
        <v>4815</v>
      </c>
      <c r="C566" s="7" t="s">
        <v>239</v>
      </c>
      <c r="D566" s="7" t="s">
        <v>248</v>
      </c>
      <c r="E566" s="7" t="s">
        <v>4306</v>
      </c>
      <c r="F566" s="7" t="s">
        <v>75</v>
      </c>
      <c r="G566" s="7" t="s">
        <v>57</v>
      </c>
      <c r="H566" s="7" t="s">
        <v>236</v>
      </c>
      <c r="I566" s="7" t="s">
        <v>246</v>
      </c>
      <c r="J566" s="7" t="s">
        <v>133</v>
      </c>
      <c r="K566" s="7" t="s">
        <v>223</v>
      </c>
      <c r="L566" s="7" t="s">
        <v>1998</v>
      </c>
      <c r="M566" s="7" t="s">
        <v>5124</v>
      </c>
      <c r="N566" s="7" t="s">
        <v>4020</v>
      </c>
      <c r="O566" s="7" t="s">
        <v>5125</v>
      </c>
      <c r="P566" s="7">
        <v>35</v>
      </c>
      <c r="Q566" s="7">
        <v>30202419</v>
      </c>
      <c r="R566" s="7">
        <v>0.31</v>
      </c>
      <c r="S566" s="7">
        <v>0.1</v>
      </c>
      <c r="T566" s="7">
        <v>22923636.02</v>
      </c>
      <c r="U566" s="7">
        <v>16664717.15</v>
      </c>
      <c r="V566" s="7">
        <v>0.34</v>
      </c>
      <c r="W566" s="7">
        <v>0.1</v>
      </c>
      <c r="X566" s="7"/>
      <c r="Y566" s="7">
        <v>11384334.75</v>
      </c>
      <c r="Z566" s="7">
        <v>10231959.130000001</v>
      </c>
      <c r="AA566" s="7">
        <v>60</v>
      </c>
      <c r="AB566" s="7">
        <v>85</v>
      </c>
      <c r="AC566" s="7"/>
      <c r="AD566" s="7" t="s">
        <v>406</v>
      </c>
      <c r="AE566" s="7">
        <v>0.65</v>
      </c>
      <c r="AF566" s="7" t="s">
        <v>159</v>
      </c>
      <c r="AG566" s="7">
        <v>0.1</v>
      </c>
      <c r="AH566" s="7">
        <v>0.03</v>
      </c>
      <c r="AI566" s="7">
        <v>3</v>
      </c>
      <c r="AJ566" s="7">
        <v>132</v>
      </c>
      <c r="AK566" s="7">
        <v>4477160.7</v>
      </c>
      <c r="AL566" s="7">
        <v>4875627.4000000004</v>
      </c>
      <c r="AM566" s="7" t="s">
        <v>385</v>
      </c>
      <c r="AN566" s="7" t="s">
        <v>386</v>
      </c>
      <c r="AO566" s="7">
        <v>75.099999999999994</v>
      </c>
      <c r="AP566" s="7">
        <v>36</v>
      </c>
      <c r="AQ566" s="7" t="s">
        <v>4275</v>
      </c>
      <c r="AR566" s="7" t="s">
        <v>229</v>
      </c>
      <c r="AS566" s="7" t="s">
        <v>357</v>
      </c>
    </row>
    <row r="567" spans="1:45" x14ac:dyDescent="0.3">
      <c r="A567" s="6" t="s">
        <v>1999</v>
      </c>
      <c r="B567" s="6" t="s">
        <v>4033</v>
      </c>
      <c r="C567" s="6" t="s">
        <v>243</v>
      </c>
      <c r="D567" s="6" t="s">
        <v>215</v>
      </c>
      <c r="E567" s="6" t="s">
        <v>113</v>
      </c>
      <c r="F567" s="6" t="s">
        <v>181</v>
      </c>
      <c r="G567" s="6" t="s">
        <v>57</v>
      </c>
      <c r="H567" s="6" t="s">
        <v>4266</v>
      </c>
      <c r="I567" s="6" t="s">
        <v>203</v>
      </c>
      <c r="J567" s="6" t="s">
        <v>123</v>
      </c>
      <c r="K567" s="6" t="s">
        <v>204</v>
      </c>
      <c r="L567" s="6" t="s">
        <v>2000</v>
      </c>
      <c r="M567" s="6" t="s">
        <v>4942</v>
      </c>
      <c r="N567" s="6" t="s">
        <v>4034</v>
      </c>
      <c r="O567" s="6" t="s">
        <v>3706</v>
      </c>
      <c r="P567" s="6">
        <v>50</v>
      </c>
      <c r="Q567" s="6">
        <v>19693838</v>
      </c>
      <c r="R567" s="6">
        <v>0.02</v>
      </c>
      <c r="S567" s="6">
        <v>0.18</v>
      </c>
      <c r="T567" s="6">
        <v>22773954.260000002</v>
      </c>
      <c r="U567" s="6">
        <v>19208147.510000002</v>
      </c>
      <c r="V567" s="6">
        <v>0.21</v>
      </c>
      <c r="W567" s="6">
        <v>0.06</v>
      </c>
      <c r="X567" s="6" t="s">
        <v>2001</v>
      </c>
      <c r="Y567" s="6">
        <v>1656756.34</v>
      </c>
      <c r="Z567" s="6">
        <v>1733333.63</v>
      </c>
      <c r="AA567" s="6">
        <v>90</v>
      </c>
      <c r="AB567" s="6">
        <v>153</v>
      </c>
      <c r="AC567" s="6" t="s">
        <v>342</v>
      </c>
      <c r="AD567" s="6" t="s">
        <v>226</v>
      </c>
      <c r="AE567" s="6">
        <v>0.92</v>
      </c>
      <c r="AF567" s="6" t="s">
        <v>153</v>
      </c>
      <c r="AG567" s="6">
        <v>0.1</v>
      </c>
      <c r="AH567" s="6">
        <v>0.08</v>
      </c>
      <c r="AI567" s="6">
        <v>6</v>
      </c>
      <c r="AJ567" s="6">
        <v>2338</v>
      </c>
      <c r="AK567" s="6">
        <v>2082088.38</v>
      </c>
      <c r="AL567" s="6">
        <v>6067479.5</v>
      </c>
      <c r="AM567" s="6" t="s">
        <v>355</v>
      </c>
      <c r="AN567" s="6" t="s">
        <v>330</v>
      </c>
      <c r="AO567" s="6"/>
      <c r="AP567" s="6">
        <v>12</v>
      </c>
      <c r="AQ567" s="6"/>
      <c r="AR567" s="6" t="s">
        <v>229</v>
      </c>
      <c r="AS567" s="6" t="s">
        <v>324</v>
      </c>
    </row>
    <row r="568" spans="1:45" x14ac:dyDescent="0.3">
      <c r="A568" s="7" t="s">
        <v>2002</v>
      </c>
      <c r="B568" s="7" t="s">
        <v>4945</v>
      </c>
      <c r="C568" s="7" t="s">
        <v>230</v>
      </c>
      <c r="D568" s="7" t="s">
        <v>190</v>
      </c>
      <c r="E568" s="7" t="s">
        <v>20</v>
      </c>
      <c r="F568" s="7" t="s">
        <v>196</v>
      </c>
      <c r="G568" s="7" t="s">
        <v>73</v>
      </c>
      <c r="H568" s="7" t="s">
        <v>236</v>
      </c>
      <c r="I568" s="7" t="s">
        <v>4289</v>
      </c>
      <c r="J568" s="7" t="s">
        <v>136</v>
      </c>
      <c r="K568" s="7" t="s">
        <v>221</v>
      </c>
      <c r="L568" s="7" t="s">
        <v>2003</v>
      </c>
      <c r="M568" s="7" t="s">
        <v>3304</v>
      </c>
      <c r="N568" s="7" t="s">
        <v>5126</v>
      </c>
      <c r="O568" s="7" t="s">
        <v>4274</v>
      </c>
      <c r="P568" s="7">
        <v>26</v>
      </c>
      <c r="Q568" s="7">
        <v>32987978</v>
      </c>
      <c r="R568" s="7">
        <v>0.05</v>
      </c>
      <c r="S568" s="7">
        <v>0.03</v>
      </c>
      <c r="T568" s="7">
        <v>32278736.469999999</v>
      </c>
      <c r="U568" s="7">
        <v>21697698.59</v>
      </c>
      <c r="V568" s="7">
        <v>0.17</v>
      </c>
      <c r="W568" s="7">
        <v>0.19</v>
      </c>
      <c r="X568" s="7" t="s">
        <v>2004</v>
      </c>
      <c r="Y568" s="7">
        <v>17695360.18</v>
      </c>
      <c r="Z568" s="7">
        <v>10171379.029999999</v>
      </c>
      <c r="AA568" s="7">
        <v>30</v>
      </c>
      <c r="AB568" s="7">
        <v>44</v>
      </c>
      <c r="AC568" s="7" t="s">
        <v>342</v>
      </c>
      <c r="AD568" s="7" t="s">
        <v>406</v>
      </c>
      <c r="AE568" s="7">
        <v>0.78</v>
      </c>
      <c r="AF568" s="7" t="s">
        <v>159</v>
      </c>
      <c r="AG568" s="7">
        <v>0.1</v>
      </c>
      <c r="AH568" s="7">
        <v>0.05</v>
      </c>
      <c r="AI568" s="7">
        <v>0</v>
      </c>
      <c r="AJ568" s="7">
        <v>1768</v>
      </c>
      <c r="AK568" s="7">
        <v>6542782.3099999996</v>
      </c>
      <c r="AL568" s="7">
        <v>9472574.2400000002</v>
      </c>
      <c r="AM568" s="7" t="s">
        <v>391</v>
      </c>
      <c r="AN568" s="7"/>
      <c r="AO568" s="7">
        <v>71.8</v>
      </c>
      <c r="AP568" s="7">
        <v>48</v>
      </c>
      <c r="AQ568" s="7" t="s">
        <v>4275</v>
      </c>
      <c r="AR568" s="7" t="s">
        <v>206</v>
      </c>
      <c r="AS568" s="7" t="s">
        <v>361</v>
      </c>
    </row>
    <row r="569" spans="1:45" x14ac:dyDescent="0.3">
      <c r="A569" s="6" t="s">
        <v>2005</v>
      </c>
      <c r="B569" s="6" t="s">
        <v>4896</v>
      </c>
      <c r="C569" s="6" t="s">
        <v>285</v>
      </c>
      <c r="D569" s="6" t="s">
        <v>562</v>
      </c>
      <c r="E569" s="6"/>
      <c r="F569" s="6" t="s">
        <v>31</v>
      </c>
      <c r="G569" s="6" t="s">
        <v>66</v>
      </c>
      <c r="H569" s="6"/>
      <c r="I569" s="6" t="s">
        <v>4307</v>
      </c>
      <c r="J569" s="6" t="s">
        <v>99</v>
      </c>
      <c r="K569" s="6" t="s">
        <v>184</v>
      </c>
      <c r="L569" s="6" t="s">
        <v>2006</v>
      </c>
      <c r="M569" s="6" t="s">
        <v>5127</v>
      </c>
      <c r="N569" s="6" t="s">
        <v>4035</v>
      </c>
      <c r="O569" s="6" t="s">
        <v>4274</v>
      </c>
      <c r="P569" s="6">
        <v>51</v>
      </c>
      <c r="Q569" s="6">
        <v>2211205</v>
      </c>
      <c r="R569" s="6">
        <v>0.18</v>
      </c>
      <c r="S569" s="6">
        <v>0.14000000000000001</v>
      </c>
      <c r="T569" s="6">
        <v>2067034.43</v>
      </c>
      <c r="U569" s="6">
        <v>1610561.25</v>
      </c>
      <c r="V569" s="6">
        <v>0.18</v>
      </c>
      <c r="W569" s="6">
        <v>0.08</v>
      </c>
      <c r="X569" s="6" t="s">
        <v>2007</v>
      </c>
      <c r="Y569" s="6">
        <v>192632.81</v>
      </c>
      <c r="Z569" s="6">
        <v>88753.34</v>
      </c>
      <c r="AA569" s="6">
        <v>90</v>
      </c>
      <c r="AB569" s="6">
        <v>23</v>
      </c>
      <c r="AC569" s="6" t="s">
        <v>347</v>
      </c>
      <c r="AD569" s="6" t="s">
        <v>320</v>
      </c>
      <c r="AE569" s="6">
        <v>0.4</v>
      </c>
      <c r="AF569" s="6" t="s">
        <v>4294</v>
      </c>
      <c r="AG569" s="6">
        <v>0.1</v>
      </c>
      <c r="AH569" s="6">
        <v>7.0000000000000007E-2</v>
      </c>
      <c r="AI569" s="6">
        <v>10</v>
      </c>
      <c r="AJ569" s="6">
        <v>1954</v>
      </c>
      <c r="AK569" s="6">
        <v>488438.44</v>
      </c>
      <c r="AL569" s="6">
        <v>619923.66</v>
      </c>
      <c r="AM569" s="6" t="s">
        <v>385</v>
      </c>
      <c r="AN569" s="6" t="s">
        <v>321</v>
      </c>
      <c r="AO569" s="6">
        <v>64.3</v>
      </c>
      <c r="AP569" s="6" t="s">
        <v>4275</v>
      </c>
      <c r="AQ569" s="6" t="s">
        <v>4275</v>
      </c>
      <c r="AR569" s="6" t="s">
        <v>224</v>
      </c>
      <c r="AS569" s="6" t="s">
        <v>324</v>
      </c>
    </row>
    <row r="570" spans="1:45" x14ac:dyDescent="0.3">
      <c r="A570" s="7" t="s">
        <v>2008</v>
      </c>
      <c r="B570" s="7" t="s">
        <v>5128</v>
      </c>
      <c r="C570" s="7" t="s">
        <v>227</v>
      </c>
      <c r="D570" s="7" t="s">
        <v>238</v>
      </c>
      <c r="E570" s="7" t="s">
        <v>4325</v>
      </c>
      <c r="F570" s="7" t="s">
        <v>339</v>
      </c>
      <c r="G570" s="7" t="s">
        <v>80</v>
      </c>
      <c r="H570" s="7" t="s">
        <v>212</v>
      </c>
      <c r="I570" s="7"/>
      <c r="J570" s="7" t="s">
        <v>115</v>
      </c>
      <c r="K570" s="7" t="s">
        <v>326</v>
      </c>
      <c r="L570" s="7" t="s">
        <v>2009</v>
      </c>
      <c r="M570" s="7" t="s">
        <v>4634</v>
      </c>
      <c r="N570" s="7" t="s">
        <v>2010</v>
      </c>
      <c r="O570" s="7" t="s">
        <v>4036</v>
      </c>
      <c r="P570" s="7">
        <v>41</v>
      </c>
      <c r="Q570" s="7">
        <v>4413357</v>
      </c>
      <c r="R570" s="7">
        <v>0.2</v>
      </c>
      <c r="S570" s="7">
        <v>0.1</v>
      </c>
      <c r="T570" s="7">
        <v>3883754.16</v>
      </c>
      <c r="U570" s="7">
        <v>2803835.63</v>
      </c>
      <c r="V570" s="7">
        <v>0.32</v>
      </c>
      <c r="W570" s="7">
        <v>0.1</v>
      </c>
      <c r="X570" s="7" t="s">
        <v>2011</v>
      </c>
      <c r="Y570" s="7">
        <v>1937920.85</v>
      </c>
      <c r="Z570" s="7">
        <v>1020627.83</v>
      </c>
      <c r="AA570" s="7">
        <v>90</v>
      </c>
      <c r="AB570" s="7">
        <v>134</v>
      </c>
      <c r="AC570" s="7" t="s">
        <v>376</v>
      </c>
      <c r="AD570" s="7" t="s">
        <v>336</v>
      </c>
      <c r="AE570" s="7">
        <v>0.14000000000000001</v>
      </c>
      <c r="AF570" s="7" t="s">
        <v>159</v>
      </c>
      <c r="AG570" s="7">
        <v>0.1</v>
      </c>
      <c r="AH570" s="7">
        <v>0.08</v>
      </c>
      <c r="AI570" s="7">
        <v>13</v>
      </c>
      <c r="AJ570" s="7">
        <v>1392</v>
      </c>
      <c r="AK570" s="7">
        <v>547955.54</v>
      </c>
      <c r="AL570" s="7">
        <v>863677.62</v>
      </c>
      <c r="AM570" s="7" t="s">
        <v>355</v>
      </c>
      <c r="AN570" s="7" t="s">
        <v>321</v>
      </c>
      <c r="AO570" s="7">
        <v>77.5</v>
      </c>
      <c r="AP570" s="7">
        <v>48</v>
      </c>
      <c r="AQ570" s="7" t="s">
        <v>4275</v>
      </c>
      <c r="AR570" s="7" t="s">
        <v>192</v>
      </c>
      <c r="AS570" s="7" t="s">
        <v>188</v>
      </c>
    </row>
    <row r="571" spans="1:45" x14ac:dyDescent="0.3">
      <c r="A571" s="6" t="s">
        <v>2012</v>
      </c>
      <c r="B571" s="6" t="s">
        <v>4037</v>
      </c>
      <c r="C571" s="6" t="s">
        <v>208</v>
      </c>
      <c r="D571" s="6" t="s">
        <v>253</v>
      </c>
      <c r="E571" s="6"/>
      <c r="F571" s="6" t="s">
        <v>363</v>
      </c>
      <c r="G571" s="6" t="s">
        <v>62</v>
      </c>
      <c r="H571" s="6" t="s">
        <v>4275</v>
      </c>
      <c r="I571" s="6" t="s">
        <v>233</v>
      </c>
      <c r="J571" s="6" t="s">
        <v>99</v>
      </c>
      <c r="K571" s="6" t="s">
        <v>204</v>
      </c>
      <c r="L571" s="6" t="s">
        <v>2013</v>
      </c>
      <c r="M571" s="6" t="s">
        <v>4038</v>
      </c>
      <c r="N571" s="6"/>
      <c r="O571" s="6" t="s">
        <v>4039</v>
      </c>
      <c r="P571" s="6">
        <v>17</v>
      </c>
      <c r="Q571" s="6">
        <v>22147045</v>
      </c>
      <c r="R571" s="6">
        <v>0.12</v>
      </c>
      <c r="S571" s="6">
        <v>0.06</v>
      </c>
      <c r="T571" s="6">
        <v>20658763.579999998</v>
      </c>
      <c r="U571" s="6">
        <v>13823215.43</v>
      </c>
      <c r="V571" s="6">
        <v>0.32</v>
      </c>
      <c r="W571" s="6">
        <v>0.06</v>
      </c>
      <c r="X571" s="6" t="s">
        <v>2014</v>
      </c>
      <c r="Y571" s="6">
        <v>6493246.3499999996</v>
      </c>
      <c r="Z571" s="6">
        <v>2696893.14</v>
      </c>
      <c r="AA571" s="6">
        <v>120</v>
      </c>
      <c r="AB571" s="6">
        <v>72</v>
      </c>
      <c r="AC571" s="6" t="s">
        <v>376</v>
      </c>
      <c r="AD571" s="6" t="s">
        <v>381</v>
      </c>
      <c r="AE571" s="6">
        <v>0.06</v>
      </c>
      <c r="AF571" s="6" t="s">
        <v>155</v>
      </c>
      <c r="AG571" s="6">
        <v>0.05</v>
      </c>
      <c r="AH571" s="6">
        <v>7.0000000000000007E-2</v>
      </c>
      <c r="AI571" s="6">
        <v>0</v>
      </c>
      <c r="AJ571" s="6">
        <v>4276</v>
      </c>
      <c r="AK571" s="6">
        <v>2768845.52</v>
      </c>
      <c r="AL571" s="6">
        <v>9736411.75</v>
      </c>
      <c r="AM571" s="6" t="s">
        <v>391</v>
      </c>
      <c r="AN571" s="6" t="s">
        <v>330</v>
      </c>
      <c r="AO571" s="6">
        <v>53.2</v>
      </c>
      <c r="AP571" s="6">
        <v>36</v>
      </c>
      <c r="AQ571" s="6"/>
      <c r="AR571" s="6" t="s">
        <v>229</v>
      </c>
      <c r="AS571" s="6"/>
    </row>
    <row r="572" spans="1:45" x14ac:dyDescent="0.3">
      <c r="A572" s="7" t="s">
        <v>2015</v>
      </c>
      <c r="B572" s="7" t="s">
        <v>5129</v>
      </c>
      <c r="C572" s="7" t="s">
        <v>272</v>
      </c>
      <c r="D572" s="7" t="s">
        <v>180</v>
      </c>
      <c r="E572" s="7" t="s">
        <v>4325</v>
      </c>
      <c r="F572" s="7" t="s">
        <v>19</v>
      </c>
      <c r="G572" s="7" t="s">
        <v>28</v>
      </c>
      <c r="H572" s="7" t="s">
        <v>4280</v>
      </c>
      <c r="I572" s="7" t="s">
        <v>4372</v>
      </c>
      <c r="J572" s="7" t="s">
        <v>115</v>
      </c>
      <c r="K572" s="7" t="s">
        <v>326</v>
      </c>
      <c r="L572" s="7" t="s">
        <v>2016</v>
      </c>
      <c r="M572" s="7" t="s">
        <v>4708</v>
      </c>
      <c r="N572" s="7" t="s">
        <v>4750</v>
      </c>
      <c r="O572" s="7" t="s">
        <v>4040</v>
      </c>
      <c r="P572" s="7" t="s">
        <v>4275</v>
      </c>
      <c r="Q572" s="7">
        <v>44900180</v>
      </c>
      <c r="R572" s="7">
        <v>0.32</v>
      </c>
      <c r="S572" s="7">
        <v>0.2</v>
      </c>
      <c r="T572" s="7">
        <v>36638546.880000003</v>
      </c>
      <c r="U572" s="7">
        <v>22947969.079999998</v>
      </c>
      <c r="V572" s="7">
        <v>0.2</v>
      </c>
      <c r="W572" s="7">
        <v>0.09</v>
      </c>
      <c r="X572" s="7" t="s">
        <v>2017</v>
      </c>
      <c r="Y572" s="7">
        <v>27545720.48</v>
      </c>
      <c r="Z572" s="7">
        <v>18408800.07</v>
      </c>
      <c r="AA572" s="7">
        <v>90</v>
      </c>
      <c r="AB572" s="7">
        <v>144</v>
      </c>
      <c r="AC572" s="7" t="s">
        <v>353</v>
      </c>
      <c r="AD572" s="7" t="s">
        <v>406</v>
      </c>
      <c r="AE572" s="7">
        <v>0.69</v>
      </c>
      <c r="AF572" s="7"/>
      <c r="AG572" s="7">
        <v>0.05</v>
      </c>
      <c r="AH572" s="7">
        <v>0.09</v>
      </c>
      <c r="AI572" s="7">
        <v>10</v>
      </c>
      <c r="AJ572" s="7">
        <v>688</v>
      </c>
      <c r="AK572" s="7">
        <v>1513842.58</v>
      </c>
      <c r="AL572" s="7">
        <v>8758099.6899999995</v>
      </c>
      <c r="AM572" s="7" t="s">
        <v>321</v>
      </c>
      <c r="AN572" s="7" t="s">
        <v>356</v>
      </c>
      <c r="AO572" s="7"/>
      <c r="AP572" s="7">
        <v>12</v>
      </c>
      <c r="AQ572" s="7" t="s">
        <v>323</v>
      </c>
      <c r="AR572" s="7" t="s">
        <v>206</v>
      </c>
      <c r="AS572" s="7" t="s">
        <v>357</v>
      </c>
    </row>
    <row r="573" spans="1:45" x14ac:dyDescent="0.3">
      <c r="A573" s="6" t="s">
        <v>2018</v>
      </c>
      <c r="B573" s="6" t="s">
        <v>4978</v>
      </c>
      <c r="C573" s="6" t="s">
        <v>269</v>
      </c>
      <c r="D573" s="6" t="s">
        <v>220</v>
      </c>
      <c r="E573" s="6" t="s">
        <v>113</v>
      </c>
      <c r="F573" s="6" t="s">
        <v>367</v>
      </c>
      <c r="G573" s="6" t="s">
        <v>28</v>
      </c>
      <c r="H573" s="6" t="s">
        <v>212</v>
      </c>
      <c r="I573" s="6" t="s">
        <v>246</v>
      </c>
      <c r="J573" s="6" t="s">
        <v>127</v>
      </c>
      <c r="K573" s="6" t="s">
        <v>210</v>
      </c>
      <c r="L573" s="6" t="s">
        <v>2019</v>
      </c>
      <c r="M573" s="6" t="s">
        <v>5098</v>
      </c>
      <c r="N573" s="6"/>
      <c r="O573" s="6" t="s">
        <v>4274</v>
      </c>
      <c r="P573" s="6">
        <v>36</v>
      </c>
      <c r="Q573" s="6">
        <v>3532765</v>
      </c>
      <c r="R573" s="6">
        <v>0.19</v>
      </c>
      <c r="S573" s="6">
        <v>0.11</v>
      </c>
      <c r="T573" s="6">
        <v>3176309.01</v>
      </c>
      <c r="U573" s="6">
        <v>2343285.19</v>
      </c>
      <c r="V573" s="6">
        <v>0.32</v>
      </c>
      <c r="W573" s="6">
        <v>0.19</v>
      </c>
      <c r="X573" s="6" t="s">
        <v>2020</v>
      </c>
      <c r="Y573" s="6">
        <v>2828685.11</v>
      </c>
      <c r="Z573" s="6">
        <v>2913412.37</v>
      </c>
      <c r="AA573" s="6">
        <v>45</v>
      </c>
      <c r="AB573" s="6">
        <v>145</v>
      </c>
      <c r="AC573" s="6" t="s">
        <v>347</v>
      </c>
      <c r="AD573" s="6" t="s">
        <v>455</v>
      </c>
      <c r="AE573" s="6">
        <v>0.52</v>
      </c>
      <c r="AF573" s="6" t="s">
        <v>4361</v>
      </c>
      <c r="AG573" s="6">
        <v>0.1</v>
      </c>
      <c r="AH573" s="6">
        <v>0.09</v>
      </c>
      <c r="AI573" s="6">
        <v>13</v>
      </c>
      <c r="AJ573" s="6">
        <v>1097</v>
      </c>
      <c r="AK573" s="6">
        <v>577315.80000000005</v>
      </c>
      <c r="AL573" s="6">
        <v>1105910.28</v>
      </c>
      <c r="AM573" s="6" t="s">
        <v>321</v>
      </c>
      <c r="AN573" s="6" t="s">
        <v>348</v>
      </c>
      <c r="AO573" s="6">
        <v>70.3</v>
      </c>
      <c r="AP573" s="6" t="s">
        <v>4275</v>
      </c>
      <c r="AQ573" s="6" t="s">
        <v>337</v>
      </c>
      <c r="AR573" s="6" t="s">
        <v>186</v>
      </c>
      <c r="AS573" s="6" t="s">
        <v>324</v>
      </c>
    </row>
    <row r="574" spans="1:45" x14ac:dyDescent="0.3">
      <c r="A574" s="7" t="s">
        <v>2021</v>
      </c>
      <c r="B574" s="7" t="s">
        <v>5130</v>
      </c>
      <c r="C574" s="7" t="s">
        <v>217</v>
      </c>
      <c r="D574" s="7" t="s">
        <v>242</v>
      </c>
      <c r="E574" s="7" t="s">
        <v>20</v>
      </c>
      <c r="F574" s="7" t="s">
        <v>196</v>
      </c>
      <c r="G574" s="7" t="s">
        <v>57</v>
      </c>
      <c r="H574" s="7" t="s">
        <v>4271</v>
      </c>
      <c r="I574" s="7" t="s">
        <v>246</v>
      </c>
      <c r="J574" s="7" t="s">
        <v>136</v>
      </c>
      <c r="K574" s="7" t="s">
        <v>210</v>
      </c>
      <c r="L574" s="7" t="s">
        <v>2022</v>
      </c>
      <c r="M574" s="7" t="s">
        <v>3595</v>
      </c>
      <c r="N574" s="7" t="s">
        <v>3928</v>
      </c>
      <c r="O574" s="7" t="s">
        <v>4274</v>
      </c>
      <c r="P574" s="7">
        <v>25</v>
      </c>
      <c r="Q574" s="7">
        <v>42311561</v>
      </c>
      <c r="R574" s="7">
        <v>0.17</v>
      </c>
      <c r="S574" s="7">
        <v>0.13</v>
      </c>
      <c r="T574" s="7">
        <v>39684013.060000002</v>
      </c>
      <c r="U574" s="7">
        <v>24325138.170000002</v>
      </c>
      <c r="V574" s="7">
        <v>0.19</v>
      </c>
      <c r="W574" s="7">
        <v>0.19</v>
      </c>
      <c r="X574" s="7" t="s">
        <v>2023</v>
      </c>
      <c r="Y574" s="7">
        <v>27013314.710000001</v>
      </c>
      <c r="Z574" s="7">
        <v>16019552.43</v>
      </c>
      <c r="AA574" s="7">
        <v>45</v>
      </c>
      <c r="AB574" s="7">
        <v>11</v>
      </c>
      <c r="AC574" s="7"/>
      <c r="AD574" s="7" t="s">
        <v>455</v>
      </c>
      <c r="AE574" s="7">
        <v>0.45</v>
      </c>
      <c r="AF574" s="7" t="s">
        <v>155</v>
      </c>
      <c r="AG574" s="7">
        <v>0.05</v>
      </c>
      <c r="AH574" s="7">
        <v>0.06</v>
      </c>
      <c r="AI574" s="7">
        <v>4</v>
      </c>
      <c r="AJ574" s="7">
        <v>2781</v>
      </c>
      <c r="AK574" s="7">
        <v>4963979.92</v>
      </c>
      <c r="AL574" s="7">
        <v>4827781.4800000004</v>
      </c>
      <c r="AM574" s="7" t="s">
        <v>391</v>
      </c>
      <c r="AN574" s="7" t="s">
        <v>386</v>
      </c>
      <c r="AO574" s="7">
        <v>51.1</v>
      </c>
      <c r="AP574" s="7">
        <v>48</v>
      </c>
      <c r="AQ574" s="7"/>
      <c r="AR574" s="7" t="s">
        <v>192</v>
      </c>
      <c r="AS574" s="7" t="s">
        <v>361</v>
      </c>
    </row>
    <row r="575" spans="1:45" x14ac:dyDescent="0.3">
      <c r="A575" s="6" t="s">
        <v>2024</v>
      </c>
      <c r="B575" s="6" t="s">
        <v>4635</v>
      </c>
      <c r="C575" s="6" t="s">
        <v>286</v>
      </c>
      <c r="D575" s="6" t="s">
        <v>190</v>
      </c>
      <c r="E575" s="6" t="s">
        <v>4270</v>
      </c>
      <c r="F575" s="6" t="s">
        <v>181</v>
      </c>
      <c r="G575" s="6" t="s">
        <v>78</v>
      </c>
      <c r="H575" s="6" t="s">
        <v>4280</v>
      </c>
      <c r="I575" s="6" t="s">
        <v>246</v>
      </c>
      <c r="J575" s="6" t="s">
        <v>111</v>
      </c>
      <c r="K575" s="6" t="s">
        <v>223</v>
      </c>
      <c r="L575" s="6" t="s">
        <v>2025</v>
      </c>
      <c r="M575" s="6" t="s">
        <v>5131</v>
      </c>
      <c r="N575" s="6" t="s">
        <v>5132</v>
      </c>
      <c r="O575" s="6" t="s">
        <v>5133</v>
      </c>
      <c r="P575" s="6">
        <v>6</v>
      </c>
      <c r="Q575" s="6">
        <v>46181968</v>
      </c>
      <c r="R575" s="6">
        <v>0.32</v>
      </c>
      <c r="S575" s="6">
        <v>0.09</v>
      </c>
      <c r="T575" s="6">
        <v>34230074.68</v>
      </c>
      <c r="U575" s="6">
        <v>26511347</v>
      </c>
      <c r="V575" s="6">
        <v>0.35</v>
      </c>
      <c r="W575" s="6">
        <v>0.16</v>
      </c>
      <c r="X575" s="6" t="s">
        <v>2026</v>
      </c>
      <c r="Y575" s="6">
        <v>2923895.21</v>
      </c>
      <c r="Z575" s="6">
        <v>2231627.46</v>
      </c>
      <c r="AA575" s="6">
        <v>60</v>
      </c>
      <c r="AB575" s="6">
        <v>119</v>
      </c>
      <c r="AC575" s="6" t="s">
        <v>347</v>
      </c>
      <c r="AD575" s="6" t="s">
        <v>406</v>
      </c>
      <c r="AE575" s="6">
        <v>0.95</v>
      </c>
      <c r="AF575" s="6"/>
      <c r="AG575" s="6">
        <v>0.05</v>
      </c>
      <c r="AH575" s="6">
        <v>0.1</v>
      </c>
      <c r="AI575" s="6">
        <v>2</v>
      </c>
      <c r="AJ575" s="6">
        <v>3387</v>
      </c>
      <c r="AK575" s="6">
        <v>6857923.5999999996</v>
      </c>
      <c r="AL575" s="6">
        <v>12789846.050000001</v>
      </c>
      <c r="AM575" s="6" t="s">
        <v>391</v>
      </c>
      <c r="AN575" s="6" t="s">
        <v>322</v>
      </c>
      <c r="AO575" s="6"/>
      <c r="AP575" s="6">
        <v>60</v>
      </c>
      <c r="AQ575" s="6" t="s">
        <v>337</v>
      </c>
      <c r="AR575" s="6" t="s">
        <v>186</v>
      </c>
      <c r="AS575" s="6"/>
    </row>
    <row r="576" spans="1:45" x14ac:dyDescent="0.3">
      <c r="A576" s="7" t="s">
        <v>2027</v>
      </c>
      <c r="B576" s="7" t="s">
        <v>5134</v>
      </c>
      <c r="C576" s="7" t="s">
        <v>179</v>
      </c>
      <c r="D576" s="7" t="s">
        <v>562</v>
      </c>
      <c r="E576" s="7" t="s">
        <v>4265</v>
      </c>
      <c r="F576" s="7" t="s">
        <v>350</v>
      </c>
      <c r="G576" s="7" t="s">
        <v>16</v>
      </c>
      <c r="H576" s="7" t="s">
        <v>197</v>
      </c>
      <c r="I576" s="7" t="s">
        <v>246</v>
      </c>
      <c r="J576" s="6" t="s">
        <v>105</v>
      </c>
      <c r="K576" s="7" t="s">
        <v>221</v>
      </c>
      <c r="L576" s="7" t="s">
        <v>2028</v>
      </c>
      <c r="M576" s="7" t="s">
        <v>5077</v>
      </c>
      <c r="N576" s="7"/>
      <c r="O576" s="7" t="s">
        <v>2265</v>
      </c>
      <c r="P576" s="7" t="s">
        <v>4275</v>
      </c>
      <c r="Q576" s="7">
        <v>34051338</v>
      </c>
      <c r="R576" s="7">
        <v>0.02</v>
      </c>
      <c r="S576" s="7">
        <v>0.03</v>
      </c>
      <c r="T576" s="7">
        <v>34371420.579999998</v>
      </c>
      <c r="U576" s="7">
        <v>23402343.670000002</v>
      </c>
      <c r="V576" s="7">
        <v>0.34</v>
      </c>
      <c r="W576" s="7">
        <v>0.1</v>
      </c>
      <c r="X576" s="7" t="s">
        <v>2029</v>
      </c>
      <c r="Y576" s="7">
        <v>3176539.53</v>
      </c>
      <c r="Z576" s="7">
        <v>1515482.72</v>
      </c>
      <c r="AA576" s="7">
        <v>60</v>
      </c>
      <c r="AB576" s="7">
        <v>101</v>
      </c>
      <c r="AC576" s="7" t="s">
        <v>347</v>
      </c>
      <c r="AD576" s="7" t="s">
        <v>406</v>
      </c>
      <c r="AE576" s="7">
        <v>0.78</v>
      </c>
      <c r="AF576" s="7"/>
      <c r="AG576" s="7">
        <v>0.15</v>
      </c>
      <c r="AH576" s="7">
        <v>0.03</v>
      </c>
      <c r="AI576" s="7">
        <v>13</v>
      </c>
      <c r="AJ576" s="7">
        <v>4641</v>
      </c>
      <c r="AK576" s="7">
        <v>1418953.66</v>
      </c>
      <c r="AL576" s="7">
        <v>15080115.08</v>
      </c>
      <c r="AM576" s="7"/>
      <c r="AN576" s="7" t="s">
        <v>356</v>
      </c>
      <c r="AO576" s="7">
        <v>58.5</v>
      </c>
      <c r="AP576" s="7">
        <v>60</v>
      </c>
      <c r="AQ576" s="7" t="s">
        <v>387</v>
      </c>
      <c r="AR576" s="7" t="s">
        <v>206</v>
      </c>
      <c r="AS576" s="7" t="s">
        <v>361</v>
      </c>
    </row>
    <row r="577" spans="1:45" x14ac:dyDescent="0.3">
      <c r="A577" s="6" t="s">
        <v>2030</v>
      </c>
      <c r="B577" s="6" t="s">
        <v>5135</v>
      </c>
      <c r="C577" s="6" t="s">
        <v>271</v>
      </c>
      <c r="D577" s="6" t="s">
        <v>202</v>
      </c>
      <c r="E577" s="6"/>
      <c r="F577" s="6" t="s">
        <v>181</v>
      </c>
      <c r="G577" s="6" t="s">
        <v>73</v>
      </c>
      <c r="H577" s="6" t="s">
        <v>4280</v>
      </c>
      <c r="I577" s="6" t="s">
        <v>4307</v>
      </c>
      <c r="J577" s="6" t="s">
        <v>99</v>
      </c>
      <c r="K577" s="6" t="s">
        <v>199</v>
      </c>
      <c r="L577" s="6" t="s">
        <v>2031</v>
      </c>
      <c r="M577" s="6" t="s">
        <v>5136</v>
      </c>
      <c r="N577" s="6" t="s">
        <v>5137</v>
      </c>
      <c r="O577" s="6" t="s">
        <v>3765</v>
      </c>
      <c r="P577" s="6">
        <v>24</v>
      </c>
      <c r="Q577" s="6">
        <v>33323639</v>
      </c>
      <c r="R577" s="6">
        <v>0.33</v>
      </c>
      <c r="S577" s="6">
        <v>0.01</v>
      </c>
      <c r="T577" s="6">
        <v>22550106.510000002</v>
      </c>
      <c r="U577" s="6">
        <v>19830985.68</v>
      </c>
      <c r="V577" s="6">
        <v>0.06</v>
      </c>
      <c r="W577" s="6">
        <v>0.12</v>
      </c>
      <c r="X577" s="6" t="s">
        <v>2032</v>
      </c>
      <c r="Y577" s="6">
        <v>14342067.68</v>
      </c>
      <c r="Z577" s="6">
        <v>10760043.710000001</v>
      </c>
      <c r="AA577" s="6">
        <v>30</v>
      </c>
      <c r="AB577" s="6">
        <v>180</v>
      </c>
      <c r="AC577" s="6" t="s">
        <v>347</v>
      </c>
      <c r="AD577" s="6" t="s">
        <v>226</v>
      </c>
      <c r="AE577" s="6">
        <v>0.12</v>
      </c>
      <c r="AF577" s="6" t="s">
        <v>4319</v>
      </c>
      <c r="AG577" s="6">
        <v>0.05</v>
      </c>
      <c r="AH577" s="6">
        <v>7.0000000000000007E-2</v>
      </c>
      <c r="AI577" s="6">
        <v>11</v>
      </c>
      <c r="AJ577" s="6">
        <v>3851</v>
      </c>
      <c r="AK577" s="6">
        <v>3812038.59</v>
      </c>
      <c r="AL577" s="6">
        <v>8141066.1699999999</v>
      </c>
      <c r="AM577" s="6" t="s">
        <v>343</v>
      </c>
      <c r="AN577" s="6" t="s">
        <v>330</v>
      </c>
      <c r="AO577" s="6">
        <v>50.3</v>
      </c>
      <c r="AP577" s="6">
        <v>48</v>
      </c>
      <c r="AQ577" s="6" t="s">
        <v>387</v>
      </c>
      <c r="AR577" s="6" t="s">
        <v>229</v>
      </c>
      <c r="AS577" s="6"/>
    </row>
    <row r="578" spans="1:45" x14ac:dyDescent="0.3">
      <c r="A578" s="7" t="s">
        <v>2033</v>
      </c>
      <c r="B578" s="7" t="s">
        <v>4455</v>
      </c>
      <c r="C578" s="7" t="s">
        <v>269</v>
      </c>
      <c r="D578" s="7"/>
      <c r="E578" s="7" t="s">
        <v>4265</v>
      </c>
      <c r="F578" s="7" t="s">
        <v>350</v>
      </c>
      <c r="G578" s="7" t="s">
        <v>62</v>
      </c>
      <c r="H578" s="7" t="s">
        <v>4326</v>
      </c>
      <c r="I578" s="7" t="s">
        <v>203</v>
      </c>
      <c r="J578" s="6" t="s">
        <v>105</v>
      </c>
      <c r="K578" s="7" t="s">
        <v>326</v>
      </c>
      <c r="L578" s="7" t="s">
        <v>2034</v>
      </c>
      <c r="M578" s="7" t="s">
        <v>5138</v>
      </c>
      <c r="N578" s="7" t="s">
        <v>4041</v>
      </c>
      <c r="O578" s="7" t="s">
        <v>5139</v>
      </c>
      <c r="P578" s="7">
        <v>8</v>
      </c>
      <c r="Q578" s="7">
        <v>49834847</v>
      </c>
      <c r="R578" s="7">
        <v>0.28999999999999998</v>
      </c>
      <c r="S578" s="7">
        <v>-0.03</v>
      </c>
      <c r="T578" s="7">
        <v>34321259.130000003</v>
      </c>
      <c r="U578" s="7">
        <v>26653919.829999998</v>
      </c>
      <c r="V578" s="7">
        <v>0.18</v>
      </c>
      <c r="W578" s="7">
        <v>7.0000000000000007E-2</v>
      </c>
      <c r="X578" s="7" t="s">
        <v>2035</v>
      </c>
      <c r="Y578" s="7">
        <v>18085452.02</v>
      </c>
      <c r="Z578" s="7">
        <v>12841144.41</v>
      </c>
      <c r="AA578" s="7">
        <v>30</v>
      </c>
      <c r="AB578" s="7">
        <v>31</v>
      </c>
      <c r="AC578" s="7" t="s">
        <v>353</v>
      </c>
      <c r="AD578" s="7" t="s">
        <v>226</v>
      </c>
      <c r="AE578" s="7">
        <v>7.0000000000000007E-2</v>
      </c>
      <c r="AF578" s="7" t="s">
        <v>4312</v>
      </c>
      <c r="AG578" s="7">
        <v>0.15</v>
      </c>
      <c r="AH578" s="7">
        <v>0.09</v>
      </c>
      <c r="AI578" s="7">
        <v>7</v>
      </c>
      <c r="AJ578" s="7">
        <v>3296</v>
      </c>
      <c r="AK578" s="7">
        <v>908807.08</v>
      </c>
      <c r="AL578" s="7">
        <v>6209132.4000000004</v>
      </c>
      <c r="AM578" s="7"/>
      <c r="AN578" s="7" t="s">
        <v>321</v>
      </c>
      <c r="AO578" s="7">
        <v>66.8</v>
      </c>
      <c r="AP578" s="7">
        <v>60</v>
      </c>
      <c r="AQ578" s="7"/>
      <c r="AR578" s="7" t="s">
        <v>224</v>
      </c>
      <c r="AS578" s="7"/>
    </row>
    <row r="579" spans="1:45" x14ac:dyDescent="0.3">
      <c r="A579" s="6" t="s">
        <v>2036</v>
      </c>
      <c r="B579" s="6" t="s">
        <v>3450</v>
      </c>
      <c r="C579" s="6" t="s">
        <v>214</v>
      </c>
      <c r="D579" s="6" t="s">
        <v>190</v>
      </c>
      <c r="E579" s="6"/>
      <c r="F579" s="6" t="s">
        <v>19</v>
      </c>
      <c r="G579" s="6" t="s">
        <v>57</v>
      </c>
      <c r="H579" s="6" t="s">
        <v>4275</v>
      </c>
      <c r="I579" s="6" t="s">
        <v>4372</v>
      </c>
      <c r="J579" s="6" t="s">
        <v>99</v>
      </c>
      <c r="K579" s="6" t="s">
        <v>333</v>
      </c>
      <c r="L579" s="6" t="s">
        <v>2037</v>
      </c>
      <c r="M579" s="6" t="s">
        <v>5140</v>
      </c>
      <c r="N579" s="6" t="s">
        <v>4043</v>
      </c>
      <c r="O579" s="6" t="s">
        <v>5141</v>
      </c>
      <c r="P579" s="6">
        <v>31</v>
      </c>
      <c r="Q579" s="6">
        <v>2677581</v>
      </c>
      <c r="R579" s="6">
        <v>0.13</v>
      </c>
      <c r="S579" s="6">
        <v>0.15</v>
      </c>
      <c r="T579" s="6">
        <v>2678919.79</v>
      </c>
      <c r="U579" s="6">
        <v>1834111.43</v>
      </c>
      <c r="V579" s="6">
        <v>0.13</v>
      </c>
      <c r="W579" s="6">
        <v>0.18</v>
      </c>
      <c r="X579" s="6" t="s">
        <v>2038</v>
      </c>
      <c r="Y579" s="6">
        <v>2056488.67</v>
      </c>
      <c r="Z579" s="6">
        <v>2214319.04</v>
      </c>
      <c r="AA579" s="6">
        <v>60</v>
      </c>
      <c r="AB579" s="6">
        <v>103</v>
      </c>
      <c r="AC579" s="6" t="s">
        <v>329</v>
      </c>
      <c r="AD579" s="6" t="s">
        <v>381</v>
      </c>
      <c r="AE579" s="6">
        <v>0.28000000000000003</v>
      </c>
      <c r="AF579" s="6" t="s">
        <v>4312</v>
      </c>
      <c r="AG579" s="6">
        <v>0.15</v>
      </c>
      <c r="AH579" s="6">
        <v>0.09</v>
      </c>
      <c r="AI579" s="6">
        <v>14</v>
      </c>
      <c r="AJ579" s="6">
        <v>4409</v>
      </c>
      <c r="AK579" s="6">
        <v>291800.2</v>
      </c>
      <c r="AL579" s="6">
        <v>771181.47</v>
      </c>
      <c r="AM579" s="6" t="s">
        <v>73</v>
      </c>
      <c r="AN579" s="6" t="s">
        <v>348</v>
      </c>
      <c r="AO579" s="6">
        <v>83.3</v>
      </c>
      <c r="AP579" s="6">
        <v>36</v>
      </c>
      <c r="AQ579" s="6" t="s">
        <v>4275</v>
      </c>
      <c r="AR579" s="6" t="s">
        <v>229</v>
      </c>
      <c r="AS579" s="6" t="s">
        <v>357</v>
      </c>
    </row>
    <row r="580" spans="1:45" x14ac:dyDescent="0.3">
      <c r="A580" s="7" t="s">
        <v>2039</v>
      </c>
      <c r="B580" s="7" t="s">
        <v>4742</v>
      </c>
      <c r="C580" s="7" t="s">
        <v>195</v>
      </c>
      <c r="D580" s="7" t="s">
        <v>220</v>
      </c>
      <c r="E580" s="7" t="s">
        <v>4376</v>
      </c>
      <c r="F580" s="7" t="s">
        <v>196</v>
      </c>
      <c r="G580" s="7" t="s">
        <v>16</v>
      </c>
      <c r="H580" s="7" t="s">
        <v>216</v>
      </c>
      <c r="I580" s="7" t="s">
        <v>4372</v>
      </c>
      <c r="J580" s="7" t="s">
        <v>136</v>
      </c>
      <c r="K580" s="7" t="s">
        <v>333</v>
      </c>
      <c r="L580" s="7" t="s">
        <v>2040</v>
      </c>
      <c r="M580" s="7" t="s">
        <v>5142</v>
      </c>
      <c r="N580" s="7"/>
      <c r="O580" s="7" t="s">
        <v>4044</v>
      </c>
      <c r="P580" s="7">
        <v>6</v>
      </c>
      <c r="Q580" s="7">
        <v>28773998</v>
      </c>
      <c r="R580" s="7">
        <v>0.23</v>
      </c>
      <c r="S580" s="7">
        <v>-0.02</v>
      </c>
      <c r="T580" s="7">
        <v>21712858.890000001</v>
      </c>
      <c r="U580" s="7">
        <v>17428065.84</v>
      </c>
      <c r="V580" s="7">
        <v>0.38</v>
      </c>
      <c r="W580" s="7">
        <v>0.09</v>
      </c>
      <c r="X580" s="7" t="s">
        <v>2041</v>
      </c>
      <c r="Y580" s="7">
        <v>8127016.5099999998</v>
      </c>
      <c r="Z580" s="7">
        <v>5629763.1299999999</v>
      </c>
      <c r="AA580" s="7">
        <v>120</v>
      </c>
      <c r="AB580" s="7">
        <v>23</v>
      </c>
      <c r="AC580" s="7" t="s">
        <v>329</v>
      </c>
      <c r="AD580" s="7" t="s">
        <v>320</v>
      </c>
      <c r="AE580" s="7">
        <v>0.57999999999999996</v>
      </c>
      <c r="AF580" s="7" t="s">
        <v>152</v>
      </c>
      <c r="AG580" s="7">
        <v>0.15</v>
      </c>
      <c r="AH580" s="7">
        <v>0.06</v>
      </c>
      <c r="AI580" s="7">
        <v>6</v>
      </c>
      <c r="AJ580" s="7">
        <v>4837</v>
      </c>
      <c r="AK580" s="7">
        <v>4159792.42</v>
      </c>
      <c r="AL580" s="7">
        <v>4175454.58</v>
      </c>
      <c r="AM580" s="7" t="s">
        <v>73</v>
      </c>
      <c r="AN580" s="7" t="s">
        <v>348</v>
      </c>
      <c r="AO580" s="7">
        <v>59.3</v>
      </c>
      <c r="AP580" s="7">
        <v>24</v>
      </c>
      <c r="AQ580" s="7" t="s">
        <v>387</v>
      </c>
      <c r="AR580" s="7" t="s">
        <v>229</v>
      </c>
      <c r="AS580" s="7" t="s">
        <v>188</v>
      </c>
    </row>
    <row r="581" spans="1:45" x14ac:dyDescent="0.3">
      <c r="A581" s="6" t="s">
        <v>2042</v>
      </c>
      <c r="B581" s="6" t="s">
        <v>5143</v>
      </c>
      <c r="C581" s="6" t="s">
        <v>243</v>
      </c>
      <c r="D581" s="6" t="s">
        <v>242</v>
      </c>
      <c r="E581" s="6" t="s">
        <v>52</v>
      </c>
      <c r="F581" s="6"/>
      <c r="G581" s="6" t="s">
        <v>70</v>
      </c>
      <c r="H581" s="6" t="s">
        <v>4326</v>
      </c>
      <c r="I581" s="6" t="s">
        <v>246</v>
      </c>
      <c r="J581" s="7" t="s">
        <v>119</v>
      </c>
      <c r="K581" s="6" t="s">
        <v>221</v>
      </c>
      <c r="L581" s="6" t="s">
        <v>2043</v>
      </c>
      <c r="M581" s="6" t="s">
        <v>5144</v>
      </c>
      <c r="N581" s="6" t="s">
        <v>3539</v>
      </c>
      <c r="O581" s="6" t="s">
        <v>4274</v>
      </c>
      <c r="P581" s="6">
        <v>25</v>
      </c>
      <c r="Q581" s="6">
        <v>741896</v>
      </c>
      <c r="R581" s="6">
        <v>0.28000000000000003</v>
      </c>
      <c r="S581" s="6">
        <v>0.09</v>
      </c>
      <c r="T581" s="6">
        <v>582239.98</v>
      </c>
      <c r="U581" s="6"/>
      <c r="V581" s="6">
        <v>0.36</v>
      </c>
      <c r="W581" s="6">
        <v>0.12</v>
      </c>
      <c r="X581" s="6" t="s">
        <v>2044</v>
      </c>
      <c r="Y581" s="6">
        <v>166152.39000000001</v>
      </c>
      <c r="Z581" s="6">
        <v>145711.79999999999</v>
      </c>
      <c r="AA581" s="6">
        <v>90</v>
      </c>
      <c r="AB581" s="6">
        <v>96</v>
      </c>
      <c r="AC581" s="6" t="s">
        <v>376</v>
      </c>
      <c r="AD581" s="6" t="s">
        <v>455</v>
      </c>
      <c r="AE581" s="6">
        <v>0.84</v>
      </c>
      <c r="AF581" s="6"/>
      <c r="AG581" s="6">
        <v>0.15</v>
      </c>
      <c r="AH581" s="6">
        <v>7.0000000000000007E-2</v>
      </c>
      <c r="AI581" s="6">
        <v>10</v>
      </c>
      <c r="AJ581" s="6">
        <v>3066</v>
      </c>
      <c r="AK581" s="6">
        <v>58828.3</v>
      </c>
      <c r="AL581" s="6">
        <v>263652.34000000003</v>
      </c>
      <c r="AM581" s="6" t="s">
        <v>391</v>
      </c>
      <c r="AN581" s="6" t="s">
        <v>321</v>
      </c>
      <c r="AO581" s="6">
        <v>75.8</v>
      </c>
      <c r="AP581" s="6">
        <v>24</v>
      </c>
      <c r="AQ581" s="6" t="s">
        <v>387</v>
      </c>
      <c r="AR581" s="6" t="s">
        <v>206</v>
      </c>
      <c r="AS581" s="6"/>
    </row>
    <row r="582" spans="1:45" x14ac:dyDescent="0.3">
      <c r="A582" s="7" t="s">
        <v>2045</v>
      </c>
      <c r="B582" s="7" t="s">
        <v>5145</v>
      </c>
      <c r="C582" s="7" t="s">
        <v>271</v>
      </c>
      <c r="D582" s="7" t="s">
        <v>180</v>
      </c>
      <c r="E582" s="7"/>
      <c r="F582" s="7" t="s">
        <v>35</v>
      </c>
      <c r="G582" s="7" t="s">
        <v>16</v>
      </c>
      <c r="H582" s="7" t="s">
        <v>212</v>
      </c>
      <c r="I582" s="7" t="s">
        <v>191</v>
      </c>
      <c r="J582" s="7" t="s">
        <v>99</v>
      </c>
      <c r="K582" s="7" t="s">
        <v>326</v>
      </c>
      <c r="L582" s="7" t="s">
        <v>2046</v>
      </c>
      <c r="M582" s="7" t="s">
        <v>4046</v>
      </c>
      <c r="N582" s="7"/>
      <c r="O582" s="7" t="s">
        <v>4274</v>
      </c>
      <c r="P582" s="7">
        <v>43</v>
      </c>
      <c r="Q582" s="7">
        <v>21367703</v>
      </c>
      <c r="R582" s="7">
        <v>0.12</v>
      </c>
      <c r="S582" s="7">
        <v>0.05</v>
      </c>
      <c r="T582" s="7">
        <v>19743757.57</v>
      </c>
      <c r="U582" s="7">
        <v>14036099.41</v>
      </c>
      <c r="V582" s="7">
        <v>0.16</v>
      </c>
      <c r="W582" s="7">
        <v>0.13</v>
      </c>
      <c r="X582" s="7" t="s">
        <v>2047</v>
      </c>
      <c r="Y582" s="7">
        <v>13725159</v>
      </c>
      <c r="Z582" s="7" t="s">
        <v>4357</v>
      </c>
      <c r="AA582" s="7">
        <v>120</v>
      </c>
      <c r="AB582" s="7">
        <v>165</v>
      </c>
      <c r="AC582" s="7" t="s">
        <v>342</v>
      </c>
      <c r="AD582" s="7" t="s">
        <v>226</v>
      </c>
      <c r="AE582" s="7">
        <v>0.91</v>
      </c>
      <c r="AF582" s="7" t="s">
        <v>4294</v>
      </c>
      <c r="AG582" s="7">
        <v>0.1</v>
      </c>
      <c r="AH582" s="7">
        <v>0.08</v>
      </c>
      <c r="AI582" s="7">
        <v>1</v>
      </c>
      <c r="AJ582" s="7">
        <v>317</v>
      </c>
      <c r="AK582" s="7">
        <v>1755233.4</v>
      </c>
      <c r="AL582" s="7">
        <v>2394606.86</v>
      </c>
      <c r="AM582" s="7" t="s">
        <v>355</v>
      </c>
      <c r="AN582" s="7"/>
      <c r="AO582" s="7">
        <v>81.7</v>
      </c>
      <c r="AP582" s="7" t="s">
        <v>4275</v>
      </c>
      <c r="AQ582" s="7" t="s">
        <v>387</v>
      </c>
      <c r="AR582" s="7" t="s">
        <v>186</v>
      </c>
      <c r="AS582" s="7" t="s">
        <v>357</v>
      </c>
    </row>
    <row r="583" spans="1:45" x14ac:dyDescent="0.3">
      <c r="A583" s="6" t="s">
        <v>2048</v>
      </c>
      <c r="B583" s="6" t="s">
        <v>3767</v>
      </c>
      <c r="C583" s="6" t="s">
        <v>234</v>
      </c>
      <c r="D583" s="6" t="s">
        <v>232</v>
      </c>
      <c r="E583" s="6" t="s">
        <v>113</v>
      </c>
      <c r="F583" s="6"/>
      <c r="G583" s="6" t="s">
        <v>62</v>
      </c>
      <c r="H583" s="6" t="s">
        <v>212</v>
      </c>
      <c r="I583" s="6" t="s">
        <v>198</v>
      </c>
      <c r="J583" s="6" t="s">
        <v>123</v>
      </c>
      <c r="K583" s="6" t="s">
        <v>223</v>
      </c>
      <c r="L583" s="6" t="s">
        <v>2049</v>
      </c>
      <c r="M583" s="6" t="s">
        <v>5146</v>
      </c>
      <c r="N583" s="6" t="s">
        <v>4994</v>
      </c>
      <c r="O583" s="6" t="s">
        <v>3861</v>
      </c>
      <c r="P583" s="6" t="s">
        <v>4275</v>
      </c>
      <c r="Q583" s="6">
        <v>19247666</v>
      </c>
      <c r="R583" s="6">
        <v>0.15</v>
      </c>
      <c r="S583" s="6">
        <v>-0.01</v>
      </c>
      <c r="T583" s="6">
        <v>16196910.939999999</v>
      </c>
      <c r="U583" s="6">
        <v>13478051.720000001</v>
      </c>
      <c r="V583" s="6">
        <v>0.12</v>
      </c>
      <c r="W583" s="6">
        <v>7.0000000000000007E-2</v>
      </c>
      <c r="X583" s="6" t="s">
        <v>2050</v>
      </c>
      <c r="Y583" s="6">
        <v>13366140.109999999</v>
      </c>
      <c r="Z583" s="6">
        <v>14291217.35</v>
      </c>
      <c r="AA583" s="6">
        <v>45</v>
      </c>
      <c r="AB583" s="6">
        <v>88</v>
      </c>
      <c r="AC583" s="6" t="s">
        <v>353</v>
      </c>
      <c r="AD583" s="6" t="s">
        <v>406</v>
      </c>
      <c r="AE583" s="6">
        <v>0.72</v>
      </c>
      <c r="AF583" s="6" t="s">
        <v>4294</v>
      </c>
      <c r="AG583" s="6">
        <v>0.1</v>
      </c>
      <c r="AH583" s="6">
        <v>7.0000000000000007E-2</v>
      </c>
      <c r="AI583" s="6">
        <v>5</v>
      </c>
      <c r="AJ583" s="6">
        <v>1365</v>
      </c>
      <c r="AK583" s="6">
        <v>721404.49</v>
      </c>
      <c r="AL583" s="6">
        <v>2056197.94</v>
      </c>
      <c r="AM583" s="6" t="s">
        <v>321</v>
      </c>
      <c r="AN583" s="6" t="s">
        <v>386</v>
      </c>
      <c r="AO583" s="6">
        <v>86.9</v>
      </c>
      <c r="AP583" s="6">
        <v>60</v>
      </c>
      <c r="AQ583" s="6" t="s">
        <v>323</v>
      </c>
      <c r="AR583" s="6" t="s">
        <v>192</v>
      </c>
      <c r="AS583" s="6" t="s">
        <v>324</v>
      </c>
    </row>
    <row r="584" spans="1:45" x14ac:dyDescent="0.3">
      <c r="A584" s="7" t="s">
        <v>2051</v>
      </c>
      <c r="B584" s="7" t="s">
        <v>3987</v>
      </c>
      <c r="C584" s="7" t="s">
        <v>282</v>
      </c>
      <c r="D584" s="7" t="s">
        <v>190</v>
      </c>
      <c r="E584" s="7" t="s">
        <v>4265</v>
      </c>
      <c r="F584" s="7" t="s">
        <v>363</v>
      </c>
      <c r="G584" s="7" t="s">
        <v>70</v>
      </c>
      <c r="H584" s="7" t="s">
        <v>4275</v>
      </c>
      <c r="I584" s="7" t="s">
        <v>213</v>
      </c>
      <c r="J584" s="6" t="s">
        <v>105</v>
      </c>
      <c r="K584" s="7" t="s">
        <v>199</v>
      </c>
      <c r="L584" s="7" t="s">
        <v>2052</v>
      </c>
      <c r="M584" s="7" t="s">
        <v>4047</v>
      </c>
      <c r="N584" s="7"/>
      <c r="O584" s="7" t="s">
        <v>3338</v>
      </c>
      <c r="P584" s="7">
        <v>13</v>
      </c>
      <c r="Q584" s="7">
        <v>14852007</v>
      </c>
      <c r="R584" s="7">
        <v>0.24</v>
      </c>
      <c r="S584" s="7">
        <v>0.06</v>
      </c>
      <c r="T584" s="7">
        <v>11964776.84</v>
      </c>
      <c r="U584" s="7">
        <v>10447003.43</v>
      </c>
      <c r="V584" s="7">
        <v>0.09</v>
      </c>
      <c r="W584" s="7">
        <v>7.0000000000000007E-2</v>
      </c>
      <c r="X584" s="7" t="s">
        <v>2053</v>
      </c>
      <c r="Y584" s="7">
        <v>4255966.72</v>
      </c>
      <c r="Z584" s="7">
        <v>4012930.35</v>
      </c>
      <c r="AA584" s="7">
        <v>45</v>
      </c>
      <c r="AB584" s="7">
        <v>133</v>
      </c>
      <c r="AC584" s="7" t="s">
        <v>347</v>
      </c>
      <c r="AD584" s="7" t="s">
        <v>455</v>
      </c>
      <c r="AE584" s="7">
        <v>0.37</v>
      </c>
      <c r="AF584" s="7" t="s">
        <v>4319</v>
      </c>
      <c r="AG584" s="7">
        <v>0.15</v>
      </c>
      <c r="AH584" s="7">
        <v>0.08</v>
      </c>
      <c r="AI584" s="7">
        <v>2</v>
      </c>
      <c r="AJ584" s="7">
        <v>4738</v>
      </c>
      <c r="AK584" s="7">
        <v>1836739.03</v>
      </c>
      <c r="AL584" s="7">
        <v>2002465.45</v>
      </c>
      <c r="AM584" s="7" t="s">
        <v>385</v>
      </c>
      <c r="AN584" s="7" t="s">
        <v>321</v>
      </c>
      <c r="AO584" s="7">
        <v>60.8</v>
      </c>
      <c r="AP584" s="7">
        <v>12</v>
      </c>
      <c r="AQ584" s="7" t="s">
        <v>323</v>
      </c>
      <c r="AR584" s="7" t="s">
        <v>224</v>
      </c>
      <c r="AS584" s="7" t="s">
        <v>377</v>
      </c>
    </row>
    <row r="585" spans="1:45" x14ac:dyDescent="0.3">
      <c r="A585" s="6" t="s">
        <v>2054</v>
      </c>
      <c r="B585" s="6" t="s">
        <v>4048</v>
      </c>
      <c r="C585" s="6" t="s">
        <v>272</v>
      </c>
      <c r="D585" s="6" t="s">
        <v>215</v>
      </c>
      <c r="E585" s="6" t="s">
        <v>4265</v>
      </c>
      <c r="F585" s="6" t="s">
        <v>228</v>
      </c>
      <c r="G585" s="6" t="s">
        <v>57</v>
      </c>
      <c r="H585" s="6" t="s">
        <v>236</v>
      </c>
      <c r="I585" s="6" t="s">
        <v>246</v>
      </c>
      <c r="J585" s="6" t="s">
        <v>105</v>
      </c>
      <c r="K585" s="6" t="s">
        <v>210</v>
      </c>
      <c r="L585" s="6" t="s">
        <v>2055</v>
      </c>
      <c r="M585" s="6" t="s">
        <v>5147</v>
      </c>
      <c r="N585" s="6" t="s">
        <v>3997</v>
      </c>
      <c r="O585" s="6" t="s">
        <v>3376</v>
      </c>
      <c r="P585" s="6" t="s">
        <v>4275</v>
      </c>
      <c r="Q585" s="6">
        <v>41759165</v>
      </c>
      <c r="R585" s="6">
        <v>0.32</v>
      </c>
      <c r="S585" s="6">
        <v>0.11</v>
      </c>
      <c r="T585" s="6">
        <v>31519817.739999998</v>
      </c>
      <c r="U585" s="6">
        <v>21887160.420000002</v>
      </c>
      <c r="V585" s="6">
        <v>0.09</v>
      </c>
      <c r="W585" s="6">
        <v>0.11</v>
      </c>
      <c r="X585" s="6" t="s">
        <v>2056</v>
      </c>
      <c r="Y585" s="6">
        <v>20379603.210000001</v>
      </c>
      <c r="Z585" s="6">
        <v>13219674.699999999</v>
      </c>
      <c r="AA585" s="6">
        <v>120</v>
      </c>
      <c r="AB585" s="6">
        <v>132</v>
      </c>
      <c r="AC585" s="6" t="s">
        <v>342</v>
      </c>
      <c r="AD585" s="6" t="s">
        <v>455</v>
      </c>
      <c r="AE585" s="6">
        <v>0.95</v>
      </c>
      <c r="AF585" s="6" t="s">
        <v>159</v>
      </c>
      <c r="AG585" s="6">
        <v>0.1</v>
      </c>
      <c r="AH585" s="6">
        <v>0.05</v>
      </c>
      <c r="AI585" s="6">
        <v>9</v>
      </c>
      <c r="AJ585" s="6">
        <v>111</v>
      </c>
      <c r="AK585" s="6">
        <v>1700079.3</v>
      </c>
      <c r="AL585" s="6">
        <v>12415985.289999999</v>
      </c>
      <c r="AM585" s="6" t="s">
        <v>343</v>
      </c>
      <c r="AN585" s="6" t="s">
        <v>348</v>
      </c>
      <c r="AO585" s="6">
        <v>94.4</v>
      </c>
      <c r="AP585" s="6">
        <v>24</v>
      </c>
      <c r="AQ585" s="6"/>
      <c r="AR585" s="6" t="s">
        <v>224</v>
      </c>
      <c r="AS585" s="6" t="s">
        <v>357</v>
      </c>
    </row>
    <row r="586" spans="1:45" x14ac:dyDescent="0.3">
      <c r="A586" s="7" t="s">
        <v>2057</v>
      </c>
      <c r="B586" s="7" t="s">
        <v>5148</v>
      </c>
      <c r="C586" s="7" t="s">
        <v>284</v>
      </c>
      <c r="D586" s="7" t="s">
        <v>394</v>
      </c>
      <c r="E586" s="7" t="s">
        <v>36</v>
      </c>
      <c r="F586" s="7" t="s">
        <v>19</v>
      </c>
      <c r="G586" s="7"/>
      <c r="H586" s="7" t="s">
        <v>4275</v>
      </c>
      <c r="I586" s="7" t="s">
        <v>191</v>
      </c>
      <c r="J586" s="7" t="s">
        <v>115</v>
      </c>
      <c r="K586" s="7" t="s">
        <v>333</v>
      </c>
      <c r="L586" s="7" t="s">
        <v>2058</v>
      </c>
      <c r="M586" s="7" t="s">
        <v>5149</v>
      </c>
      <c r="N586" s="7" t="s">
        <v>2059</v>
      </c>
      <c r="O586" s="7" t="s">
        <v>4049</v>
      </c>
      <c r="P586" s="7" t="s">
        <v>4275</v>
      </c>
      <c r="Q586" s="7">
        <v>16768978</v>
      </c>
      <c r="R586" s="7">
        <v>0.33</v>
      </c>
      <c r="S586" s="7">
        <v>0.19</v>
      </c>
      <c r="T586" s="7">
        <v>13369906.16</v>
      </c>
      <c r="U586" s="7">
        <v>8737814.5</v>
      </c>
      <c r="V586" s="7">
        <v>0.28999999999999998</v>
      </c>
      <c r="W586" s="7">
        <v>0.05</v>
      </c>
      <c r="X586" s="7" t="s">
        <v>2060</v>
      </c>
      <c r="Y586" s="7">
        <v>10682242.869999999</v>
      </c>
      <c r="Z586" s="7">
        <v>4562821.68</v>
      </c>
      <c r="AA586" s="7">
        <v>120</v>
      </c>
      <c r="AB586" s="7">
        <v>109</v>
      </c>
      <c r="AC586" s="7" t="s">
        <v>353</v>
      </c>
      <c r="AD586" s="7" t="s">
        <v>354</v>
      </c>
      <c r="AE586" s="7">
        <v>0.46</v>
      </c>
      <c r="AF586" s="7" t="s">
        <v>4312</v>
      </c>
      <c r="AG586" s="7">
        <v>0.05</v>
      </c>
      <c r="AH586" s="7">
        <v>0.08</v>
      </c>
      <c r="AI586" s="7">
        <v>15</v>
      </c>
      <c r="AJ586" s="7">
        <v>4911</v>
      </c>
      <c r="AK586" s="7">
        <v>1783554.8</v>
      </c>
      <c r="AL586" s="7">
        <v>2853979.19</v>
      </c>
      <c r="AM586" s="7" t="s">
        <v>321</v>
      </c>
      <c r="AN586" s="7"/>
      <c r="AO586" s="7">
        <v>51.8</v>
      </c>
      <c r="AP586" s="7">
        <v>24</v>
      </c>
      <c r="AQ586" s="7" t="s">
        <v>337</v>
      </c>
      <c r="AR586" s="7" t="s">
        <v>206</v>
      </c>
      <c r="AS586" s="7" t="s">
        <v>361</v>
      </c>
    </row>
    <row r="587" spans="1:45" x14ac:dyDescent="0.3">
      <c r="A587" s="6" t="s">
        <v>2061</v>
      </c>
      <c r="B587" s="6" t="s">
        <v>4050</v>
      </c>
      <c r="C587" s="6" t="s">
        <v>285</v>
      </c>
      <c r="D587" s="6" t="s">
        <v>209</v>
      </c>
      <c r="E587" s="6"/>
      <c r="F587" s="6" t="s">
        <v>35</v>
      </c>
      <c r="G587" s="6" t="s">
        <v>73</v>
      </c>
      <c r="H587" s="6" t="s">
        <v>4266</v>
      </c>
      <c r="I587" s="6" t="s">
        <v>4307</v>
      </c>
      <c r="J587" s="6" t="s">
        <v>99</v>
      </c>
      <c r="K587" s="6" t="s">
        <v>184</v>
      </c>
      <c r="L587" s="6" t="s">
        <v>2062</v>
      </c>
      <c r="M587" s="6" t="s">
        <v>4051</v>
      </c>
      <c r="N587" s="6" t="s">
        <v>4910</v>
      </c>
      <c r="O587" s="6" t="s">
        <v>5150</v>
      </c>
      <c r="P587" s="6" t="s">
        <v>4275</v>
      </c>
      <c r="Q587" s="6">
        <v>45224134</v>
      </c>
      <c r="R587" s="6">
        <v>0.08</v>
      </c>
      <c r="S587" s="6">
        <v>-0.01</v>
      </c>
      <c r="T587" s="6">
        <v>41190141.25</v>
      </c>
      <c r="U587" s="6">
        <v>29251785.050000001</v>
      </c>
      <c r="V587" s="6">
        <v>0.34</v>
      </c>
      <c r="W587" s="6">
        <v>0.16</v>
      </c>
      <c r="X587" s="6" t="s">
        <v>2063</v>
      </c>
      <c r="Y587" s="6">
        <v>37004225.380000003</v>
      </c>
      <c r="Z587" s="6">
        <v>23961033.739999998</v>
      </c>
      <c r="AA587" s="6">
        <v>45</v>
      </c>
      <c r="AB587" s="6">
        <v>149</v>
      </c>
      <c r="AC587" s="6" t="s">
        <v>342</v>
      </c>
      <c r="AD587" s="6" t="s">
        <v>226</v>
      </c>
      <c r="AE587" s="6">
        <v>0.56999999999999995</v>
      </c>
      <c r="AF587" s="6" t="s">
        <v>162</v>
      </c>
      <c r="AG587" s="6">
        <v>0.15</v>
      </c>
      <c r="AH587" s="6">
        <v>0.03</v>
      </c>
      <c r="AI587" s="6">
        <v>3</v>
      </c>
      <c r="AJ587" s="6">
        <v>2569</v>
      </c>
      <c r="AK587" s="6">
        <v>7644083.5700000003</v>
      </c>
      <c r="AL587" s="6">
        <v>17548578.34</v>
      </c>
      <c r="AM587" s="6" t="s">
        <v>343</v>
      </c>
      <c r="AN587" s="6" t="s">
        <v>356</v>
      </c>
      <c r="AO587" s="6">
        <v>59.4</v>
      </c>
      <c r="AP587" s="6">
        <v>12</v>
      </c>
      <c r="AQ587" s="6"/>
      <c r="AR587" s="6" t="s">
        <v>186</v>
      </c>
      <c r="AS587" s="6" t="s">
        <v>324</v>
      </c>
    </row>
    <row r="588" spans="1:45" x14ac:dyDescent="0.3">
      <c r="A588" s="7" t="s">
        <v>2064</v>
      </c>
      <c r="B588" s="7" t="s">
        <v>5151</v>
      </c>
      <c r="C588" s="7" t="s">
        <v>269</v>
      </c>
      <c r="D588" s="7" t="s">
        <v>180</v>
      </c>
      <c r="E588" s="7" t="s">
        <v>4376</v>
      </c>
      <c r="F588" s="7" t="s">
        <v>35</v>
      </c>
      <c r="G588" s="7" t="s">
        <v>33</v>
      </c>
      <c r="H588" s="7" t="s">
        <v>4266</v>
      </c>
      <c r="I588" s="7" t="s">
        <v>198</v>
      </c>
      <c r="J588" s="7" t="s">
        <v>136</v>
      </c>
      <c r="K588" s="7" t="s">
        <v>223</v>
      </c>
      <c r="L588" s="7" t="s">
        <v>2065</v>
      </c>
      <c r="M588" s="7" t="s">
        <v>3924</v>
      </c>
      <c r="N588" s="7"/>
      <c r="O588" s="7" t="s">
        <v>5152</v>
      </c>
      <c r="P588" s="7">
        <v>42</v>
      </c>
      <c r="Q588" s="7">
        <v>19161785</v>
      </c>
      <c r="R588" s="7">
        <v>0.23</v>
      </c>
      <c r="S588" s="7">
        <v>0.1</v>
      </c>
      <c r="T588" s="7">
        <v>16230031.9</v>
      </c>
      <c r="U588" s="7">
        <v>11170215.25</v>
      </c>
      <c r="V588" s="7">
        <v>0.12</v>
      </c>
      <c r="W588" s="7">
        <v>0.15</v>
      </c>
      <c r="X588" s="7" t="s">
        <v>2066</v>
      </c>
      <c r="Y588" s="7">
        <v>11742644.58</v>
      </c>
      <c r="Z588" s="7">
        <v>7275730.8799999999</v>
      </c>
      <c r="AA588" s="7">
        <v>60</v>
      </c>
      <c r="AB588" s="7">
        <v>117</v>
      </c>
      <c r="AC588" s="7" t="s">
        <v>353</v>
      </c>
      <c r="AD588" s="7" t="s">
        <v>406</v>
      </c>
      <c r="AE588" s="7">
        <v>0.41</v>
      </c>
      <c r="AF588" s="7" t="s">
        <v>4276</v>
      </c>
      <c r="AG588" s="7">
        <v>0.1</v>
      </c>
      <c r="AH588" s="7">
        <v>7.0000000000000007E-2</v>
      </c>
      <c r="AI588" s="7">
        <v>13</v>
      </c>
      <c r="AJ588" s="7">
        <v>2538</v>
      </c>
      <c r="AK588" s="7">
        <v>2835071.83</v>
      </c>
      <c r="AL588" s="7">
        <v>6860025.1799999997</v>
      </c>
      <c r="AM588" s="7" t="s">
        <v>73</v>
      </c>
      <c r="AN588" s="7" t="s">
        <v>321</v>
      </c>
      <c r="AO588" s="7">
        <v>85.2</v>
      </c>
      <c r="AP588" s="7">
        <v>48</v>
      </c>
      <c r="AQ588" s="7" t="s">
        <v>337</v>
      </c>
      <c r="AR588" s="7" t="s">
        <v>192</v>
      </c>
      <c r="AS588" s="7" t="s">
        <v>188</v>
      </c>
    </row>
    <row r="589" spans="1:45" x14ac:dyDescent="0.3">
      <c r="A589" s="6" t="s">
        <v>2067</v>
      </c>
      <c r="B589" s="6" t="s">
        <v>3609</v>
      </c>
      <c r="C589" s="6" t="s">
        <v>219</v>
      </c>
      <c r="D589" s="6" t="s">
        <v>255</v>
      </c>
      <c r="E589" s="6"/>
      <c r="F589" s="6" t="s">
        <v>367</v>
      </c>
      <c r="G589" s="6" t="s">
        <v>16</v>
      </c>
      <c r="H589" s="6"/>
      <c r="I589" s="6" t="s">
        <v>183</v>
      </c>
      <c r="J589" s="6" t="s">
        <v>99</v>
      </c>
      <c r="K589" s="6" t="s">
        <v>221</v>
      </c>
      <c r="L589" s="6" t="s">
        <v>2068</v>
      </c>
      <c r="M589" s="6" t="s">
        <v>4498</v>
      </c>
      <c r="N589" s="6" t="s">
        <v>4673</v>
      </c>
      <c r="O589" s="6" t="s">
        <v>3942</v>
      </c>
      <c r="P589" s="6">
        <v>31</v>
      </c>
      <c r="Q589" s="6">
        <v>16128357</v>
      </c>
      <c r="R589" s="6">
        <v>0.18</v>
      </c>
      <c r="S589" s="6">
        <v>0.18</v>
      </c>
      <c r="T589" s="6">
        <v>15605798.23</v>
      </c>
      <c r="U589" s="6">
        <v>13801724.890000001</v>
      </c>
      <c r="V589" s="6">
        <v>0.32</v>
      </c>
      <c r="W589" s="6">
        <v>0.12</v>
      </c>
      <c r="X589" s="6" t="s">
        <v>2069</v>
      </c>
      <c r="Y589" s="6">
        <v>2668718.67</v>
      </c>
      <c r="Z589" s="6">
        <v>1307155.25</v>
      </c>
      <c r="AA589" s="6">
        <v>45</v>
      </c>
      <c r="AB589" s="6">
        <v>108</v>
      </c>
      <c r="AC589" s="6"/>
      <c r="AD589" s="6" t="s">
        <v>455</v>
      </c>
      <c r="AE589" s="6">
        <v>0.86</v>
      </c>
      <c r="AF589" s="6" t="s">
        <v>4361</v>
      </c>
      <c r="AG589" s="6">
        <v>0.1</v>
      </c>
      <c r="AH589" s="6">
        <v>0.09</v>
      </c>
      <c r="AI589" s="6">
        <v>14</v>
      </c>
      <c r="AJ589" s="6">
        <v>871</v>
      </c>
      <c r="AK589" s="6">
        <v>3888210.66</v>
      </c>
      <c r="AL589" s="6">
        <v>2571672.77</v>
      </c>
      <c r="AM589" s="6" t="s">
        <v>343</v>
      </c>
      <c r="AN589" s="6"/>
      <c r="AO589" s="6">
        <v>54.4</v>
      </c>
      <c r="AP589" s="6">
        <v>48</v>
      </c>
      <c r="AQ589" s="6" t="s">
        <v>337</v>
      </c>
      <c r="AR589" s="6" t="s">
        <v>224</v>
      </c>
      <c r="AS589" s="6" t="s">
        <v>188</v>
      </c>
    </row>
    <row r="590" spans="1:45" x14ac:dyDescent="0.3">
      <c r="A590" s="7" t="s">
        <v>617</v>
      </c>
      <c r="B590" s="7" t="s">
        <v>5153</v>
      </c>
      <c r="C590" s="7" t="s">
        <v>267</v>
      </c>
      <c r="D590" s="7" t="s">
        <v>281</v>
      </c>
      <c r="E590" s="7" t="s">
        <v>4376</v>
      </c>
      <c r="F590" s="7" t="s">
        <v>35</v>
      </c>
      <c r="G590" s="7" t="s">
        <v>28</v>
      </c>
      <c r="H590" s="7" t="s">
        <v>212</v>
      </c>
      <c r="I590" s="7" t="s">
        <v>203</v>
      </c>
      <c r="J590" s="7" t="s">
        <v>136</v>
      </c>
      <c r="K590" s="7" t="s">
        <v>221</v>
      </c>
      <c r="L590" s="7" t="s">
        <v>4052</v>
      </c>
      <c r="M590" s="7" t="s">
        <v>4053</v>
      </c>
      <c r="N590" s="7"/>
      <c r="O590" s="7" t="s">
        <v>5154</v>
      </c>
      <c r="P590" s="7">
        <v>11</v>
      </c>
      <c r="Q590" s="7">
        <v>35938632</v>
      </c>
      <c r="R590" s="7">
        <v>0.04</v>
      </c>
      <c r="S590" s="7">
        <v>0.15</v>
      </c>
      <c r="T590" s="7">
        <v>39676249.729999997</v>
      </c>
      <c r="U590" s="7">
        <v>27139796.149999999</v>
      </c>
      <c r="V590" s="7">
        <v>0.28000000000000003</v>
      </c>
      <c r="W590" s="7">
        <v>0.09</v>
      </c>
      <c r="X590" s="7" t="s">
        <v>4054</v>
      </c>
      <c r="Y590" s="7">
        <v>10194260.710000001</v>
      </c>
      <c r="Z590" s="7">
        <v>6463012.2300000004</v>
      </c>
      <c r="AA590" s="7">
        <v>120</v>
      </c>
      <c r="AB590" s="7">
        <v>96</v>
      </c>
      <c r="AC590" s="7" t="s">
        <v>329</v>
      </c>
      <c r="AD590" s="7" t="s">
        <v>320</v>
      </c>
      <c r="AE590" s="7">
        <v>0.72</v>
      </c>
      <c r="AF590" s="7"/>
      <c r="AG590" s="7">
        <v>0.15</v>
      </c>
      <c r="AH590" s="7">
        <v>0.01</v>
      </c>
      <c r="AI590" s="7">
        <v>1</v>
      </c>
      <c r="AJ590" s="7">
        <v>378</v>
      </c>
      <c r="AK590" s="7">
        <v>3478520.84</v>
      </c>
      <c r="AL590" s="7">
        <v>5009297.58</v>
      </c>
      <c r="AM590" s="7" t="s">
        <v>391</v>
      </c>
      <c r="AN590" s="7" t="s">
        <v>356</v>
      </c>
      <c r="AO590" s="7">
        <v>65.3</v>
      </c>
      <c r="AP590" s="7">
        <v>12</v>
      </c>
      <c r="AQ590" s="7" t="s">
        <v>337</v>
      </c>
      <c r="AR590" s="7" t="s">
        <v>186</v>
      </c>
      <c r="AS590" s="7" t="s">
        <v>361</v>
      </c>
    </row>
    <row r="591" spans="1:45" x14ac:dyDescent="0.3">
      <c r="A591" s="6" t="s">
        <v>2070</v>
      </c>
      <c r="B591" s="6" t="s">
        <v>5155</v>
      </c>
      <c r="C591" s="6" t="s">
        <v>264</v>
      </c>
      <c r="D591" s="6" t="s">
        <v>242</v>
      </c>
      <c r="E591" s="6" t="s">
        <v>4376</v>
      </c>
      <c r="F591" s="6" t="s">
        <v>35</v>
      </c>
      <c r="G591" s="6" t="s">
        <v>54</v>
      </c>
      <c r="H591" s="6" t="s">
        <v>4280</v>
      </c>
      <c r="I591" s="6" t="s">
        <v>4289</v>
      </c>
      <c r="J591" s="6" t="s">
        <v>136</v>
      </c>
      <c r="K591" s="6" t="s">
        <v>333</v>
      </c>
      <c r="L591" s="6" t="s">
        <v>2071</v>
      </c>
      <c r="M591" s="6" t="s">
        <v>4055</v>
      </c>
      <c r="N591" s="6"/>
      <c r="O591" s="6" t="s">
        <v>3400</v>
      </c>
      <c r="P591" s="6">
        <v>39</v>
      </c>
      <c r="Q591" s="6">
        <v>3375935</v>
      </c>
      <c r="R591" s="6">
        <v>0.26</v>
      </c>
      <c r="S591" s="6">
        <v>0.14000000000000001</v>
      </c>
      <c r="T591" s="6">
        <v>2847938.77</v>
      </c>
      <c r="U591" s="6">
        <v>2098764.16</v>
      </c>
      <c r="V591" s="6">
        <v>0.11</v>
      </c>
      <c r="W591" s="6">
        <v>0.09</v>
      </c>
      <c r="X591" s="6" t="s">
        <v>2072</v>
      </c>
      <c r="Y591" s="6">
        <v>2559529.48</v>
      </c>
      <c r="Z591" s="6">
        <v>2169728.56</v>
      </c>
      <c r="AA591" s="6">
        <v>45</v>
      </c>
      <c r="AB591" s="6">
        <v>174</v>
      </c>
      <c r="AC591" s="6" t="s">
        <v>353</v>
      </c>
      <c r="AD591" s="6" t="s">
        <v>320</v>
      </c>
      <c r="AE591" s="6">
        <v>0.27</v>
      </c>
      <c r="AF591" s="6" t="s">
        <v>152</v>
      </c>
      <c r="AG591" s="6">
        <v>0.1</v>
      </c>
      <c r="AH591" s="6">
        <v>0.05</v>
      </c>
      <c r="AI591" s="6">
        <v>14</v>
      </c>
      <c r="AJ591" s="6">
        <v>4116</v>
      </c>
      <c r="AK591" s="6">
        <v>390894.88</v>
      </c>
      <c r="AL591" s="6">
        <v>1019790.41</v>
      </c>
      <c r="AM591" s="6" t="s">
        <v>355</v>
      </c>
      <c r="AN591" s="6" t="s">
        <v>330</v>
      </c>
      <c r="AO591" s="6">
        <v>63.7</v>
      </c>
      <c r="AP591" s="6">
        <v>24</v>
      </c>
      <c r="AQ591" s="6"/>
      <c r="AR591" s="6" t="s">
        <v>229</v>
      </c>
      <c r="AS591" s="6"/>
    </row>
    <row r="592" spans="1:45" x14ac:dyDescent="0.3">
      <c r="A592" s="7" t="s">
        <v>2073</v>
      </c>
      <c r="B592" s="7" t="s">
        <v>4056</v>
      </c>
      <c r="C592" s="7" t="s">
        <v>239</v>
      </c>
      <c r="D592" s="7"/>
      <c r="E592" s="7" t="s">
        <v>4325</v>
      </c>
      <c r="F592" s="7" t="s">
        <v>19</v>
      </c>
      <c r="G592" s="7" t="s">
        <v>57</v>
      </c>
      <c r="H592" s="7" t="s">
        <v>4326</v>
      </c>
      <c r="I592" s="7" t="s">
        <v>213</v>
      </c>
      <c r="J592" s="7" t="s">
        <v>115</v>
      </c>
      <c r="K592" s="7" t="s">
        <v>223</v>
      </c>
      <c r="L592" s="7" t="s">
        <v>2074</v>
      </c>
      <c r="M592" s="7" t="s">
        <v>5156</v>
      </c>
      <c r="N592" s="7" t="s">
        <v>4477</v>
      </c>
      <c r="O592" s="7" t="s">
        <v>5157</v>
      </c>
      <c r="P592" s="7">
        <v>6</v>
      </c>
      <c r="Q592" s="7">
        <v>21117726</v>
      </c>
      <c r="R592" s="7">
        <v>0.26</v>
      </c>
      <c r="S592" s="7">
        <v>-0.04</v>
      </c>
      <c r="T592" s="7">
        <v>15002032.550000001</v>
      </c>
      <c r="U592" s="7">
        <v>13337709.67</v>
      </c>
      <c r="V592" s="7">
        <v>0.17</v>
      </c>
      <c r="W592" s="7">
        <v>0.12</v>
      </c>
      <c r="X592" s="7" t="s">
        <v>2075</v>
      </c>
      <c r="Y592" s="7">
        <v>8737510.2899999991</v>
      </c>
      <c r="Z592" s="7">
        <v>8180820.2000000002</v>
      </c>
      <c r="AA592" s="7">
        <v>60</v>
      </c>
      <c r="AB592" s="7">
        <v>125</v>
      </c>
      <c r="AC592" s="7" t="s">
        <v>376</v>
      </c>
      <c r="AD592" s="7" t="s">
        <v>381</v>
      </c>
      <c r="AE592" s="7">
        <v>0.81</v>
      </c>
      <c r="AF592" s="7" t="s">
        <v>162</v>
      </c>
      <c r="AG592" s="7">
        <v>0.15</v>
      </c>
      <c r="AH592" s="7">
        <v>0.04</v>
      </c>
      <c r="AI592" s="7">
        <v>6</v>
      </c>
      <c r="AJ592" s="7">
        <v>2767</v>
      </c>
      <c r="AK592" s="7">
        <v>2624861.09</v>
      </c>
      <c r="AL592" s="7">
        <v>7122784.5899999999</v>
      </c>
      <c r="AM592" s="7" t="s">
        <v>385</v>
      </c>
      <c r="AN592" s="7" t="s">
        <v>356</v>
      </c>
      <c r="AO592" s="7">
        <v>52.8</v>
      </c>
      <c r="AP592" s="7">
        <v>48</v>
      </c>
      <c r="AQ592" s="7" t="s">
        <v>387</v>
      </c>
      <c r="AR592" s="7" t="s">
        <v>206</v>
      </c>
      <c r="AS592" s="7" t="s">
        <v>377</v>
      </c>
    </row>
    <row r="593" spans="1:45" x14ac:dyDescent="0.3">
      <c r="A593" s="6" t="s">
        <v>2076</v>
      </c>
      <c r="B593" s="6" t="s">
        <v>5158</v>
      </c>
      <c r="C593" s="6" t="s">
        <v>286</v>
      </c>
      <c r="D593" s="6" t="s">
        <v>255</v>
      </c>
      <c r="E593" s="6"/>
      <c r="F593" s="6" t="s">
        <v>31</v>
      </c>
      <c r="G593" s="6" t="s">
        <v>66</v>
      </c>
      <c r="H593" s="6" t="s">
        <v>182</v>
      </c>
      <c r="I593" s="6" t="s">
        <v>240</v>
      </c>
      <c r="J593" s="6" t="s">
        <v>99</v>
      </c>
      <c r="K593" s="6" t="s">
        <v>184</v>
      </c>
      <c r="L593" s="6" t="s">
        <v>2077</v>
      </c>
      <c r="M593" s="6" t="s">
        <v>4057</v>
      </c>
      <c r="N593" s="6" t="s">
        <v>4505</v>
      </c>
      <c r="O593" s="6" t="s">
        <v>2010</v>
      </c>
      <c r="P593" s="6" t="s">
        <v>4275</v>
      </c>
      <c r="Q593" s="6">
        <v>36307697</v>
      </c>
      <c r="R593" s="6">
        <v>0.34</v>
      </c>
      <c r="S593" s="6">
        <v>0.1</v>
      </c>
      <c r="T593" s="6">
        <v>26359388.02</v>
      </c>
      <c r="U593" s="6">
        <v>23336251.899999999</v>
      </c>
      <c r="V593" s="6">
        <v>0.2</v>
      </c>
      <c r="W593" s="6">
        <v>0.17</v>
      </c>
      <c r="X593" s="6" t="s">
        <v>2078</v>
      </c>
      <c r="Y593" s="6">
        <v>20961460.030000001</v>
      </c>
      <c r="Z593" s="6">
        <v>17093558.68</v>
      </c>
      <c r="AA593" s="6">
        <v>45</v>
      </c>
      <c r="AB593" s="6">
        <v>28</v>
      </c>
      <c r="AC593" s="6" t="s">
        <v>329</v>
      </c>
      <c r="AD593" s="6" t="s">
        <v>381</v>
      </c>
      <c r="AE593" s="6">
        <v>0.77</v>
      </c>
      <c r="AF593" s="6" t="s">
        <v>153</v>
      </c>
      <c r="AG593" s="6">
        <v>0.05</v>
      </c>
      <c r="AH593" s="6">
        <v>0.08</v>
      </c>
      <c r="AI593" s="6">
        <v>14</v>
      </c>
      <c r="AJ593" s="6">
        <v>3860</v>
      </c>
      <c r="AK593" s="6">
        <v>5408867.6100000003</v>
      </c>
      <c r="AL593" s="6">
        <v>7929754.5300000003</v>
      </c>
      <c r="AM593" s="6" t="s">
        <v>73</v>
      </c>
      <c r="AN593" s="6" t="s">
        <v>386</v>
      </c>
      <c r="AO593" s="6">
        <v>98.1</v>
      </c>
      <c r="AP593" s="6">
        <v>12</v>
      </c>
      <c r="AQ593" s="6" t="s">
        <v>387</v>
      </c>
      <c r="AR593" s="6" t="s">
        <v>186</v>
      </c>
      <c r="AS593" s="6"/>
    </row>
    <row r="594" spans="1:45" x14ac:dyDescent="0.3">
      <c r="A594" s="7" t="s">
        <v>2079</v>
      </c>
      <c r="B594" s="7" t="s">
        <v>4590</v>
      </c>
      <c r="C594" s="7" t="s">
        <v>237</v>
      </c>
      <c r="D594" s="7" t="s">
        <v>562</v>
      </c>
      <c r="E594" s="7" t="s">
        <v>113</v>
      </c>
      <c r="F594" s="7" t="s">
        <v>181</v>
      </c>
      <c r="G594" s="7" t="s">
        <v>62</v>
      </c>
      <c r="H594" s="7" t="s">
        <v>4275</v>
      </c>
      <c r="I594" s="7" t="s">
        <v>4289</v>
      </c>
      <c r="J594" s="7" t="s">
        <v>111</v>
      </c>
      <c r="K594" s="7" t="s">
        <v>204</v>
      </c>
      <c r="L594" s="7" t="s">
        <v>2080</v>
      </c>
      <c r="M594" s="7" t="s">
        <v>3701</v>
      </c>
      <c r="N594" s="7" t="s">
        <v>5159</v>
      </c>
      <c r="O594" s="7" t="s">
        <v>3384</v>
      </c>
      <c r="P594" s="7">
        <v>46</v>
      </c>
      <c r="Q594" s="7">
        <v>19913743</v>
      </c>
      <c r="R594" s="7">
        <v>0.09</v>
      </c>
      <c r="S594" s="7">
        <v>0.14000000000000001</v>
      </c>
      <c r="T594" s="7">
        <v>20658516.989999998</v>
      </c>
      <c r="U594" s="7">
        <v>12972998.33</v>
      </c>
      <c r="V594" s="7">
        <v>0.39</v>
      </c>
      <c r="W594" s="7">
        <v>0.09</v>
      </c>
      <c r="X594" s="7" t="s">
        <v>2081</v>
      </c>
      <c r="Y594" s="7">
        <v>9173284.3699999992</v>
      </c>
      <c r="Z594" s="7">
        <v>3739792.41</v>
      </c>
      <c r="AA594" s="7">
        <v>90</v>
      </c>
      <c r="AB594" s="7">
        <v>169</v>
      </c>
      <c r="AC594" s="7" t="s">
        <v>342</v>
      </c>
      <c r="AD594" s="7" t="s">
        <v>406</v>
      </c>
      <c r="AE594" s="7">
        <v>0.45</v>
      </c>
      <c r="AF594" s="7" t="s">
        <v>4361</v>
      </c>
      <c r="AG594" s="7">
        <v>0.15</v>
      </c>
      <c r="AH594" s="7">
        <v>0.06</v>
      </c>
      <c r="AI594" s="7">
        <v>15</v>
      </c>
      <c r="AJ594" s="7">
        <v>3054</v>
      </c>
      <c r="AK594" s="7">
        <v>4153241.23</v>
      </c>
      <c r="AL594" s="7">
        <v>5100205.57</v>
      </c>
      <c r="AM594" s="7" t="s">
        <v>385</v>
      </c>
      <c r="AN594" s="7" t="s">
        <v>322</v>
      </c>
      <c r="AO594" s="7"/>
      <c r="AP594" s="7" t="s">
        <v>4275</v>
      </c>
      <c r="AQ594" s="7" t="s">
        <v>337</v>
      </c>
      <c r="AR594" s="7" t="s">
        <v>224</v>
      </c>
      <c r="AS594" s="7" t="s">
        <v>357</v>
      </c>
    </row>
    <row r="595" spans="1:45" x14ac:dyDescent="0.3">
      <c r="A595" s="6" t="s">
        <v>2082</v>
      </c>
      <c r="B595" s="6" t="s">
        <v>4058</v>
      </c>
      <c r="C595" s="6" t="s">
        <v>275</v>
      </c>
      <c r="D595" s="6" t="s">
        <v>265</v>
      </c>
      <c r="E595" s="6" t="s">
        <v>4265</v>
      </c>
      <c r="F595" s="6" t="s">
        <v>228</v>
      </c>
      <c r="G595" s="6" t="s">
        <v>78</v>
      </c>
      <c r="H595" s="6" t="s">
        <v>197</v>
      </c>
      <c r="I595" s="6" t="s">
        <v>240</v>
      </c>
      <c r="J595" s="6" t="s">
        <v>130</v>
      </c>
      <c r="K595" s="6" t="s">
        <v>221</v>
      </c>
      <c r="L595" s="6" t="s">
        <v>2083</v>
      </c>
      <c r="M595" s="6" t="s">
        <v>4724</v>
      </c>
      <c r="N595" s="6" t="s">
        <v>4059</v>
      </c>
      <c r="O595" s="6" t="s">
        <v>4274</v>
      </c>
      <c r="P595" s="6">
        <v>19</v>
      </c>
      <c r="Q595" s="6">
        <v>10572146</v>
      </c>
      <c r="R595" s="6">
        <v>0.13</v>
      </c>
      <c r="S595" s="6">
        <v>0.05</v>
      </c>
      <c r="T595" s="6">
        <v>9657655.3699999992</v>
      </c>
      <c r="U595" s="6">
        <v>8299622.5499999998</v>
      </c>
      <c r="V595" s="6">
        <v>0.2</v>
      </c>
      <c r="W595" s="6">
        <v>0.2</v>
      </c>
      <c r="X595" s="6" t="s">
        <v>2084</v>
      </c>
      <c r="Y595" s="6">
        <v>6086601.4100000001</v>
      </c>
      <c r="Z595" s="6">
        <v>3267375.49</v>
      </c>
      <c r="AA595" s="6">
        <v>60</v>
      </c>
      <c r="AB595" s="6">
        <v>54</v>
      </c>
      <c r="AC595" s="6" t="s">
        <v>376</v>
      </c>
      <c r="AD595" s="6" t="s">
        <v>354</v>
      </c>
      <c r="AE595" s="6">
        <v>0.41</v>
      </c>
      <c r="AF595" s="6" t="s">
        <v>152</v>
      </c>
      <c r="AG595" s="6">
        <v>0.1</v>
      </c>
      <c r="AH595" s="6">
        <v>0.02</v>
      </c>
      <c r="AI595" s="6">
        <v>4</v>
      </c>
      <c r="AJ595" s="6">
        <v>2598</v>
      </c>
      <c r="AK595" s="6">
        <v>459524.71</v>
      </c>
      <c r="AL595" s="6">
        <v>1385555.91</v>
      </c>
      <c r="AM595" s="6" t="s">
        <v>355</v>
      </c>
      <c r="AN595" s="6" t="s">
        <v>322</v>
      </c>
      <c r="AO595" s="6">
        <v>68.3</v>
      </c>
      <c r="AP595" s="6">
        <v>60</v>
      </c>
      <c r="AQ595" s="6" t="s">
        <v>337</v>
      </c>
      <c r="AR595" s="6" t="s">
        <v>192</v>
      </c>
      <c r="AS595" s="6" t="s">
        <v>188</v>
      </c>
    </row>
    <row r="596" spans="1:45" x14ac:dyDescent="0.3">
      <c r="A596" s="7" t="s">
        <v>2085</v>
      </c>
      <c r="B596" s="7" t="s">
        <v>5160</v>
      </c>
      <c r="C596" s="7" t="s">
        <v>219</v>
      </c>
      <c r="D596" s="7" t="s">
        <v>220</v>
      </c>
      <c r="E596" s="7" t="s">
        <v>4270</v>
      </c>
      <c r="F596" s="7" t="s">
        <v>181</v>
      </c>
      <c r="G596" s="7" t="s">
        <v>38</v>
      </c>
      <c r="H596" s="7" t="s">
        <v>212</v>
      </c>
      <c r="I596" s="7" t="s">
        <v>4307</v>
      </c>
      <c r="J596" s="7" t="s">
        <v>123</v>
      </c>
      <c r="K596" s="7" t="s">
        <v>221</v>
      </c>
      <c r="L596" s="7" t="s">
        <v>2086</v>
      </c>
      <c r="M596" s="7" t="s">
        <v>5161</v>
      </c>
      <c r="N596" s="7" t="s">
        <v>4981</v>
      </c>
      <c r="O596" s="7" t="s">
        <v>5162</v>
      </c>
      <c r="P596" s="7" t="s">
        <v>4275</v>
      </c>
      <c r="Q596" s="7">
        <v>18669174</v>
      </c>
      <c r="R596" s="7">
        <v>0.3</v>
      </c>
      <c r="S596" s="7">
        <v>0.03</v>
      </c>
      <c r="T596" s="7">
        <v>13460474.449999999</v>
      </c>
      <c r="U596" s="7">
        <v>10764285.18</v>
      </c>
      <c r="V596" s="7">
        <v>0.28999999999999998</v>
      </c>
      <c r="W596" s="7">
        <v>0.18</v>
      </c>
      <c r="X596" s="7" t="s">
        <v>2087</v>
      </c>
      <c r="Y596" s="7">
        <v>3071761.81</v>
      </c>
      <c r="Z596" s="7">
        <v>2796995.64</v>
      </c>
      <c r="AA596" s="7">
        <v>60</v>
      </c>
      <c r="AB596" s="7">
        <v>138</v>
      </c>
      <c r="AC596" s="7" t="s">
        <v>376</v>
      </c>
      <c r="AD596" s="7" t="s">
        <v>354</v>
      </c>
      <c r="AE596" s="7">
        <v>0.96</v>
      </c>
      <c r="AF596" s="7" t="s">
        <v>4312</v>
      </c>
      <c r="AG596" s="7">
        <v>0.1</v>
      </c>
      <c r="AH596" s="7">
        <v>0.06</v>
      </c>
      <c r="AI596" s="7">
        <v>11</v>
      </c>
      <c r="AJ596" s="7">
        <v>2307</v>
      </c>
      <c r="AK596" s="7">
        <v>1734692.26</v>
      </c>
      <c r="AL596" s="7">
        <v>2708850.52</v>
      </c>
      <c r="AM596" s="7" t="s">
        <v>343</v>
      </c>
      <c r="AN596" s="7"/>
      <c r="AO596" s="7">
        <v>60.6</v>
      </c>
      <c r="AP596" s="7">
        <v>36</v>
      </c>
      <c r="AQ596" s="7" t="s">
        <v>392</v>
      </c>
      <c r="AR596" s="7" t="s">
        <v>186</v>
      </c>
      <c r="AS596" s="7"/>
    </row>
    <row r="597" spans="1:45" x14ac:dyDescent="0.3">
      <c r="A597" s="6" t="s">
        <v>2088</v>
      </c>
      <c r="B597" s="6" t="s">
        <v>5163</v>
      </c>
      <c r="C597" s="6" t="s">
        <v>249</v>
      </c>
      <c r="D597" s="6" t="s">
        <v>262</v>
      </c>
      <c r="E597" s="6" t="s">
        <v>41</v>
      </c>
      <c r="F597" s="6" t="s">
        <v>228</v>
      </c>
      <c r="G597" s="6" t="s">
        <v>73</v>
      </c>
      <c r="H597" s="6" t="s">
        <v>216</v>
      </c>
      <c r="I597" s="6" t="s">
        <v>246</v>
      </c>
      <c r="J597" s="6" t="s">
        <v>105</v>
      </c>
      <c r="K597" s="6" t="s">
        <v>204</v>
      </c>
      <c r="L597" s="6" t="s">
        <v>2089</v>
      </c>
      <c r="M597" s="6" t="s">
        <v>4523</v>
      </c>
      <c r="N597" s="6" t="s">
        <v>5164</v>
      </c>
      <c r="O597" s="6" t="s">
        <v>5165</v>
      </c>
      <c r="P597" s="6">
        <v>25</v>
      </c>
      <c r="Q597" s="6">
        <v>3748025</v>
      </c>
      <c r="R597" s="6">
        <v>0.03</v>
      </c>
      <c r="S597" s="6">
        <v>-0.05</v>
      </c>
      <c r="T597" s="6">
        <v>3453805.04</v>
      </c>
      <c r="U597" s="6">
        <v>2697130.49</v>
      </c>
      <c r="V597" s="6" t="s">
        <v>4374</v>
      </c>
      <c r="W597" s="6">
        <v>0.16</v>
      </c>
      <c r="X597" s="6" t="s">
        <v>2090</v>
      </c>
      <c r="Y597" s="6">
        <v>1841068.17</v>
      </c>
      <c r="Z597" s="6">
        <v>1839285.6</v>
      </c>
      <c r="AA597" s="6">
        <v>45</v>
      </c>
      <c r="AB597" s="6">
        <v>100</v>
      </c>
      <c r="AC597" s="6"/>
      <c r="AD597" s="6" t="s">
        <v>226</v>
      </c>
      <c r="AE597" s="6">
        <v>0.33</v>
      </c>
      <c r="AF597" s="6" t="s">
        <v>4294</v>
      </c>
      <c r="AG597" s="6">
        <v>0.1</v>
      </c>
      <c r="AH597" s="6">
        <v>0.02</v>
      </c>
      <c r="AI597" s="6">
        <v>14</v>
      </c>
      <c r="AJ597" s="6">
        <v>2081</v>
      </c>
      <c r="AK597" s="6">
        <v>418887.32</v>
      </c>
      <c r="AL597" s="6">
        <v>1660864.6</v>
      </c>
      <c r="AM597" s="6"/>
      <c r="AN597" s="6" t="s">
        <v>321</v>
      </c>
      <c r="AO597" s="6">
        <v>99.6</v>
      </c>
      <c r="AP597" s="6">
        <v>12</v>
      </c>
      <c r="AQ597" s="6" t="s">
        <v>323</v>
      </c>
      <c r="AR597" s="6" t="s">
        <v>192</v>
      </c>
      <c r="AS597" s="6" t="s">
        <v>188</v>
      </c>
    </row>
    <row r="598" spans="1:45" x14ac:dyDescent="0.3">
      <c r="A598" s="7" t="s">
        <v>2091</v>
      </c>
      <c r="B598" s="7" t="s">
        <v>4043</v>
      </c>
      <c r="C598" s="7" t="s">
        <v>286</v>
      </c>
      <c r="D598" s="7" t="s">
        <v>238</v>
      </c>
      <c r="E598" s="7" t="s">
        <v>41</v>
      </c>
      <c r="F598" s="7" t="s">
        <v>363</v>
      </c>
      <c r="G598" s="7" t="s">
        <v>54</v>
      </c>
      <c r="H598" s="7" t="s">
        <v>4266</v>
      </c>
      <c r="I598" s="7" t="s">
        <v>4307</v>
      </c>
      <c r="J598" s="6" t="s">
        <v>105</v>
      </c>
      <c r="K598" s="7" t="s">
        <v>199</v>
      </c>
      <c r="L598" s="7" t="s">
        <v>2092</v>
      </c>
      <c r="M598" s="7" t="s">
        <v>5166</v>
      </c>
      <c r="N598" s="7" t="s">
        <v>2093</v>
      </c>
      <c r="O598" s="7" t="s">
        <v>3291</v>
      </c>
      <c r="P598" s="7">
        <v>15</v>
      </c>
      <c r="Q598" s="7">
        <v>9037984</v>
      </c>
      <c r="R598" s="7">
        <v>0.14000000000000001</v>
      </c>
      <c r="S598" s="7">
        <v>0.11</v>
      </c>
      <c r="T598" s="7">
        <v>8627659.5299999993</v>
      </c>
      <c r="U598" s="7">
        <v>6452656.3499999996</v>
      </c>
      <c r="V598" s="7">
        <v>0.28999999999999998</v>
      </c>
      <c r="W598" s="7">
        <v>0.18</v>
      </c>
      <c r="X598" s="7" t="s">
        <v>2094</v>
      </c>
      <c r="Y598" s="7">
        <v>2126444.7799999998</v>
      </c>
      <c r="Z598" s="7">
        <v>1795395.57</v>
      </c>
      <c r="AA598" s="7">
        <v>120</v>
      </c>
      <c r="AB598" s="7">
        <v>77</v>
      </c>
      <c r="AC598" s="7" t="s">
        <v>342</v>
      </c>
      <c r="AD598" s="7" t="s">
        <v>381</v>
      </c>
      <c r="AE598" s="7">
        <v>0.28000000000000003</v>
      </c>
      <c r="AF598" s="7" t="s">
        <v>4276</v>
      </c>
      <c r="AG598" s="7">
        <v>0.15</v>
      </c>
      <c r="AH598" s="7">
        <v>0.06</v>
      </c>
      <c r="AI598" s="7">
        <v>8</v>
      </c>
      <c r="AJ598" s="7">
        <v>2302</v>
      </c>
      <c r="AK598" s="7">
        <v>492831.93</v>
      </c>
      <c r="AL598" s="7">
        <v>1582894.43</v>
      </c>
      <c r="AM598" s="7" t="s">
        <v>343</v>
      </c>
      <c r="AN598" s="7"/>
      <c r="AO598" s="7">
        <v>86.5</v>
      </c>
      <c r="AP598" s="7">
        <v>24</v>
      </c>
      <c r="AQ598" s="7" t="s">
        <v>387</v>
      </c>
      <c r="AR598" s="7" t="s">
        <v>192</v>
      </c>
      <c r="AS598" s="7"/>
    </row>
    <row r="599" spans="1:45" x14ac:dyDescent="0.3">
      <c r="A599" s="6" t="s">
        <v>2095</v>
      </c>
      <c r="B599" s="6" t="s">
        <v>3382</v>
      </c>
      <c r="C599" s="6" t="s">
        <v>261</v>
      </c>
      <c r="D599" s="6" t="s">
        <v>562</v>
      </c>
      <c r="E599" s="6" t="s">
        <v>41</v>
      </c>
      <c r="F599" s="6"/>
      <c r="G599" s="6" t="s">
        <v>46</v>
      </c>
      <c r="H599" s="6" t="s">
        <v>182</v>
      </c>
      <c r="I599" s="6" t="s">
        <v>191</v>
      </c>
      <c r="J599" s="6" t="s">
        <v>130</v>
      </c>
      <c r="K599" s="6" t="s">
        <v>204</v>
      </c>
      <c r="L599" s="6" t="s">
        <v>2096</v>
      </c>
      <c r="M599" s="6" t="s">
        <v>4060</v>
      </c>
      <c r="N599" s="6" t="s">
        <v>5167</v>
      </c>
      <c r="O599" s="6" t="s">
        <v>4274</v>
      </c>
      <c r="P599" s="6">
        <v>23</v>
      </c>
      <c r="Q599" s="6">
        <v>44915588</v>
      </c>
      <c r="R599" s="6">
        <v>0.1</v>
      </c>
      <c r="S599" s="6">
        <v>-0.04</v>
      </c>
      <c r="T599" s="6">
        <v>38807068.030000001</v>
      </c>
      <c r="U599" s="6">
        <v>25810848.280000001</v>
      </c>
      <c r="V599" s="6">
        <v>0.34</v>
      </c>
      <c r="W599" s="6">
        <v>0.2</v>
      </c>
      <c r="X599" s="6" t="s">
        <v>2097</v>
      </c>
      <c r="Y599" s="6">
        <v>25967392.68</v>
      </c>
      <c r="Z599" s="6">
        <v>15880383.74</v>
      </c>
      <c r="AA599" s="6">
        <v>60</v>
      </c>
      <c r="AB599" s="6">
        <v>26</v>
      </c>
      <c r="AC599" s="6" t="s">
        <v>347</v>
      </c>
      <c r="AD599" s="6" t="s">
        <v>455</v>
      </c>
      <c r="AE599" s="6">
        <v>0.13</v>
      </c>
      <c r="AF599" s="6"/>
      <c r="AG599" s="6">
        <v>0.15</v>
      </c>
      <c r="AH599" s="6">
        <v>0.04</v>
      </c>
      <c r="AI599" s="6">
        <v>2</v>
      </c>
      <c r="AJ599" s="6">
        <v>4990</v>
      </c>
      <c r="AK599" s="6">
        <v>7436281.0800000001</v>
      </c>
      <c r="AL599" s="6">
        <v>16685049.35</v>
      </c>
      <c r="AM599" s="6" t="s">
        <v>73</v>
      </c>
      <c r="AN599" s="6" t="s">
        <v>330</v>
      </c>
      <c r="AO599" s="6">
        <v>89.4</v>
      </c>
      <c r="AP599" s="6">
        <v>12</v>
      </c>
      <c r="AQ599" s="6" t="s">
        <v>387</v>
      </c>
      <c r="AR599" s="6" t="s">
        <v>186</v>
      </c>
      <c r="AS599" s="6" t="s">
        <v>377</v>
      </c>
    </row>
    <row r="600" spans="1:45" x14ac:dyDescent="0.3">
      <c r="A600" s="7" t="s">
        <v>2098</v>
      </c>
      <c r="B600" s="7" t="s">
        <v>5168</v>
      </c>
      <c r="C600" s="7" t="s">
        <v>270</v>
      </c>
      <c r="D600" s="7"/>
      <c r="E600" s="7" t="s">
        <v>20</v>
      </c>
      <c r="F600" s="7" t="s">
        <v>196</v>
      </c>
      <c r="G600" s="7" t="s">
        <v>46</v>
      </c>
      <c r="H600" s="7" t="s">
        <v>4340</v>
      </c>
      <c r="I600" s="7" t="s">
        <v>183</v>
      </c>
      <c r="J600" s="7" t="s">
        <v>136</v>
      </c>
      <c r="K600" s="7" t="s">
        <v>223</v>
      </c>
      <c r="L600" s="7" t="s">
        <v>2099</v>
      </c>
      <c r="M600" s="7" t="s">
        <v>4792</v>
      </c>
      <c r="N600" s="7" t="s">
        <v>5169</v>
      </c>
      <c r="O600" s="7" t="s">
        <v>3894</v>
      </c>
      <c r="P600" s="7">
        <v>42</v>
      </c>
      <c r="Q600" s="7">
        <v>42346515</v>
      </c>
      <c r="R600" s="7">
        <v>0.22</v>
      </c>
      <c r="S600" s="7">
        <v>0.19</v>
      </c>
      <c r="T600" s="7">
        <v>39306035.219999999</v>
      </c>
      <c r="U600" s="7">
        <v>25856729.109999999</v>
      </c>
      <c r="V600" s="7">
        <v>0.38</v>
      </c>
      <c r="W600" s="7">
        <v>0.16</v>
      </c>
      <c r="X600" s="7" t="s">
        <v>2100</v>
      </c>
      <c r="Y600" s="7">
        <v>25249094.600000001</v>
      </c>
      <c r="Z600" s="7">
        <v>15358845.76</v>
      </c>
      <c r="AA600" s="7">
        <v>120</v>
      </c>
      <c r="AB600" s="7">
        <v>171</v>
      </c>
      <c r="AC600" s="7" t="s">
        <v>347</v>
      </c>
      <c r="AD600" s="7" t="s">
        <v>320</v>
      </c>
      <c r="AE600" s="7">
        <v>0.79</v>
      </c>
      <c r="AF600" s="7" t="s">
        <v>152</v>
      </c>
      <c r="AG600" s="7">
        <v>0.1</v>
      </c>
      <c r="AH600" s="7">
        <v>0.03</v>
      </c>
      <c r="AI600" s="7">
        <v>15</v>
      </c>
      <c r="AJ600" s="7">
        <v>3066</v>
      </c>
      <c r="AK600" s="7">
        <v>8284728.9699999997</v>
      </c>
      <c r="AL600" s="7">
        <v>12192502.539999999</v>
      </c>
      <c r="AM600" s="7" t="s">
        <v>385</v>
      </c>
      <c r="AN600" s="7" t="s">
        <v>348</v>
      </c>
      <c r="AO600" s="7">
        <v>94.7</v>
      </c>
      <c r="AP600" s="7">
        <v>12</v>
      </c>
      <c r="AQ600" s="7" t="s">
        <v>392</v>
      </c>
      <c r="AR600" s="7" t="s">
        <v>229</v>
      </c>
      <c r="AS600" s="7" t="s">
        <v>357</v>
      </c>
    </row>
    <row r="601" spans="1:45" x14ac:dyDescent="0.3">
      <c r="A601" s="6" t="s">
        <v>2101</v>
      </c>
      <c r="B601" s="6" t="s">
        <v>3657</v>
      </c>
      <c r="C601" s="6" t="s">
        <v>267</v>
      </c>
      <c r="D601" s="6" t="s">
        <v>250</v>
      </c>
      <c r="E601" s="6" t="s">
        <v>113</v>
      </c>
      <c r="F601" s="6" t="s">
        <v>181</v>
      </c>
      <c r="G601" s="6" t="s">
        <v>16</v>
      </c>
      <c r="H601" s="6" t="s">
        <v>236</v>
      </c>
      <c r="I601" s="6" t="s">
        <v>183</v>
      </c>
      <c r="J601" s="6" t="s">
        <v>127</v>
      </c>
      <c r="K601" s="6" t="s">
        <v>184</v>
      </c>
      <c r="L601" s="6" t="s">
        <v>2102</v>
      </c>
      <c r="M601" s="6" t="s">
        <v>3683</v>
      </c>
      <c r="N601" s="6"/>
      <c r="O601" s="6" t="s">
        <v>4679</v>
      </c>
      <c r="P601" s="6">
        <v>58</v>
      </c>
      <c r="Q601" s="6">
        <v>10710730</v>
      </c>
      <c r="R601" s="6">
        <v>0.33</v>
      </c>
      <c r="S601" s="6">
        <v>-0.02</v>
      </c>
      <c r="T601" s="6">
        <v>7032665.3200000003</v>
      </c>
      <c r="U601" s="6"/>
      <c r="V601" s="6">
        <v>0.38</v>
      </c>
      <c r="W601" s="6">
        <v>0.12</v>
      </c>
      <c r="X601" s="6" t="s">
        <v>2103</v>
      </c>
      <c r="Y601" s="6">
        <v>3844700.04</v>
      </c>
      <c r="Z601" s="6">
        <v>3468179.44</v>
      </c>
      <c r="AA601" s="6">
        <v>60</v>
      </c>
      <c r="AB601" s="6">
        <v>89</v>
      </c>
      <c r="AC601" s="6" t="s">
        <v>353</v>
      </c>
      <c r="AD601" s="6" t="s">
        <v>406</v>
      </c>
      <c r="AE601" s="6">
        <v>0.22</v>
      </c>
      <c r="AF601" s="6" t="s">
        <v>162</v>
      </c>
      <c r="AG601" s="6">
        <v>0.15</v>
      </c>
      <c r="AH601" s="6">
        <v>0.1</v>
      </c>
      <c r="AI601" s="6">
        <v>10</v>
      </c>
      <c r="AJ601" s="6">
        <v>395</v>
      </c>
      <c r="AK601" s="6">
        <v>1152041.25</v>
      </c>
      <c r="AL601" s="6">
        <v>2530707.25</v>
      </c>
      <c r="AM601" s="6" t="s">
        <v>343</v>
      </c>
      <c r="AN601" s="6" t="s">
        <v>321</v>
      </c>
      <c r="AO601" s="6">
        <v>89.8</v>
      </c>
      <c r="AP601" s="6">
        <v>48</v>
      </c>
      <c r="AQ601" s="6" t="s">
        <v>337</v>
      </c>
      <c r="AR601" s="6" t="s">
        <v>206</v>
      </c>
      <c r="AS601" s="6"/>
    </row>
    <row r="602" spans="1:45" x14ac:dyDescent="0.3">
      <c r="A602" s="7" t="s">
        <v>2104</v>
      </c>
      <c r="B602" s="7" t="s">
        <v>3290</v>
      </c>
      <c r="C602" s="7" t="s">
        <v>243</v>
      </c>
      <c r="D602" s="7" t="s">
        <v>562</v>
      </c>
      <c r="E602" s="7" t="s">
        <v>113</v>
      </c>
      <c r="F602" s="7" t="s">
        <v>181</v>
      </c>
      <c r="G602" s="7" t="s">
        <v>57</v>
      </c>
      <c r="H602" s="7" t="s">
        <v>4280</v>
      </c>
      <c r="I602" s="7" t="s">
        <v>213</v>
      </c>
      <c r="J602" s="7" t="s">
        <v>123</v>
      </c>
      <c r="K602" s="7" t="s">
        <v>184</v>
      </c>
      <c r="L602" s="7" t="s">
        <v>2105</v>
      </c>
      <c r="M602" s="7" t="s">
        <v>4062</v>
      </c>
      <c r="N602" s="7"/>
      <c r="O602" s="7" t="s">
        <v>5170</v>
      </c>
      <c r="P602" s="7">
        <v>21</v>
      </c>
      <c r="Q602" s="7">
        <v>6707278</v>
      </c>
      <c r="R602" s="7">
        <v>0.11</v>
      </c>
      <c r="S602" s="7">
        <v>-0.04</v>
      </c>
      <c r="T602" s="7">
        <v>5730698.3200000003</v>
      </c>
      <c r="U602" s="7">
        <v>3784306.86</v>
      </c>
      <c r="V602" s="7">
        <v>0.15</v>
      </c>
      <c r="W602" s="7">
        <v>0.11</v>
      </c>
      <c r="X602" s="7" t="s">
        <v>2106</v>
      </c>
      <c r="Y602" s="7">
        <v>3299856.74</v>
      </c>
      <c r="Z602" s="7">
        <v>3388904.8</v>
      </c>
      <c r="AA602" s="7">
        <v>45</v>
      </c>
      <c r="AB602" s="7">
        <v>64</v>
      </c>
      <c r="AC602" s="7" t="s">
        <v>376</v>
      </c>
      <c r="AD602" s="7" t="s">
        <v>455</v>
      </c>
      <c r="AE602" s="7">
        <v>0.42</v>
      </c>
      <c r="AF602" s="7" t="s">
        <v>152</v>
      </c>
      <c r="AG602" s="7">
        <v>0.15</v>
      </c>
      <c r="AH602" s="7">
        <v>0.04</v>
      </c>
      <c r="AI602" s="7">
        <v>12</v>
      </c>
      <c r="AJ602" s="7">
        <v>4595</v>
      </c>
      <c r="AK602" s="7">
        <v>1030634.29</v>
      </c>
      <c r="AL602" s="7">
        <v>2259673.58</v>
      </c>
      <c r="AM602" s="7" t="s">
        <v>391</v>
      </c>
      <c r="AN602" s="7" t="s">
        <v>356</v>
      </c>
      <c r="AO602" s="7">
        <v>68.900000000000006</v>
      </c>
      <c r="AP602" s="7">
        <v>36</v>
      </c>
      <c r="AQ602" s="7" t="s">
        <v>4275</v>
      </c>
      <c r="AR602" s="7" t="s">
        <v>229</v>
      </c>
      <c r="AS602" s="7"/>
    </row>
    <row r="603" spans="1:45" x14ac:dyDescent="0.3">
      <c r="A603" s="6" t="s">
        <v>2107</v>
      </c>
      <c r="B603" s="6" t="s">
        <v>4690</v>
      </c>
      <c r="C603" s="6" t="s">
        <v>249</v>
      </c>
      <c r="D603" s="6" t="s">
        <v>180</v>
      </c>
      <c r="E603" s="6" t="s">
        <v>4306</v>
      </c>
      <c r="F603" s="6" t="s">
        <v>75</v>
      </c>
      <c r="G603" s="6" t="s">
        <v>16</v>
      </c>
      <c r="H603" s="6" t="s">
        <v>263</v>
      </c>
      <c r="I603" s="6" t="s">
        <v>191</v>
      </c>
      <c r="J603" s="7" t="s">
        <v>119</v>
      </c>
      <c r="K603" s="6" t="s">
        <v>221</v>
      </c>
      <c r="L603" s="6" t="s">
        <v>2108</v>
      </c>
      <c r="M603" s="6" t="s">
        <v>5171</v>
      </c>
      <c r="N603" s="6"/>
      <c r="O603" s="6" t="s">
        <v>4274</v>
      </c>
      <c r="P603" s="6" t="s">
        <v>4275</v>
      </c>
      <c r="Q603" s="6">
        <v>29510087</v>
      </c>
      <c r="R603" s="6">
        <v>0.17</v>
      </c>
      <c r="S603" s="6">
        <v>-0.01</v>
      </c>
      <c r="T603" s="6">
        <v>24248438.489999998</v>
      </c>
      <c r="U603" s="6">
        <v>16010560.48</v>
      </c>
      <c r="V603" s="6">
        <v>0.33</v>
      </c>
      <c r="W603" s="6">
        <v>0.18</v>
      </c>
      <c r="X603" s="6" t="s">
        <v>2109</v>
      </c>
      <c r="Y603" s="6">
        <v>10050316.880000001</v>
      </c>
      <c r="Z603" s="6">
        <v>10650260.48</v>
      </c>
      <c r="AA603" s="6">
        <v>120</v>
      </c>
      <c r="AB603" s="6">
        <v>115</v>
      </c>
      <c r="AC603" s="6" t="s">
        <v>347</v>
      </c>
      <c r="AD603" s="6" t="s">
        <v>336</v>
      </c>
      <c r="AE603" s="6">
        <v>0.64</v>
      </c>
      <c r="AF603" s="6" t="s">
        <v>155</v>
      </c>
      <c r="AG603" s="6">
        <v>0.15</v>
      </c>
      <c r="AH603" s="6">
        <v>0.06</v>
      </c>
      <c r="AI603" s="6">
        <v>10</v>
      </c>
      <c r="AJ603" s="6">
        <v>1816</v>
      </c>
      <c r="AK603" s="6">
        <v>5775162.3899999997</v>
      </c>
      <c r="AL603" s="6">
        <v>11666691.789999999</v>
      </c>
      <c r="AM603" s="6" t="s">
        <v>343</v>
      </c>
      <c r="AN603" s="6" t="s">
        <v>386</v>
      </c>
      <c r="AO603" s="6">
        <v>79</v>
      </c>
      <c r="AP603" s="6">
        <v>48</v>
      </c>
      <c r="AQ603" s="6" t="s">
        <v>387</v>
      </c>
      <c r="AR603" s="6" t="s">
        <v>224</v>
      </c>
      <c r="AS603" s="6" t="s">
        <v>357</v>
      </c>
    </row>
    <row r="604" spans="1:45" x14ac:dyDescent="0.3">
      <c r="A604" s="7" t="s">
        <v>2110</v>
      </c>
      <c r="B604" s="7" t="s">
        <v>5172</v>
      </c>
      <c r="C604" s="7" t="s">
        <v>268</v>
      </c>
      <c r="D604" s="7" t="s">
        <v>202</v>
      </c>
      <c r="E604" s="7" t="s">
        <v>113</v>
      </c>
      <c r="F604" s="7"/>
      <c r="G604" s="7" t="s">
        <v>50</v>
      </c>
      <c r="H604" s="7" t="s">
        <v>4280</v>
      </c>
      <c r="I604" s="7" t="s">
        <v>198</v>
      </c>
      <c r="J604" s="7" t="s">
        <v>123</v>
      </c>
      <c r="K604" s="7" t="s">
        <v>199</v>
      </c>
      <c r="L604" s="7" t="s">
        <v>2111</v>
      </c>
      <c r="M604" s="7" t="s">
        <v>5173</v>
      </c>
      <c r="N604" s="7" t="s">
        <v>5174</v>
      </c>
      <c r="O604" s="7" t="s">
        <v>4705</v>
      </c>
      <c r="P604" s="7">
        <v>37</v>
      </c>
      <c r="Q604" s="7">
        <v>2002807</v>
      </c>
      <c r="R604" s="7">
        <v>0.2</v>
      </c>
      <c r="S604" s="7">
        <v>0.04</v>
      </c>
      <c r="T604" s="7">
        <v>1666335.42</v>
      </c>
      <c r="U604" s="7">
        <v>1444725.39</v>
      </c>
      <c r="V604" s="7">
        <v>0.35</v>
      </c>
      <c r="W604" s="7">
        <v>0.18</v>
      </c>
      <c r="X604" s="7" t="s">
        <v>2112</v>
      </c>
      <c r="Y604" s="7">
        <v>1017750.96</v>
      </c>
      <c r="Z604" s="7">
        <v>1007591.95</v>
      </c>
      <c r="AA604" s="7">
        <v>60</v>
      </c>
      <c r="AB604" s="7">
        <v>151</v>
      </c>
      <c r="AC604" s="7" t="s">
        <v>353</v>
      </c>
      <c r="AD604" s="7" t="s">
        <v>226</v>
      </c>
      <c r="AE604" s="7">
        <v>0.16</v>
      </c>
      <c r="AF604" s="7" t="s">
        <v>153</v>
      </c>
      <c r="AG604" s="7">
        <v>0.05</v>
      </c>
      <c r="AH604" s="7">
        <v>0.02</v>
      </c>
      <c r="AI604" s="7">
        <v>9</v>
      </c>
      <c r="AJ604" s="7"/>
      <c r="AK604" s="7"/>
      <c r="AL604" s="7">
        <v>792270.08</v>
      </c>
      <c r="AM604" s="7"/>
      <c r="AN604" s="7"/>
      <c r="AO604" s="7">
        <v>98.3</v>
      </c>
      <c r="AP604" s="7" t="s">
        <v>4275</v>
      </c>
      <c r="AQ604" s="7" t="s">
        <v>387</v>
      </c>
      <c r="AR604" s="7" t="s">
        <v>186</v>
      </c>
      <c r="AS604" s="7"/>
    </row>
    <row r="605" spans="1:45" x14ac:dyDescent="0.3">
      <c r="A605" s="6" t="s">
        <v>2113</v>
      </c>
      <c r="B605" s="6" t="s">
        <v>3990</v>
      </c>
      <c r="C605" s="6" t="s">
        <v>243</v>
      </c>
      <c r="D605" s="6" t="s">
        <v>202</v>
      </c>
      <c r="E605" s="6" t="s">
        <v>4325</v>
      </c>
      <c r="F605" s="6" t="s">
        <v>339</v>
      </c>
      <c r="G605" s="6" t="s">
        <v>70</v>
      </c>
      <c r="H605" s="6" t="s">
        <v>4340</v>
      </c>
      <c r="I605" s="6" t="s">
        <v>233</v>
      </c>
      <c r="J605" s="6" t="s">
        <v>115</v>
      </c>
      <c r="K605" s="6" t="s">
        <v>326</v>
      </c>
      <c r="L605" s="6" t="s">
        <v>2114</v>
      </c>
      <c r="M605" s="6" t="s">
        <v>4064</v>
      </c>
      <c r="N605" s="6"/>
      <c r="O605" s="6" t="s">
        <v>5175</v>
      </c>
      <c r="P605" s="6" t="s">
        <v>4275</v>
      </c>
      <c r="Q605" s="6">
        <v>39878324</v>
      </c>
      <c r="R605" s="6">
        <v>0.04</v>
      </c>
      <c r="S605" s="6">
        <v>0.17</v>
      </c>
      <c r="T605" s="6">
        <v>44791333.520000003</v>
      </c>
      <c r="U605" s="6">
        <v>33672841.450000003</v>
      </c>
      <c r="V605" s="6">
        <v>0.27</v>
      </c>
      <c r="W605" s="6">
        <v>0.09</v>
      </c>
      <c r="X605" s="6" t="s">
        <v>2115</v>
      </c>
      <c r="Y605" s="6">
        <v>20826659.300000001</v>
      </c>
      <c r="Z605" s="6">
        <v>11394217.9</v>
      </c>
      <c r="AA605" s="6">
        <v>60</v>
      </c>
      <c r="AB605" s="6">
        <v>51</v>
      </c>
      <c r="AC605" s="6" t="s">
        <v>376</v>
      </c>
      <c r="AD605" s="6" t="s">
        <v>320</v>
      </c>
      <c r="AE605" s="6">
        <v>0.41</v>
      </c>
      <c r="AF605" s="6" t="s">
        <v>159</v>
      </c>
      <c r="AG605" s="6">
        <v>0.1</v>
      </c>
      <c r="AH605" s="6">
        <v>0.02</v>
      </c>
      <c r="AI605" s="6">
        <v>12</v>
      </c>
      <c r="AJ605" s="6">
        <v>2125</v>
      </c>
      <c r="AK605" s="6">
        <v>2668031.33</v>
      </c>
      <c r="AL605" s="6">
        <v>6922105.8099999996</v>
      </c>
      <c r="AM605" s="6" t="s">
        <v>391</v>
      </c>
      <c r="AN605" s="6" t="s">
        <v>356</v>
      </c>
      <c r="AO605" s="6">
        <v>75.2</v>
      </c>
      <c r="AP605" s="6">
        <v>60</v>
      </c>
      <c r="AQ605" s="6" t="s">
        <v>392</v>
      </c>
      <c r="AR605" s="6" t="s">
        <v>192</v>
      </c>
      <c r="AS605" s="6"/>
    </row>
    <row r="606" spans="1:45" x14ac:dyDescent="0.3">
      <c r="A606" s="7" t="s">
        <v>2116</v>
      </c>
      <c r="B606" s="7" t="s">
        <v>5176</v>
      </c>
      <c r="C606" s="7" t="s">
        <v>252</v>
      </c>
      <c r="D606" s="7" t="s">
        <v>245</v>
      </c>
      <c r="E606" s="7" t="s">
        <v>4325</v>
      </c>
      <c r="F606" s="7" t="s">
        <v>19</v>
      </c>
      <c r="G606" s="7" t="s">
        <v>73</v>
      </c>
      <c r="H606" s="7" t="s">
        <v>4340</v>
      </c>
      <c r="I606" s="7" t="s">
        <v>203</v>
      </c>
      <c r="J606" s="7" t="s">
        <v>115</v>
      </c>
      <c r="K606" s="7" t="s">
        <v>210</v>
      </c>
      <c r="L606" s="7" t="s">
        <v>2117</v>
      </c>
      <c r="M606" s="7" t="s">
        <v>5177</v>
      </c>
      <c r="N606" s="7" t="s">
        <v>4066</v>
      </c>
      <c r="O606" s="7" t="s">
        <v>5146</v>
      </c>
      <c r="P606" s="7">
        <v>28</v>
      </c>
      <c r="Q606" s="7" t="s">
        <v>4275</v>
      </c>
      <c r="R606" s="7">
        <v>0.25</v>
      </c>
      <c r="S606" s="7">
        <v>-0.02</v>
      </c>
      <c r="T606" s="7">
        <v>22887112.82</v>
      </c>
      <c r="U606" s="7">
        <v>19337927.530000001</v>
      </c>
      <c r="V606" s="7">
        <v>0.18</v>
      </c>
      <c r="W606" s="7">
        <v>0.18</v>
      </c>
      <c r="X606" s="7" t="s">
        <v>2118</v>
      </c>
      <c r="Y606" s="7">
        <v>17897512.59</v>
      </c>
      <c r="Z606" s="7">
        <v>7353904.6600000001</v>
      </c>
      <c r="AA606" s="7">
        <v>30</v>
      </c>
      <c r="AB606" s="7">
        <v>75</v>
      </c>
      <c r="AC606" s="7" t="s">
        <v>347</v>
      </c>
      <c r="AD606" s="7" t="s">
        <v>320</v>
      </c>
      <c r="AE606" s="7">
        <v>0.73</v>
      </c>
      <c r="AF606" s="7" t="s">
        <v>4276</v>
      </c>
      <c r="AG606" s="7">
        <v>0.15</v>
      </c>
      <c r="AH606" s="7">
        <v>0.03</v>
      </c>
      <c r="AI606" s="7">
        <v>11</v>
      </c>
      <c r="AJ606" s="7">
        <v>2811</v>
      </c>
      <c r="AK606" s="7">
        <v>1193013.95</v>
      </c>
      <c r="AL606" s="7">
        <v>5305528.2</v>
      </c>
      <c r="AM606" s="7" t="s">
        <v>321</v>
      </c>
      <c r="AN606" s="7" t="s">
        <v>330</v>
      </c>
      <c r="AO606" s="7">
        <v>52.3</v>
      </c>
      <c r="AP606" s="7">
        <v>24</v>
      </c>
      <c r="AQ606" s="7" t="s">
        <v>337</v>
      </c>
      <c r="AR606" s="7" t="s">
        <v>206</v>
      </c>
      <c r="AS606" s="7" t="s">
        <v>324</v>
      </c>
    </row>
    <row r="607" spans="1:45" x14ac:dyDescent="0.3">
      <c r="A607" s="6" t="s">
        <v>2119</v>
      </c>
      <c r="B607" s="6" t="s">
        <v>3813</v>
      </c>
      <c r="C607" s="6" t="s">
        <v>260</v>
      </c>
      <c r="D607" s="6" t="s">
        <v>262</v>
      </c>
      <c r="E607" s="6" t="s">
        <v>41</v>
      </c>
      <c r="F607" s="6" t="s">
        <v>228</v>
      </c>
      <c r="G607" s="6" t="s">
        <v>57</v>
      </c>
      <c r="H607" s="6" t="s">
        <v>197</v>
      </c>
      <c r="I607" s="6" t="s">
        <v>4272</v>
      </c>
      <c r="J607" s="6" t="s">
        <v>130</v>
      </c>
      <c r="K607" s="6" t="s">
        <v>184</v>
      </c>
      <c r="L607" s="6" t="s">
        <v>2120</v>
      </c>
      <c r="M607" s="6" t="s">
        <v>5178</v>
      </c>
      <c r="N607" s="6"/>
      <c r="O607" s="6" t="s">
        <v>4646</v>
      </c>
      <c r="P607" s="6">
        <v>18</v>
      </c>
      <c r="Q607" s="6">
        <v>35715335</v>
      </c>
      <c r="R607" s="6">
        <v>0.06</v>
      </c>
      <c r="S607" s="6">
        <v>0.09</v>
      </c>
      <c r="T607" s="6">
        <v>36593932.240000002</v>
      </c>
      <c r="U607" s="6">
        <v>31471374.420000002</v>
      </c>
      <c r="V607" s="6">
        <v>7.0000000000000007E-2</v>
      </c>
      <c r="W607" s="6">
        <v>0.06</v>
      </c>
      <c r="X607" s="6" t="s">
        <v>2121</v>
      </c>
      <c r="Y607" s="6">
        <v>16997990.84</v>
      </c>
      <c r="Z607" s="6">
        <v>7052007.8700000001</v>
      </c>
      <c r="AA607" s="6">
        <v>60</v>
      </c>
      <c r="AB607" s="6">
        <v>77</v>
      </c>
      <c r="AC607" s="6" t="s">
        <v>342</v>
      </c>
      <c r="AD607" s="6" t="s">
        <v>320</v>
      </c>
      <c r="AE607" s="6">
        <v>0.75</v>
      </c>
      <c r="AF607" s="6" t="s">
        <v>153</v>
      </c>
      <c r="AG607" s="6">
        <v>0.05</v>
      </c>
      <c r="AH607" s="6">
        <v>0.02</v>
      </c>
      <c r="AI607" s="6">
        <v>13</v>
      </c>
      <c r="AJ607" s="6"/>
      <c r="AK607" s="6"/>
      <c r="AL607" s="6">
        <v>15383669.970000001</v>
      </c>
      <c r="AM607" s="6"/>
      <c r="AN607" s="6" t="s">
        <v>356</v>
      </c>
      <c r="AO607" s="6">
        <v>78.3</v>
      </c>
      <c r="AP607" s="6">
        <v>12</v>
      </c>
      <c r="AQ607" s="6" t="s">
        <v>4275</v>
      </c>
      <c r="AR607" s="6" t="s">
        <v>229</v>
      </c>
      <c r="AS607" s="6" t="s">
        <v>361</v>
      </c>
    </row>
    <row r="608" spans="1:45" x14ac:dyDescent="0.3">
      <c r="A608" s="7" t="s">
        <v>2122</v>
      </c>
      <c r="B608" s="7" t="s">
        <v>5179</v>
      </c>
      <c r="C608" s="7" t="s">
        <v>276</v>
      </c>
      <c r="D608" s="7" t="s">
        <v>220</v>
      </c>
      <c r="E608" s="7" t="s">
        <v>4376</v>
      </c>
      <c r="F608" s="7" t="s">
        <v>31</v>
      </c>
      <c r="G608" s="7" t="s">
        <v>57</v>
      </c>
      <c r="H608" s="7" t="s">
        <v>216</v>
      </c>
      <c r="I608" s="7" t="s">
        <v>213</v>
      </c>
      <c r="J608" s="7" t="s">
        <v>136</v>
      </c>
      <c r="K608" s="7" t="s">
        <v>326</v>
      </c>
      <c r="L608" s="7" t="s">
        <v>2123</v>
      </c>
      <c r="M608" s="7" t="s">
        <v>3620</v>
      </c>
      <c r="N608" s="7" t="s">
        <v>4662</v>
      </c>
      <c r="O608" s="7" t="s">
        <v>4863</v>
      </c>
      <c r="P608" s="7">
        <v>50</v>
      </c>
      <c r="Q608" s="7">
        <v>25133001</v>
      </c>
      <c r="R608" s="7">
        <v>0.06</v>
      </c>
      <c r="S608" s="7">
        <v>0.02</v>
      </c>
      <c r="T608" s="7">
        <v>24097521.359999999</v>
      </c>
      <c r="U608" s="7">
        <v>19260868.18</v>
      </c>
      <c r="V608" s="7">
        <v>0.28000000000000003</v>
      </c>
      <c r="W608" s="7">
        <v>0.19</v>
      </c>
      <c r="X608" s="7" t="s">
        <v>2124</v>
      </c>
      <c r="Y608" s="7">
        <v>4348584.51</v>
      </c>
      <c r="Z608" s="7">
        <v>2670710.6</v>
      </c>
      <c r="AA608" s="7">
        <v>60</v>
      </c>
      <c r="AB608" s="7">
        <v>20</v>
      </c>
      <c r="AC608" s="7" t="s">
        <v>376</v>
      </c>
      <c r="AD608" s="7" t="s">
        <v>320</v>
      </c>
      <c r="AE608" s="7">
        <v>0.31</v>
      </c>
      <c r="AF608" s="7" t="s">
        <v>152</v>
      </c>
      <c r="AG608" s="7">
        <v>0.1</v>
      </c>
      <c r="AH608" s="7">
        <v>0.06</v>
      </c>
      <c r="AI608" s="7">
        <v>8</v>
      </c>
      <c r="AJ608" s="7">
        <v>4787</v>
      </c>
      <c r="AK608" s="7">
        <v>4776854.08</v>
      </c>
      <c r="AL608" s="7">
        <v>6575394.0999999996</v>
      </c>
      <c r="AM608" s="7" t="s">
        <v>73</v>
      </c>
      <c r="AN608" s="7" t="s">
        <v>386</v>
      </c>
      <c r="AO608" s="7">
        <v>69.400000000000006</v>
      </c>
      <c r="AP608" s="7">
        <v>48</v>
      </c>
      <c r="AQ608" s="7" t="s">
        <v>387</v>
      </c>
      <c r="AR608" s="7" t="s">
        <v>224</v>
      </c>
      <c r="AS608" s="7" t="s">
        <v>188</v>
      </c>
    </row>
    <row r="609" spans="1:45" x14ac:dyDescent="0.3">
      <c r="A609" s="6" t="s">
        <v>2125</v>
      </c>
      <c r="B609" s="6" t="s">
        <v>4026</v>
      </c>
      <c r="C609" s="6" t="s">
        <v>208</v>
      </c>
      <c r="D609" s="6" t="s">
        <v>202</v>
      </c>
      <c r="E609" s="6" t="s">
        <v>4270</v>
      </c>
      <c r="F609" s="6" t="s">
        <v>181</v>
      </c>
      <c r="G609" s="6" t="s">
        <v>62</v>
      </c>
      <c r="H609" s="6" t="s">
        <v>182</v>
      </c>
      <c r="I609" s="6" t="s">
        <v>203</v>
      </c>
      <c r="J609" s="6" t="s">
        <v>111</v>
      </c>
      <c r="K609" s="6" t="s">
        <v>204</v>
      </c>
      <c r="L609" s="6" t="s">
        <v>2126</v>
      </c>
      <c r="M609" s="6" t="s">
        <v>4468</v>
      </c>
      <c r="N609" s="6" t="s">
        <v>4067</v>
      </c>
      <c r="O609" s="6" t="s">
        <v>4274</v>
      </c>
      <c r="P609" s="6">
        <v>10</v>
      </c>
      <c r="Q609" s="6">
        <v>46102726</v>
      </c>
      <c r="R609" s="6">
        <v>0.33</v>
      </c>
      <c r="S609" s="6">
        <v>0.02</v>
      </c>
      <c r="T609" s="6">
        <v>31506602.949999999</v>
      </c>
      <c r="U609" s="6">
        <v>26481155.539999999</v>
      </c>
      <c r="V609" s="6">
        <v>0.25</v>
      </c>
      <c r="W609" s="6">
        <v>0.15</v>
      </c>
      <c r="X609" s="6" t="s">
        <v>2127</v>
      </c>
      <c r="Y609" s="6">
        <v>13134222.640000001</v>
      </c>
      <c r="Z609" s="6">
        <v>12976673.68</v>
      </c>
      <c r="AA609" s="6">
        <v>30</v>
      </c>
      <c r="AB609" s="6">
        <v>125</v>
      </c>
      <c r="AC609" s="6" t="s">
        <v>376</v>
      </c>
      <c r="AD609" s="6" t="s">
        <v>336</v>
      </c>
      <c r="AE609" s="6">
        <v>0.96</v>
      </c>
      <c r="AF609" s="6" t="s">
        <v>153</v>
      </c>
      <c r="AG609" s="6">
        <v>0.1</v>
      </c>
      <c r="AH609" s="6">
        <v>0.03</v>
      </c>
      <c r="AI609" s="6">
        <v>15</v>
      </c>
      <c r="AJ609" s="6">
        <v>1242</v>
      </c>
      <c r="AK609" s="6"/>
      <c r="AL609" s="6">
        <v>8507071.5299999993</v>
      </c>
      <c r="AM609" s="6" t="s">
        <v>391</v>
      </c>
      <c r="AN609" s="6" t="s">
        <v>386</v>
      </c>
      <c r="AO609" s="6">
        <v>69.099999999999994</v>
      </c>
      <c r="AP609" s="6">
        <v>24</v>
      </c>
      <c r="AQ609" s="6" t="s">
        <v>337</v>
      </c>
      <c r="AR609" s="6" t="s">
        <v>186</v>
      </c>
      <c r="AS609" s="6"/>
    </row>
    <row r="610" spans="1:45" x14ac:dyDescent="0.3">
      <c r="A610" s="7" t="s">
        <v>2128</v>
      </c>
      <c r="B610" s="7" t="s">
        <v>5180</v>
      </c>
      <c r="C610" s="7" t="s">
        <v>267</v>
      </c>
      <c r="D610" s="7" t="s">
        <v>232</v>
      </c>
      <c r="E610" s="7"/>
      <c r="F610" s="7" t="s">
        <v>363</v>
      </c>
      <c r="G610" s="7" t="s">
        <v>57</v>
      </c>
      <c r="H610" s="7" t="s">
        <v>212</v>
      </c>
      <c r="I610" s="7" t="s">
        <v>240</v>
      </c>
      <c r="J610" s="7" t="s">
        <v>99</v>
      </c>
      <c r="K610" s="7" t="s">
        <v>221</v>
      </c>
      <c r="L610" s="7" t="s">
        <v>2129</v>
      </c>
      <c r="M610" s="7" t="s">
        <v>3588</v>
      </c>
      <c r="N610" s="7" t="s">
        <v>1964</v>
      </c>
      <c r="O610" s="7" t="s">
        <v>4274</v>
      </c>
      <c r="P610" s="7">
        <v>3</v>
      </c>
      <c r="Q610" s="7">
        <v>49309810</v>
      </c>
      <c r="R610" s="7">
        <v>0.05</v>
      </c>
      <c r="S610" s="7">
        <v>-0.02</v>
      </c>
      <c r="T610" s="7">
        <v>45907433.109999999</v>
      </c>
      <c r="U610" s="7">
        <v>38393325.079999998</v>
      </c>
      <c r="V610" s="7">
        <v>0.37</v>
      </c>
      <c r="W610" s="7">
        <v>0.05</v>
      </c>
      <c r="X610" s="7" t="s">
        <v>2130</v>
      </c>
      <c r="Y610" s="7">
        <v>11683212.15</v>
      </c>
      <c r="Z610" s="7">
        <v>8537717.5299999993</v>
      </c>
      <c r="AA610" s="7">
        <v>60</v>
      </c>
      <c r="AB610" s="7">
        <v>4</v>
      </c>
      <c r="AC610" s="7" t="s">
        <v>342</v>
      </c>
      <c r="AD610" s="7" t="s">
        <v>354</v>
      </c>
      <c r="AE610" s="7">
        <v>0.27</v>
      </c>
      <c r="AF610" s="7" t="s">
        <v>152</v>
      </c>
      <c r="AG610" s="7">
        <v>0.15</v>
      </c>
      <c r="AH610" s="7">
        <v>0.05</v>
      </c>
      <c r="AI610" s="7">
        <v>10</v>
      </c>
      <c r="AJ610" s="7">
        <v>1988</v>
      </c>
      <c r="AK610" s="7">
        <v>2282530.88</v>
      </c>
      <c r="AL610" s="7">
        <v>13307924.33</v>
      </c>
      <c r="AM610" s="7" t="s">
        <v>343</v>
      </c>
      <c r="AN610" s="7" t="s">
        <v>330</v>
      </c>
      <c r="AO610" s="7"/>
      <c r="AP610" s="7">
        <v>48</v>
      </c>
      <c r="AQ610" s="7" t="s">
        <v>387</v>
      </c>
      <c r="AR610" s="7" t="s">
        <v>224</v>
      </c>
      <c r="AS610" s="7" t="s">
        <v>377</v>
      </c>
    </row>
    <row r="611" spans="1:45" x14ac:dyDescent="0.3">
      <c r="A611" s="6" t="s">
        <v>2131</v>
      </c>
      <c r="B611" s="6" t="s">
        <v>5181</v>
      </c>
      <c r="C611" s="6" t="s">
        <v>272</v>
      </c>
      <c r="D611" s="6" t="s">
        <v>281</v>
      </c>
      <c r="E611" s="6" t="s">
        <v>4325</v>
      </c>
      <c r="F611" s="6" t="s">
        <v>339</v>
      </c>
      <c r="G611" s="6" t="s">
        <v>46</v>
      </c>
      <c r="H611" s="6" t="s">
        <v>4326</v>
      </c>
      <c r="I611" s="6" t="s">
        <v>183</v>
      </c>
      <c r="J611" s="6" t="s">
        <v>115</v>
      </c>
      <c r="K611" s="6" t="s">
        <v>184</v>
      </c>
      <c r="L611" s="6" t="s">
        <v>2132</v>
      </c>
      <c r="M611" s="6" t="s">
        <v>5182</v>
      </c>
      <c r="N611" s="6" t="s">
        <v>4833</v>
      </c>
      <c r="O611" s="6" t="s">
        <v>5183</v>
      </c>
      <c r="P611" s="6">
        <v>33</v>
      </c>
      <c r="Q611" s="6">
        <v>24155706</v>
      </c>
      <c r="R611" s="6">
        <v>0.17</v>
      </c>
      <c r="S611" s="6">
        <v>0.01</v>
      </c>
      <c r="T611" s="6">
        <v>20249728.34</v>
      </c>
      <c r="U611" s="6">
        <v>16650469.65</v>
      </c>
      <c r="V611" s="6">
        <v>0.28000000000000003</v>
      </c>
      <c r="W611" s="6">
        <v>0.1</v>
      </c>
      <c r="X611" s="6" t="s">
        <v>2133</v>
      </c>
      <c r="Y611" s="6">
        <v>6528857.6500000004</v>
      </c>
      <c r="Z611" s="6">
        <v>4870090.5</v>
      </c>
      <c r="AA611" s="6">
        <v>30</v>
      </c>
      <c r="AB611" s="6">
        <v>74</v>
      </c>
      <c r="AC611" s="6" t="s">
        <v>342</v>
      </c>
      <c r="AD611" s="6" t="s">
        <v>406</v>
      </c>
      <c r="AE611" s="6">
        <v>0.49</v>
      </c>
      <c r="AF611" s="6" t="s">
        <v>4312</v>
      </c>
      <c r="AG611" s="6">
        <v>0.05</v>
      </c>
      <c r="AH611" s="6">
        <v>0.03</v>
      </c>
      <c r="AI611" s="6">
        <v>12</v>
      </c>
      <c r="AJ611" s="6">
        <v>4638</v>
      </c>
      <c r="AK611" s="6"/>
      <c r="AL611" s="6">
        <v>9030311.6799999997</v>
      </c>
      <c r="AM611" s="6" t="s">
        <v>343</v>
      </c>
      <c r="AN611" s="6" t="s">
        <v>322</v>
      </c>
      <c r="AO611" s="6">
        <v>90.6</v>
      </c>
      <c r="AP611" s="6">
        <v>24</v>
      </c>
      <c r="AQ611" s="6" t="s">
        <v>323</v>
      </c>
      <c r="AR611" s="6" t="s">
        <v>206</v>
      </c>
      <c r="AS611" s="6" t="s">
        <v>357</v>
      </c>
    </row>
    <row r="612" spans="1:45" x14ac:dyDescent="0.3">
      <c r="A612" s="7" t="s">
        <v>2134</v>
      </c>
      <c r="B612" s="7" t="s">
        <v>4392</v>
      </c>
      <c r="C612" s="7" t="s">
        <v>237</v>
      </c>
      <c r="D612" s="7" t="s">
        <v>180</v>
      </c>
      <c r="E612" s="7" t="s">
        <v>36</v>
      </c>
      <c r="F612" s="7" t="s">
        <v>19</v>
      </c>
      <c r="G612" s="7"/>
      <c r="H612" s="7"/>
      <c r="I612" s="7" t="s">
        <v>233</v>
      </c>
      <c r="J612" s="7" t="s">
        <v>115</v>
      </c>
      <c r="K612" s="7" t="s">
        <v>204</v>
      </c>
      <c r="L612" s="7" t="s">
        <v>2135</v>
      </c>
      <c r="M612" s="7" t="s">
        <v>3891</v>
      </c>
      <c r="N612" s="7" t="s">
        <v>3665</v>
      </c>
      <c r="O612" s="7" t="s">
        <v>4274</v>
      </c>
      <c r="P612" s="7">
        <v>48</v>
      </c>
      <c r="Q612" s="7">
        <v>38274836</v>
      </c>
      <c r="R612" s="7">
        <v>0.25</v>
      </c>
      <c r="S612" s="7">
        <v>0.04</v>
      </c>
      <c r="T612" s="7">
        <v>29854372.079999998</v>
      </c>
      <c r="U612" s="7"/>
      <c r="V612" s="7">
        <v>0.27</v>
      </c>
      <c r="W612" s="7">
        <v>7.0000000000000007E-2</v>
      </c>
      <c r="X612" s="7" t="s">
        <v>2136</v>
      </c>
      <c r="Y612" s="7">
        <v>13215503.380000001</v>
      </c>
      <c r="Z612" s="7">
        <v>13692168.49</v>
      </c>
      <c r="AA612" s="7">
        <v>60</v>
      </c>
      <c r="AB612" s="7">
        <v>47</v>
      </c>
      <c r="AC612" s="7" t="s">
        <v>376</v>
      </c>
      <c r="AD612" s="7" t="s">
        <v>336</v>
      </c>
      <c r="AE612" s="7">
        <v>0.13</v>
      </c>
      <c r="AF612" s="7" t="s">
        <v>4361</v>
      </c>
      <c r="AG612" s="7">
        <v>0.15</v>
      </c>
      <c r="AH612" s="7">
        <v>0.02</v>
      </c>
      <c r="AI612" s="7">
        <v>5</v>
      </c>
      <c r="AJ612" s="7">
        <v>4165</v>
      </c>
      <c r="AK612" s="7">
        <v>6914852.1900000004</v>
      </c>
      <c r="AL612" s="7">
        <v>6802111.5800000001</v>
      </c>
      <c r="AM612" s="7" t="s">
        <v>391</v>
      </c>
      <c r="AN612" s="7" t="s">
        <v>330</v>
      </c>
      <c r="AO612" s="7">
        <v>75</v>
      </c>
      <c r="AP612" s="7">
        <v>12</v>
      </c>
      <c r="AQ612" s="7" t="s">
        <v>4275</v>
      </c>
      <c r="AR612" s="7" t="s">
        <v>192</v>
      </c>
      <c r="AS612" s="7"/>
    </row>
    <row r="613" spans="1:45" x14ac:dyDescent="0.3">
      <c r="A613" s="6" t="s">
        <v>2137</v>
      </c>
      <c r="B613" s="6" t="s">
        <v>3521</v>
      </c>
      <c r="C613" s="6" t="s">
        <v>260</v>
      </c>
      <c r="D613" s="6" t="s">
        <v>232</v>
      </c>
      <c r="E613" s="6" t="s">
        <v>4376</v>
      </c>
      <c r="F613" s="6" t="s">
        <v>35</v>
      </c>
      <c r="G613" s="6" t="s">
        <v>38</v>
      </c>
      <c r="H613" s="6" t="s">
        <v>4280</v>
      </c>
      <c r="I613" s="6" t="s">
        <v>213</v>
      </c>
      <c r="J613" s="6" t="s">
        <v>136</v>
      </c>
      <c r="K613" s="6" t="s">
        <v>204</v>
      </c>
      <c r="L613" s="6" t="s">
        <v>2138</v>
      </c>
      <c r="M613" s="6" t="s">
        <v>4068</v>
      </c>
      <c r="N613" s="6" t="s">
        <v>4069</v>
      </c>
      <c r="O613" s="6" t="s">
        <v>4649</v>
      </c>
      <c r="P613" s="6">
        <v>52</v>
      </c>
      <c r="Q613" s="6">
        <v>3125808</v>
      </c>
      <c r="R613" s="6">
        <v>0.21</v>
      </c>
      <c r="S613" s="6">
        <v>0.17</v>
      </c>
      <c r="T613" s="6">
        <v>2889184.33</v>
      </c>
      <c r="U613" s="6">
        <v>1990665.03</v>
      </c>
      <c r="V613" s="6">
        <v>0.12</v>
      </c>
      <c r="W613" s="6">
        <v>7.0000000000000007E-2</v>
      </c>
      <c r="X613" s="6" t="s">
        <v>2139</v>
      </c>
      <c r="Y613" s="6">
        <v>1779047.8</v>
      </c>
      <c r="Z613" s="6">
        <v>835022.98</v>
      </c>
      <c r="AA613" s="6">
        <v>45</v>
      </c>
      <c r="AB613" s="6">
        <v>88</v>
      </c>
      <c r="AC613" s="6" t="s">
        <v>342</v>
      </c>
      <c r="AD613" s="6" t="s">
        <v>381</v>
      </c>
      <c r="AE613" s="6">
        <v>0.53</v>
      </c>
      <c r="AF613" s="6" t="s">
        <v>4319</v>
      </c>
      <c r="AG613" s="6">
        <v>0.1</v>
      </c>
      <c r="AH613" s="6">
        <v>7.0000000000000007E-2</v>
      </c>
      <c r="AI613" s="6">
        <v>15</v>
      </c>
      <c r="AJ613" s="6">
        <v>4103</v>
      </c>
      <c r="AK613" s="6">
        <v>506076.53</v>
      </c>
      <c r="AL613" s="6">
        <v>1233118.6599999999</v>
      </c>
      <c r="AM613" s="6" t="s">
        <v>355</v>
      </c>
      <c r="AN613" s="6" t="s">
        <v>386</v>
      </c>
      <c r="AO613" s="6">
        <v>65.7</v>
      </c>
      <c r="AP613" s="6">
        <v>60</v>
      </c>
      <c r="AQ613" s="6" t="s">
        <v>323</v>
      </c>
      <c r="AR613" s="6" t="s">
        <v>224</v>
      </c>
      <c r="AS613" s="6"/>
    </row>
    <row r="614" spans="1:45" x14ac:dyDescent="0.3">
      <c r="A614" s="7" t="s">
        <v>2140</v>
      </c>
      <c r="B614" s="7" t="s">
        <v>5184</v>
      </c>
      <c r="C614" s="7" t="s">
        <v>260</v>
      </c>
      <c r="D614" s="7" t="s">
        <v>220</v>
      </c>
      <c r="E614" s="7" t="s">
        <v>41</v>
      </c>
      <c r="F614" s="7" t="s">
        <v>228</v>
      </c>
      <c r="G614" s="7" t="s">
        <v>70</v>
      </c>
      <c r="H614" s="7" t="s">
        <v>212</v>
      </c>
      <c r="I614" s="7" t="s">
        <v>213</v>
      </c>
      <c r="J614" s="6" t="s">
        <v>105</v>
      </c>
      <c r="K614" s="7" t="s">
        <v>204</v>
      </c>
      <c r="L614" s="7" t="s">
        <v>2141</v>
      </c>
      <c r="M614" s="7" t="s">
        <v>5185</v>
      </c>
      <c r="N614" s="7"/>
      <c r="O614" s="7" t="s">
        <v>4274</v>
      </c>
      <c r="P614" s="7">
        <v>5</v>
      </c>
      <c r="Q614" s="7">
        <v>21324308</v>
      </c>
      <c r="R614" s="7">
        <v>0.06</v>
      </c>
      <c r="S614" s="7">
        <v>0.09</v>
      </c>
      <c r="T614" s="7">
        <v>21848885.98</v>
      </c>
      <c r="U614" s="7">
        <v>14555810.23</v>
      </c>
      <c r="V614" s="7">
        <v>0.11</v>
      </c>
      <c r="W614" s="7">
        <v>0.13</v>
      </c>
      <c r="X614" s="7" t="s">
        <v>2142</v>
      </c>
      <c r="Y614" s="7">
        <v>8431207.7699999996</v>
      </c>
      <c r="Z614" s="7">
        <v>4364312.53</v>
      </c>
      <c r="AA614" s="7">
        <v>60</v>
      </c>
      <c r="AB614" s="7">
        <v>164</v>
      </c>
      <c r="AC614" s="7" t="s">
        <v>347</v>
      </c>
      <c r="AD614" s="7" t="s">
        <v>354</v>
      </c>
      <c r="AE614" s="7">
        <v>0.18</v>
      </c>
      <c r="AF614" s="7" t="s">
        <v>4276</v>
      </c>
      <c r="AG614" s="7">
        <v>0.05</v>
      </c>
      <c r="AH614" s="7">
        <v>0.06</v>
      </c>
      <c r="AI614" s="7">
        <v>5</v>
      </c>
      <c r="AJ614" s="7">
        <v>2560</v>
      </c>
      <c r="AK614" s="7">
        <v>3809786.9</v>
      </c>
      <c r="AL614" s="7">
        <v>3637364</v>
      </c>
      <c r="AM614" s="7" t="s">
        <v>385</v>
      </c>
      <c r="AN614" s="7" t="s">
        <v>321</v>
      </c>
      <c r="AO614" s="7"/>
      <c r="AP614" s="7">
        <v>12</v>
      </c>
      <c r="AQ614" s="7"/>
      <c r="AR614" s="7" t="s">
        <v>224</v>
      </c>
      <c r="AS614" s="7" t="s">
        <v>361</v>
      </c>
    </row>
    <row r="615" spans="1:45" x14ac:dyDescent="0.3">
      <c r="A615" s="6" t="s">
        <v>2143</v>
      </c>
      <c r="B615" s="6" t="s">
        <v>5186</v>
      </c>
      <c r="C615" s="6" t="s">
        <v>258</v>
      </c>
      <c r="D615" s="6"/>
      <c r="E615" s="6" t="s">
        <v>41</v>
      </c>
      <c r="F615" s="6" t="s">
        <v>350</v>
      </c>
      <c r="G615" s="6" t="s">
        <v>38</v>
      </c>
      <c r="H615" s="6" t="s">
        <v>4275</v>
      </c>
      <c r="I615" s="6" t="s">
        <v>246</v>
      </c>
      <c r="J615" s="6" t="s">
        <v>130</v>
      </c>
      <c r="K615" s="6" t="s">
        <v>199</v>
      </c>
      <c r="L615" s="6" t="s">
        <v>2144</v>
      </c>
      <c r="M615" s="6" t="s">
        <v>4547</v>
      </c>
      <c r="N615" s="6" t="s">
        <v>5187</v>
      </c>
      <c r="O615" s="6" t="s">
        <v>5188</v>
      </c>
      <c r="P615" s="6">
        <v>29</v>
      </c>
      <c r="Q615" s="6">
        <v>17668429</v>
      </c>
      <c r="R615" s="6">
        <v>0.02</v>
      </c>
      <c r="S615" s="6">
        <v>0.15</v>
      </c>
      <c r="T615" s="6">
        <v>19912319.48</v>
      </c>
      <c r="U615" s="6">
        <v>17197054.109999999</v>
      </c>
      <c r="V615" s="6">
        <v>0.37</v>
      </c>
      <c r="W615" s="6">
        <v>0.05</v>
      </c>
      <c r="X615" s="6" t="s">
        <v>2145</v>
      </c>
      <c r="Y615" s="6">
        <v>12451977.949999999</v>
      </c>
      <c r="Z615" s="6">
        <v>10386092.68</v>
      </c>
      <c r="AA615" s="6">
        <v>60</v>
      </c>
      <c r="AB615" s="6">
        <v>51</v>
      </c>
      <c r="AC615" s="6" t="s">
        <v>353</v>
      </c>
      <c r="AD615" s="6" t="s">
        <v>381</v>
      </c>
      <c r="AE615" s="6">
        <v>0.62</v>
      </c>
      <c r="AF615" s="6" t="s">
        <v>4303</v>
      </c>
      <c r="AG615" s="6">
        <v>0.15</v>
      </c>
      <c r="AH615" s="6">
        <v>0.05</v>
      </c>
      <c r="AI615" s="6">
        <v>6</v>
      </c>
      <c r="AJ615" s="6">
        <v>1520</v>
      </c>
      <c r="AK615" s="6">
        <v>2988441.91</v>
      </c>
      <c r="AL615" s="6">
        <v>3669562.79</v>
      </c>
      <c r="AM615" s="6" t="s">
        <v>343</v>
      </c>
      <c r="AN615" s="6" t="s">
        <v>386</v>
      </c>
      <c r="AO615" s="6">
        <v>59</v>
      </c>
      <c r="AP615" s="6">
        <v>24</v>
      </c>
      <c r="AQ615" s="6" t="s">
        <v>387</v>
      </c>
      <c r="AR615" s="6" t="s">
        <v>229</v>
      </c>
      <c r="AS615" s="6" t="s">
        <v>357</v>
      </c>
    </row>
    <row r="616" spans="1:45" x14ac:dyDescent="0.3">
      <c r="A616" s="7" t="s">
        <v>2146</v>
      </c>
      <c r="B616" s="7" t="s">
        <v>3898</v>
      </c>
      <c r="C616" s="7" t="s">
        <v>272</v>
      </c>
      <c r="D616" s="7" t="s">
        <v>232</v>
      </c>
      <c r="E616" s="7" t="s">
        <v>4270</v>
      </c>
      <c r="F616" s="7" t="s">
        <v>367</v>
      </c>
      <c r="G616" s="7" t="s">
        <v>80</v>
      </c>
      <c r="H616" s="7" t="s">
        <v>4280</v>
      </c>
      <c r="I616" s="7" t="s">
        <v>233</v>
      </c>
      <c r="J616" s="7" t="s">
        <v>127</v>
      </c>
      <c r="K616" s="7" t="s">
        <v>326</v>
      </c>
      <c r="L616" s="7" t="s">
        <v>2147</v>
      </c>
      <c r="M616" s="7" t="s">
        <v>4071</v>
      </c>
      <c r="N616" s="7" t="s">
        <v>2148</v>
      </c>
      <c r="O616" s="7" t="s">
        <v>3907</v>
      </c>
      <c r="P616" s="7">
        <v>19</v>
      </c>
      <c r="Q616" s="7">
        <v>48358253</v>
      </c>
      <c r="R616" s="7">
        <v>0.22</v>
      </c>
      <c r="S616" s="7">
        <v>-0.01</v>
      </c>
      <c r="T616" s="7">
        <v>37342242.969999999</v>
      </c>
      <c r="U616" s="7">
        <v>33439753.07</v>
      </c>
      <c r="V616" s="7">
        <v>0.31</v>
      </c>
      <c r="W616" s="7">
        <v>0.15</v>
      </c>
      <c r="X616" s="7" t="s">
        <v>2149</v>
      </c>
      <c r="Y616" s="7">
        <v>32368322.329999998</v>
      </c>
      <c r="Z616" s="7">
        <v>28552889.170000002</v>
      </c>
      <c r="AA616" s="7">
        <v>60</v>
      </c>
      <c r="AB616" s="7">
        <v>120</v>
      </c>
      <c r="AC616" s="7" t="s">
        <v>376</v>
      </c>
      <c r="AD616" s="7" t="s">
        <v>226</v>
      </c>
      <c r="AE616" s="7">
        <v>0.22</v>
      </c>
      <c r="AF616" s="7" t="s">
        <v>4303</v>
      </c>
      <c r="AG616" s="7">
        <v>0.15</v>
      </c>
      <c r="AH616" s="7">
        <v>7.0000000000000007E-2</v>
      </c>
      <c r="AI616" s="7">
        <v>8</v>
      </c>
      <c r="AJ616" s="7">
        <v>3509</v>
      </c>
      <c r="AK616" s="7">
        <v>3529669.47</v>
      </c>
      <c r="AL616" s="7">
        <v>7162958.0199999996</v>
      </c>
      <c r="AM616" s="7" t="s">
        <v>321</v>
      </c>
      <c r="AN616" s="7"/>
      <c r="AO616" s="7">
        <v>83.8</v>
      </c>
      <c r="AP616" s="7">
        <v>12</v>
      </c>
      <c r="AQ616" s="7"/>
      <c r="AR616" s="7" t="s">
        <v>192</v>
      </c>
      <c r="AS616" s="7" t="s">
        <v>188</v>
      </c>
    </row>
    <row r="617" spans="1:45" x14ac:dyDescent="0.3">
      <c r="A617" s="6" t="s">
        <v>2150</v>
      </c>
      <c r="B617" s="6" t="s">
        <v>4745</v>
      </c>
      <c r="C617" s="6" t="s">
        <v>225</v>
      </c>
      <c r="D617" s="6" t="s">
        <v>209</v>
      </c>
      <c r="E617" s="6" t="s">
        <v>41</v>
      </c>
      <c r="F617" s="6" t="s">
        <v>363</v>
      </c>
      <c r="G617" s="6" t="s">
        <v>62</v>
      </c>
      <c r="H617" s="6" t="s">
        <v>4275</v>
      </c>
      <c r="I617" s="6" t="s">
        <v>183</v>
      </c>
      <c r="J617" s="6" t="s">
        <v>105</v>
      </c>
      <c r="K617" s="6" t="s">
        <v>204</v>
      </c>
      <c r="L617" s="6" t="s">
        <v>2151</v>
      </c>
      <c r="M617" s="6" t="s">
        <v>5189</v>
      </c>
      <c r="N617" s="6" t="s">
        <v>3329</v>
      </c>
      <c r="O617" s="6" t="s">
        <v>4042</v>
      </c>
      <c r="P617" s="6">
        <v>18</v>
      </c>
      <c r="Q617" s="6">
        <v>16814407</v>
      </c>
      <c r="R617" s="6">
        <v>0.2</v>
      </c>
      <c r="S617" s="6">
        <v>-0.02</v>
      </c>
      <c r="T617" s="6">
        <v>13182495.09</v>
      </c>
      <c r="U617" s="6">
        <v>9471535.6300000008</v>
      </c>
      <c r="V617" s="6">
        <v>0.13</v>
      </c>
      <c r="W617" s="6">
        <v>0.06</v>
      </c>
      <c r="X617" s="6" t="s">
        <v>2152</v>
      </c>
      <c r="Y617" s="6">
        <v>7150275.29</v>
      </c>
      <c r="Z617" s="6">
        <v>3235436.57</v>
      </c>
      <c r="AA617" s="6">
        <v>90</v>
      </c>
      <c r="AB617" s="6">
        <v>108</v>
      </c>
      <c r="AC617" s="6" t="s">
        <v>329</v>
      </c>
      <c r="AD617" s="6" t="s">
        <v>455</v>
      </c>
      <c r="AE617" s="6">
        <v>0.6</v>
      </c>
      <c r="AF617" s="6" t="s">
        <v>4361</v>
      </c>
      <c r="AG617" s="6">
        <v>0.05</v>
      </c>
      <c r="AH617" s="6">
        <v>7.0000000000000007E-2</v>
      </c>
      <c r="AI617" s="6">
        <v>6</v>
      </c>
      <c r="AJ617" s="6">
        <v>382</v>
      </c>
      <c r="AK617" s="6">
        <v>634136.51</v>
      </c>
      <c r="AL617" s="6">
        <v>3566904.53</v>
      </c>
      <c r="AM617" s="6" t="s">
        <v>321</v>
      </c>
      <c r="AN617" s="6"/>
      <c r="AO617" s="6"/>
      <c r="AP617" s="6">
        <v>12</v>
      </c>
      <c r="AQ617" s="6" t="s">
        <v>323</v>
      </c>
      <c r="AR617" s="6" t="s">
        <v>229</v>
      </c>
      <c r="AS617" s="6"/>
    </row>
    <row r="618" spans="1:45" x14ac:dyDescent="0.3">
      <c r="A618" s="7" t="s">
        <v>2153</v>
      </c>
      <c r="B618" s="7" t="s">
        <v>5190</v>
      </c>
      <c r="C618" s="7" t="s">
        <v>231</v>
      </c>
      <c r="D618" s="7" t="s">
        <v>180</v>
      </c>
      <c r="E618" s="7" t="s">
        <v>4376</v>
      </c>
      <c r="F618" s="7" t="s">
        <v>31</v>
      </c>
      <c r="G618" s="7" t="s">
        <v>46</v>
      </c>
      <c r="H618" s="7" t="s">
        <v>212</v>
      </c>
      <c r="I618" s="7" t="s">
        <v>183</v>
      </c>
      <c r="J618" s="7" t="s">
        <v>136</v>
      </c>
      <c r="K618" s="7" t="s">
        <v>223</v>
      </c>
      <c r="L618" s="7" t="s">
        <v>2154</v>
      </c>
      <c r="M618" s="7" t="s">
        <v>5191</v>
      </c>
      <c r="N618" s="7" t="s">
        <v>3733</v>
      </c>
      <c r="O618" s="7" t="s">
        <v>4274</v>
      </c>
      <c r="P618" s="7">
        <v>6</v>
      </c>
      <c r="Q618" s="7">
        <v>42854657</v>
      </c>
      <c r="R618" s="7">
        <v>0.12</v>
      </c>
      <c r="S618" s="7">
        <v>0.18</v>
      </c>
      <c r="T618" s="7">
        <v>44500275.829999998</v>
      </c>
      <c r="U618" s="7">
        <v>35911059.68</v>
      </c>
      <c r="V618" s="7">
        <v>0.1</v>
      </c>
      <c r="W618" s="7">
        <v>7.0000000000000007E-2</v>
      </c>
      <c r="X618" s="7" t="s">
        <v>2155</v>
      </c>
      <c r="Y618" s="7">
        <v>28607656.699999999</v>
      </c>
      <c r="Z618" s="7">
        <v>8896780.5800000001</v>
      </c>
      <c r="AA618" s="7">
        <v>30</v>
      </c>
      <c r="AB618" s="7">
        <v>177</v>
      </c>
      <c r="AC618" s="7"/>
      <c r="AD618" s="7" t="s">
        <v>381</v>
      </c>
      <c r="AE618" s="7">
        <v>0.15</v>
      </c>
      <c r="AF618" s="7" t="s">
        <v>159</v>
      </c>
      <c r="AG618" s="7">
        <v>0.15</v>
      </c>
      <c r="AH618" s="7">
        <v>7.0000000000000007E-2</v>
      </c>
      <c r="AI618" s="7">
        <v>2</v>
      </c>
      <c r="AJ618" s="7">
        <v>4267</v>
      </c>
      <c r="AK618" s="7"/>
      <c r="AL618" s="7">
        <v>21059168.199999999</v>
      </c>
      <c r="AM618" s="7" t="s">
        <v>73</v>
      </c>
      <c r="AN618" s="7" t="s">
        <v>322</v>
      </c>
      <c r="AO618" s="7">
        <v>92.2</v>
      </c>
      <c r="AP618" s="7">
        <v>60</v>
      </c>
      <c r="AQ618" s="7" t="s">
        <v>392</v>
      </c>
      <c r="AR618" s="7" t="s">
        <v>192</v>
      </c>
      <c r="AS618" s="7"/>
    </row>
    <row r="619" spans="1:45" x14ac:dyDescent="0.3">
      <c r="A619" s="6" t="s">
        <v>2156</v>
      </c>
      <c r="B619" s="6" t="s">
        <v>5052</v>
      </c>
      <c r="C619" s="6" t="s">
        <v>214</v>
      </c>
      <c r="D619" s="6" t="s">
        <v>255</v>
      </c>
      <c r="E619" s="6" t="s">
        <v>4376</v>
      </c>
      <c r="F619" s="6" t="s">
        <v>31</v>
      </c>
      <c r="G619" s="6" t="s">
        <v>50</v>
      </c>
      <c r="H619" s="6" t="s">
        <v>236</v>
      </c>
      <c r="I619" s="6" t="s">
        <v>213</v>
      </c>
      <c r="J619" s="6" t="s">
        <v>136</v>
      </c>
      <c r="K619" s="6" t="s">
        <v>221</v>
      </c>
      <c r="L619" s="6" t="s">
        <v>2157</v>
      </c>
      <c r="M619" s="6" t="s">
        <v>4072</v>
      </c>
      <c r="N619" s="6" t="s">
        <v>3356</v>
      </c>
      <c r="O619" s="6" t="s">
        <v>3558</v>
      </c>
      <c r="P619" s="6">
        <v>10</v>
      </c>
      <c r="Q619" s="6">
        <v>25342865</v>
      </c>
      <c r="R619" s="6">
        <v>0.3</v>
      </c>
      <c r="S619" s="6">
        <v>0.17</v>
      </c>
      <c r="T619" s="6">
        <v>20755806.43</v>
      </c>
      <c r="U619" s="6">
        <v>15149702.91</v>
      </c>
      <c r="V619" s="6">
        <v>0.33</v>
      </c>
      <c r="W619" s="6">
        <v>0.16</v>
      </c>
      <c r="X619" s="6" t="s">
        <v>2158</v>
      </c>
      <c r="Y619" s="6">
        <v>4825532.49</v>
      </c>
      <c r="Z619" s="6">
        <v>2471825.4500000002</v>
      </c>
      <c r="AA619" s="6">
        <v>30</v>
      </c>
      <c r="AB619" s="6">
        <v>140</v>
      </c>
      <c r="AC619" s="6" t="s">
        <v>329</v>
      </c>
      <c r="AD619" s="6" t="s">
        <v>354</v>
      </c>
      <c r="AE619" s="6">
        <v>0.27</v>
      </c>
      <c r="AF619" s="6" t="s">
        <v>159</v>
      </c>
      <c r="AG619" s="6">
        <v>0.15</v>
      </c>
      <c r="AH619" s="6">
        <v>0.08</v>
      </c>
      <c r="AI619" s="6">
        <v>11</v>
      </c>
      <c r="AJ619" s="6">
        <v>1556</v>
      </c>
      <c r="AK619" s="6">
        <v>4590660.5</v>
      </c>
      <c r="AL619" s="6">
        <v>5664759.7199999997</v>
      </c>
      <c r="AM619" s="6" t="s">
        <v>355</v>
      </c>
      <c r="AN619" s="6" t="s">
        <v>330</v>
      </c>
      <c r="AO619" s="6">
        <v>97.7</v>
      </c>
      <c r="AP619" s="6">
        <v>12</v>
      </c>
      <c r="AQ619" s="6" t="s">
        <v>4275</v>
      </c>
      <c r="AR619" s="6" t="s">
        <v>186</v>
      </c>
      <c r="AS619" s="6" t="s">
        <v>361</v>
      </c>
    </row>
    <row r="620" spans="1:45" x14ac:dyDescent="0.3">
      <c r="A620" s="7" t="s">
        <v>2159</v>
      </c>
      <c r="B620" s="7" t="s">
        <v>4949</v>
      </c>
      <c r="C620" s="7" t="s">
        <v>269</v>
      </c>
      <c r="D620" s="7" t="s">
        <v>209</v>
      </c>
      <c r="E620" s="7" t="s">
        <v>20</v>
      </c>
      <c r="F620" s="7" t="s">
        <v>31</v>
      </c>
      <c r="G620" s="7" t="s">
        <v>54</v>
      </c>
      <c r="H620" s="7" t="s">
        <v>197</v>
      </c>
      <c r="I620" s="7" t="s">
        <v>4289</v>
      </c>
      <c r="J620" s="7" t="s">
        <v>136</v>
      </c>
      <c r="K620" s="7" t="s">
        <v>199</v>
      </c>
      <c r="L620" s="7" t="s">
        <v>2160</v>
      </c>
      <c r="M620" s="7" t="s">
        <v>5192</v>
      </c>
      <c r="N620" s="7" t="s">
        <v>5193</v>
      </c>
      <c r="O620" s="7" t="s">
        <v>4869</v>
      </c>
      <c r="P620" s="7">
        <v>28</v>
      </c>
      <c r="Q620" s="7">
        <v>43197754</v>
      </c>
      <c r="R620" s="7">
        <v>0.3</v>
      </c>
      <c r="S620" s="7">
        <v>0.02</v>
      </c>
      <c r="T620" s="7">
        <v>30843196.359999999</v>
      </c>
      <c r="U620" s="7">
        <v>21227355.390000001</v>
      </c>
      <c r="V620" s="7" t="s">
        <v>4374</v>
      </c>
      <c r="W620" s="7">
        <v>0.19</v>
      </c>
      <c r="X620" s="7" t="s">
        <v>2161</v>
      </c>
      <c r="Y620" s="7">
        <v>19204598.870000001</v>
      </c>
      <c r="Z620" s="7">
        <v>11307883.01</v>
      </c>
      <c r="AA620" s="7">
        <v>45</v>
      </c>
      <c r="AB620" s="7">
        <v>20</v>
      </c>
      <c r="AC620" s="7" t="s">
        <v>329</v>
      </c>
      <c r="AD620" s="7" t="s">
        <v>336</v>
      </c>
      <c r="AE620" s="7">
        <v>0.62</v>
      </c>
      <c r="AF620" s="7" t="s">
        <v>4276</v>
      </c>
      <c r="AG620" s="7">
        <v>0.1</v>
      </c>
      <c r="AH620" s="7">
        <v>0.08</v>
      </c>
      <c r="AI620" s="7">
        <v>1</v>
      </c>
      <c r="AJ620" s="7">
        <v>3629</v>
      </c>
      <c r="AK620" s="7">
        <v>5165785.18</v>
      </c>
      <c r="AL620" s="7">
        <v>6074563.0300000003</v>
      </c>
      <c r="AM620" s="7" t="s">
        <v>391</v>
      </c>
      <c r="AN620" s="7" t="s">
        <v>322</v>
      </c>
      <c r="AO620" s="7">
        <v>85.9</v>
      </c>
      <c r="AP620" s="7">
        <v>60</v>
      </c>
      <c r="AQ620" s="7"/>
      <c r="AR620" s="7" t="s">
        <v>192</v>
      </c>
      <c r="AS620" s="7" t="s">
        <v>324</v>
      </c>
    </row>
    <row r="621" spans="1:45" x14ac:dyDescent="0.3">
      <c r="A621" s="6" t="s">
        <v>2162</v>
      </c>
      <c r="B621" s="6" t="s">
        <v>5194</v>
      </c>
      <c r="C621" s="6" t="s">
        <v>261</v>
      </c>
      <c r="D621" s="6" t="s">
        <v>180</v>
      </c>
      <c r="E621" s="6" t="s">
        <v>41</v>
      </c>
      <c r="F621" s="6" t="s">
        <v>228</v>
      </c>
      <c r="G621" s="6"/>
      <c r="H621" s="6" t="s">
        <v>212</v>
      </c>
      <c r="I621" s="6" t="s">
        <v>198</v>
      </c>
      <c r="J621" s="6" t="s">
        <v>130</v>
      </c>
      <c r="K621" s="6" t="s">
        <v>223</v>
      </c>
      <c r="L621" s="6" t="s">
        <v>2163</v>
      </c>
      <c r="M621" s="6" t="s">
        <v>4073</v>
      </c>
      <c r="N621" s="6" t="s">
        <v>4074</v>
      </c>
      <c r="O621" s="6" t="s">
        <v>4005</v>
      </c>
      <c r="P621" s="6">
        <v>53</v>
      </c>
      <c r="Q621" s="6">
        <v>7443733</v>
      </c>
      <c r="R621" s="6">
        <v>0.04</v>
      </c>
      <c r="S621" s="6">
        <v>-0.01</v>
      </c>
      <c r="T621" s="6">
        <v>7074523.8399999999</v>
      </c>
      <c r="U621" s="6">
        <v>6005122.3200000003</v>
      </c>
      <c r="V621" s="6">
        <v>0.28000000000000003</v>
      </c>
      <c r="W621" s="6">
        <v>0.05</v>
      </c>
      <c r="X621" s="6" t="s">
        <v>2164</v>
      </c>
      <c r="Y621" s="6">
        <v>5323257.17</v>
      </c>
      <c r="Z621" s="6">
        <v>2685557.36</v>
      </c>
      <c r="AA621" s="6">
        <v>90</v>
      </c>
      <c r="AB621" s="6">
        <v>51</v>
      </c>
      <c r="AC621" s="6" t="s">
        <v>353</v>
      </c>
      <c r="AD621" s="6" t="s">
        <v>354</v>
      </c>
      <c r="AE621" s="6">
        <v>0.85</v>
      </c>
      <c r="AF621" s="6" t="s">
        <v>4303</v>
      </c>
      <c r="AG621" s="6">
        <v>0.15</v>
      </c>
      <c r="AH621" s="6">
        <v>0.01</v>
      </c>
      <c r="AI621" s="6">
        <v>1</v>
      </c>
      <c r="AJ621" s="6">
        <v>4741</v>
      </c>
      <c r="AK621" s="6"/>
      <c r="AL621" s="6">
        <v>3528190.58</v>
      </c>
      <c r="AM621" s="6" t="s">
        <v>385</v>
      </c>
      <c r="AN621" s="6" t="s">
        <v>356</v>
      </c>
      <c r="AO621" s="6">
        <v>84.2</v>
      </c>
      <c r="AP621" s="6">
        <v>36</v>
      </c>
      <c r="AQ621" s="6"/>
      <c r="AR621" s="6" t="s">
        <v>229</v>
      </c>
      <c r="AS621" s="6" t="s">
        <v>377</v>
      </c>
    </row>
    <row r="622" spans="1:45" x14ac:dyDescent="0.3">
      <c r="A622" s="7" t="s">
        <v>2165</v>
      </c>
      <c r="B622" s="7" t="s">
        <v>4693</v>
      </c>
      <c r="C622" s="7" t="s">
        <v>269</v>
      </c>
      <c r="D622" s="7" t="s">
        <v>220</v>
      </c>
      <c r="E622" s="7" t="s">
        <v>36</v>
      </c>
      <c r="F622" s="7" t="s">
        <v>339</v>
      </c>
      <c r="G622" s="7" t="s">
        <v>23</v>
      </c>
      <c r="H622" s="7" t="s">
        <v>4340</v>
      </c>
      <c r="I622" s="7"/>
      <c r="J622" s="7" t="s">
        <v>115</v>
      </c>
      <c r="K622" s="7" t="s">
        <v>204</v>
      </c>
      <c r="L622" s="7" t="s">
        <v>2166</v>
      </c>
      <c r="M622" s="7" t="s">
        <v>5195</v>
      </c>
      <c r="N622" s="7" t="s">
        <v>4937</v>
      </c>
      <c r="O622" s="7" t="s">
        <v>4616</v>
      </c>
      <c r="P622" s="7">
        <v>44</v>
      </c>
      <c r="Q622" s="7" t="s">
        <v>4275</v>
      </c>
      <c r="R622" s="7">
        <v>0.3</v>
      </c>
      <c r="S622" s="7">
        <v>-0.02</v>
      </c>
      <c r="T622" s="7">
        <v>27044324.800000001</v>
      </c>
      <c r="U622" s="7">
        <v>20543804.98</v>
      </c>
      <c r="V622" s="7">
        <v>0.24</v>
      </c>
      <c r="W622" s="7">
        <v>0.17</v>
      </c>
      <c r="X622" s="7" t="s">
        <v>2167</v>
      </c>
      <c r="Y622" s="7">
        <v>14328629.380000001</v>
      </c>
      <c r="Z622" s="7">
        <v>12755844.49</v>
      </c>
      <c r="AA622" s="7">
        <v>30</v>
      </c>
      <c r="AB622" s="7">
        <v>124</v>
      </c>
      <c r="AC622" s="7"/>
      <c r="AD622" s="7" t="s">
        <v>320</v>
      </c>
      <c r="AE622" s="7">
        <v>0.09</v>
      </c>
      <c r="AF622" s="7" t="s">
        <v>4294</v>
      </c>
      <c r="AG622" s="7">
        <v>0.05</v>
      </c>
      <c r="AH622" s="7">
        <v>0.08</v>
      </c>
      <c r="AI622" s="7">
        <v>14</v>
      </c>
      <c r="AJ622" s="7">
        <v>1567</v>
      </c>
      <c r="AK622" s="7">
        <v>5048993.74</v>
      </c>
      <c r="AL622" s="7">
        <v>12351134.17</v>
      </c>
      <c r="AM622" s="7" t="s">
        <v>73</v>
      </c>
      <c r="AN622" s="7" t="s">
        <v>386</v>
      </c>
      <c r="AO622" s="7">
        <v>74.900000000000006</v>
      </c>
      <c r="AP622" s="7">
        <v>24</v>
      </c>
      <c r="AQ622" s="7" t="s">
        <v>4275</v>
      </c>
      <c r="AR622" s="7" t="s">
        <v>229</v>
      </c>
      <c r="AS622" s="7" t="s">
        <v>357</v>
      </c>
    </row>
    <row r="623" spans="1:45" x14ac:dyDescent="0.3">
      <c r="A623" s="6" t="s">
        <v>2168</v>
      </c>
      <c r="B623" s="6" t="s">
        <v>5196</v>
      </c>
      <c r="C623" s="6" t="s">
        <v>269</v>
      </c>
      <c r="D623" s="6" t="s">
        <v>238</v>
      </c>
      <c r="E623" s="6" t="s">
        <v>20</v>
      </c>
      <c r="F623" s="6" t="s">
        <v>196</v>
      </c>
      <c r="G623" s="6" t="s">
        <v>46</v>
      </c>
      <c r="H623" s="6"/>
      <c r="I623" s="6" t="s">
        <v>4289</v>
      </c>
      <c r="J623" s="6" t="s">
        <v>136</v>
      </c>
      <c r="K623" s="6" t="s">
        <v>333</v>
      </c>
      <c r="L623" s="6" t="s">
        <v>2169</v>
      </c>
      <c r="M623" s="6" t="s">
        <v>5122</v>
      </c>
      <c r="N623" s="6" t="s">
        <v>4685</v>
      </c>
      <c r="O623" s="6" t="s">
        <v>5197</v>
      </c>
      <c r="P623" s="6">
        <v>43</v>
      </c>
      <c r="Q623" s="6">
        <v>28633219</v>
      </c>
      <c r="R623" s="6">
        <v>0.08</v>
      </c>
      <c r="S623" s="6">
        <v>0.1</v>
      </c>
      <c r="T623" s="6">
        <v>28976817.629999999</v>
      </c>
      <c r="U623" s="6">
        <v>24793431.559999999</v>
      </c>
      <c r="V623" s="6">
        <v>0.12</v>
      </c>
      <c r="W623" s="6">
        <v>0.09</v>
      </c>
      <c r="X623" s="6" t="s">
        <v>2170</v>
      </c>
      <c r="Y623" s="6">
        <v>14466162.65</v>
      </c>
      <c r="Z623" s="6">
        <v>13202291.789999999</v>
      </c>
      <c r="AA623" s="6">
        <v>60</v>
      </c>
      <c r="AB623" s="6">
        <v>137</v>
      </c>
      <c r="AC623" s="6" t="s">
        <v>329</v>
      </c>
      <c r="AD623" s="6" t="s">
        <v>336</v>
      </c>
      <c r="AE623" s="6">
        <v>0.32</v>
      </c>
      <c r="AF623" s="6" t="s">
        <v>4303</v>
      </c>
      <c r="AG623" s="6">
        <v>0.05</v>
      </c>
      <c r="AH623" s="6">
        <v>7.0000000000000007E-2</v>
      </c>
      <c r="AI623" s="6">
        <v>7</v>
      </c>
      <c r="AJ623" s="6">
        <v>1617</v>
      </c>
      <c r="AK623" s="6">
        <v>5171727.33</v>
      </c>
      <c r="AL623" s="6">
        <v>14167255.689999999</v>
      </c>
      <c r="AM623" s="6" t="s">
        <v>355</v>
      </c>
      <c r="AN623" s="6" t="s">
        <v>321</v>
      </c>
      <c r="AO623" s="6">
        <v>84.6</v>
      </c>
      <c r="AP623" s="6">
        <v>48</v>
      </c>
      <c r="AQ623" s="6" t="s">
        <v>4275</v>
      </c>
      <c r="AR623" s="6" t="s">
        <v>224</v>
      </c>
      <c r="AS623" s="6" t="s">
        <v>377</v>
      </c>
    </row>
    <row r="624" spans="1:45" x14ac:dyDescent="0.3">
      <c r="A624" s="7" t="s">
        <v>2171</v>
      </c>
      <c r="B624" s="7" t="s">
        <v>5198</v>
      </c>
      <c r="C624" s="7" t="s">
        <v>276</v>
      </c>
      <c r="D624" s="7" t="s">
        <v>202</v>
      </c>
      <c r="E624" s="7" t="s">
        <v>113</v>
      </c>
      <c r="F624" s="7" t="s">
        <v>367</v>
      </c>
      <c r="G624" s="7" t="s">
        <v>23</v>
      </c>
      <c r="H624" s="7" t="s">
        <v>4340</v>
      </c>
      <c r="I624" s="7" t="s">
        <v>213</v>
      </c>
      <c r="J624" s="7" t="s">
        <v>123</v>
      </c>
      <c r="K624" s="7" t="s">
        <v>204</v>
      </c>
      <c r="L624" s="7" t="s">
        <v>2172</v>
      </c>
      <c r="M624" s="7" t="s">
        <v>5180</v>
      </c>
      <c r="N624" s="7" t="s">
        <v>3405</v>
      </c>
      <c r="O624" s="7" t="s">
        <v>3590</v>
      </c>
      <c r="P624" s="7">
        <v>10</v>
      </c>
      <c r="Q624" s="7">
        <v>31027804</v>
      </c>
      <c r="R624" s="7">
        <v>0.02</v>
      </c>
      <c r="S624" s="7">
        <v>0.02</v>
      </c>
      <c r="T624" s="7">
        <v>31015392.879999999</v>
      </c>
      <c r="U624" s="7">
        <v>22404314.140000001</v>
      </c>
      <c r="V624" s="7">
        <v>0.27</v>
      </c>
      <c r="W624" s="7">
        <v>0.08</v>
      </c>
      <c r="X624" s="7" t="s">
        <v>2173</v>
      </c>
      <c r="Y624" s="7">
        <v>11141825.35</v>
      </c>
      <c r="Z624" s="7">
        <v>10466297.529999999</v>
      </c>
      <c r="AA624" s="7">
        <v>30</v>
      </c>
      <c r="AB624" s="7">
        <v>168</v>
      </c>
      <c r="AC624" s="7" t="s">
        <v>342</v>
      </c>
      <c r="AD624" s="7" t="s">
        <v>406</v>
      </c>
      <c r="AE624" s="7">
        <v>0.94</v>
      </c>
      <c r="AF624" s="7" t="s">
        <v>155</v>
      </c>
      <c r="AG624" s="7">
        <v>0.05</v>
      </c>
      <c r="AH624" s="7">
        <v>0.03</v>
      </c>
      <c r="AI624" s="7">
        <v>9</v>
      </c>
      <c r="AJ624" s="7">
        <v>1431</v>
      </c>
      <c r="AK624" s="7">
        <v>5816663.6500000004</v>
      </c>
      <c r="AL624" s="7">
        <v>11188048.220000001</v>
      </c>
      <c r="AM624" s="7" t="s">
        <v>73</v>
      </c>
      <c r="AN624" s="7" t="s">
        <v>386</v>
      </c>
      <c r="AO624" s="7">
        <v>64.400000000000006</v>
      </c>
      <c r="AP624" s="7">
        <v>60</v>
      </c>
      <c r="AQ624" s="7" t="s">
        <v>4275</v>
      </c>
      <c r="AR624" s="7" t="s">
        <v>224</v>
      </c>
      <c r="AS624" s="7"/>
    </row>
    <row r="625" spans="1:45" x14ac:dyDescent="0.3">
      <c r="A625" s="6" t="s">
        <v>2174</v>
      </c>
      <c r="B625" s="6" t="s">
        <v>4075</v>
      </c>
      <c r="C625" s="6" t="s">
        <v>189</v>
      </c>
      <c r="D625" s="6" t="s">
        <v>238</v>
      </c>
      <c r="E625" s="6" t="s">
        <v>4265</v>
      </c>
      <c r="F625" s="6" t="s">
        <v>350</v>
      </c>
      <c r="G625" s="6" t="s">
        <v>16</v>
      </c>
      <c r="H625" s="6" t="s">
        <v>197</v>
      </c>
      <c r="I625" s="6" t="s">
        <v>246</v>
      </c>
      <c r="J625" s="6" t="s">
        <v>130</v>
      </c>
      <c r="K625" s="6" t="s">
        <v>221</v>
      </c>
      <c r="L625" s="6" t="s">
        <v>2175</v>
      </c>
      <c r="M625" s="6" t="s">
        <v>4076</v>
      </c>
      <c r="N625" s="6" t="s">
        <v>4847</v>
      </c>
      <c r="O625" s="6" t="s">
        <v>3714</v>
      </c>
      <c r="P625" s="6">
        <v>43</v>
      </c>
      <c r="Q625" s="6">
        <v>4304062</v>
      </c>
      <c r="R625" s="6">
        <v>0.17</v>
      </c>
      <c r="S625" s="6">
        <v>0.15</v>
      </c>
      <c r="T625" s="6">
        <v>4108227.18</v>
      </c>
      <c r="U625" s="6">
        <v>2989688.86</v>
      </c>
      <c r="V625" s="6">
        <v>0.26</v>
      </c>
      <c r="W625" s="6">
        <v>7.0000000000000007E-2</v>
      </c>
      <c r="X625" s="6" t="s">
        <v>2176</v>
      </c>
      <c r="Y625" s="6">
        <v>1117137.8400000001</v>
      </c>
      <c r="Z625" s="6">
        <v>1212382.53</v>
      </c>
      <c r="AA625" s="6">
        <v>30</v>
      </c>
      <c r="AB625" s="6">
        <v>136</v>
      </c>
      <c r="AC625" s="6" t="s">
        <v>342</v>
      </c>
      <c r="AD625" s="6" t="s">
        <v>455</v>
      </c>
      <c r="AE625" s="6">
        <v>0.26</v>
      </c>
      <c r="AF625" s="6" t="s">
        <v>4319</v>
      </c>
      <c r="AG625" s="6">
        <v>0.1</v>
      </c>
      <c r="AH625" s="6">
        <v>0.05</v>
      </c>
      <c r="AI625" s="6">
        <v>5</v>
      </c>
      <c r="AJ625" s="6">
        <v>2545</v>
      </c>
      <c r="AK625" s="6">
        <v>914569.27</v>
      </c>
      <c r="AL625" s="6">
        <v>1821260.51</v>
      </c>
      <c r="AM625" s="6" t="s">
        <v>343</v>
      </c>
      <c r="AN625" s="6" t="s">
        <v>321</v>
      </c>
      <c r="AO625" s="6">
        <v>93.2</v>
      </c>
      <c r="AP625" s="6" t="s">
        <v>4275</v>
      </c>
      <c r="AQ625" s="6" t="s">
        <v>323</v>
      </c>
      <c r="AR625" s="6" t="s">
        <v>229</v>
      </c>
      <c r="AS625" s="6" t="s">
        <v>377</v>
      </c>
    </row>
    <row r="626" spans="1:45" x14ac:dyDescent="0.3">
      <c r="A626" s="7" t="s">
        <v>2177</v>
      </c>
      <c r="B626" s="7" t="s">
        <v>3337</v>
      </c>
      <c r="C626" s="7" t="s">
        <v>273</v>
      </c>
      <c r="D626" s="7" t="s">
        <v>262</v>
      </c>
      <c r="E626" s="7" t="s">
        <v>4265</v>
      </c>
      <c r="F626" s="7" t="s">
        <v>350</v>
      </c>
      <c r="G626" s="7"/>
      <c r="H626" s="7" t="s">
        <v>212</v>
      </c>
      <c r="I626" s="7" t="s">
        <v>4289</v>
      </c>
      <c r="J626" s="6" t="s">
        <v>105</v>
      </c>
      <c r="K626" s="7" t="s">
        <v>204</v>
      </c>
      <c r="L626" s="7" t="s">
        <v>2178</v>
      </c>
      <c r="M626" s="7" t="s">
        <v>3530</v>
      </c>
      <c r="N626" s="7"/>
      <c r="O626" s="7" t="s">
        <v>5199</v>
      </c>
      <c r="P626" s="7">
        <v>42</v>
      </c>
      <c r="Q626" s="7">
        <v>18068414</v>
      </c>
      <c r="R626" s="7">
        <v>0.16</v>
      </c>
      <c r="S626" s="7">
        <v>0.04</v>
      </c>
      <c r="T626" s="7">
        <v>15784566.470000001</v>
      </c>
      <c r="U626" s="7">
        <v>10138474.029999999</v>
      </c>
      <c r="V626" s="7" t="s">
        <v>4374</v>
      </c>
      <c r="W626" s="7">
        <v>0.12</v>
      </c>
      <c r="X626" s="7" t="s">
        <v>2179</v>
      </c>
      <c r="Y626" s="7">
        <v>909828.87</v>
      </c>
      <c r="Z626" s="7">
        <v>351180.19</v>
      </c>
      <c r="AA626" s="7">
        <v>45</v>
      </c>
      <c r="AB626" s="7">
        <v>82</v>
      </c>
      <c r="AC626" s="7" t="s">
        <v>347</v>
      </c>
      <c r="AD626" s="7" t="s">
        <v>455</v>
      </c>
      <c r="AE626" s="7">
        <v>0.05</v>
      </c>
      <c r="AF626" s="7" t="s">
        <v>153</v>
      </c>
      <c r="AG626" s="7">
        <v>0.15</v>
      </c>
      <c r="AH626" s="7">
        <v>0.1</v>
      </c>
      <c r="AI626" s="7">
        <v>2</v>
      </c>
      <c r="AJ626" s="7">
        <v>1352</v>
      </c>
      <c r="AK626" s="7"/>
      <c r="AL626" s="7"/>
      <c r="AM626" s="7" t="s">
        <v>73</v>
      </c>
      <c r="AN626" s="7" t="s">
        <v>330</v>
      </c>
      <c r="AO626" s="7">
        <v>80.900000000000006</v>
      </c>
      <c r="AP626" s="7" t="s">
        <v>4275</v>
      </c>
      <c r="AQ626" s="7" t="s">
        <v>392</v>
      </c>
      <c r="AR626" s="7" t="s">
        <v>229</v>
      </c>
      <c r="AS626" s="7" t="s">
        <v>361</v>
      </c>
    </row>
    <row r="627" spans="1:45" x14ac:dyDescent="0.3">
      <c r="A627" s="6" t="s">
        <v>2180</v>
      </c>
      <c r="B627" s="6" t="s">
        <v>5200</v>
      </c>
      <c r="C627" s="6" t="s">
        <v>284</v>
      </c>
      <c r="D627" s="6" t="s">
        <v>220</v>
      </c>
      <c r="E627" s="6" t="s">
        <v>113</v>
      </c>
      <c r="F627" s="6" t="s">
        <v>181</v>
      </c>
      <c r="G627" s="6" t="s">
        <v>78</v>
      </c>
      <c r="H627" s="6" t="s">
        <v>4271</v>
      </c>
      <c r="I627" s="6" t="s">
        <v>240</v>
      </c>
      <c r="J627" s="6" t="s">
        <v>127</v>
      </c>
      <c r="K627" s="6" t="s">
        <v>223</v>
      </c>
      <c r="L627" s="6" t="s">
        <v>2181</v>
      </c>
      <c r="M627" s="6" t="s">
        <v>5201</v>
      </c>
      <c r="N627" s="6" t="s">
        <v>5202</v>
      </c>
      <c r="O627" s="6" t="s">
        <v>4932</v>
      </c>
      <c r="P627" s="6">
        <v>49</v>
      </c>
      <c r="Q627" s="6">
        <v>32971782</v>
      </c>
      <c r="R627" s="6">
        <v>7.0000000000000007E-2</v>
      </c>
      <c r="S627" s="6">
        <v>0.13</v>
      </c>
      <c r="T627" s="6">
        <v>34650045.700000003</v>
      </c>
      <c r="U627" s="6">
        <v>21209582.550000001</v>
      </c>
      <c r="V627" s="6">
        <v>0.26</v>
      </c>
      <c r="W627" s="6">
        <v>0.16</v>
      </c>
      <c r="X627" s="6" t="s">
        <v>2182</v>
      </c>
      <c r="Y627" s="6">
        <v>17438367.82</v>
      </c>
      <c r="Z627" s="6">
        <v>11134579.43</v>
      </c>
      <c r="AA627" s="6">
        <v>60</v>
      </c>
      <c r="AB627" s="6">
        <v>149</v>
      </c>
      <c r="AC627" s="6"/>
      <c r="AD627" s="6" t="s">
        <v>226</v>
      </c>
      <c r="AE627" s="6">
        <v>0.4</v>
      </c>
      <c r="AF627" s="6" t="s">
        <v>4294</v>
      </c>
      <c r="AG627" s="6">
        <v>0.15</v>
      </c>
      <c r="AH627" s="6">
        <v>7.0000000000000007E-2</v>
      </c>
      <c r="AI627" s="6">
        <v>10</v>
      </c>
      <c r="AJ627" s="6">
        <v>1946</v>
      </c>
      <c r="AK627" s="6">
        <v>7136257.7300000004</v>
      </c>
      <c r="AL627" s="6">
        <v>15586597.6</v>
      </c>
      <c r="AM627" s="6" t="s">
        <v>73</v>
      </c>
      <c r="AN627" s="6" t="s">
        <v>348</v>
      </c>
      <c r="AO627" s="6">
        <v>50.2</v>
      </c>
      <c r="AP627" s="6">
        <v>60</v>
      </c>
      <c r="AQ627" s="6" t="s">
        <v>387</v>
      </c>
      <c r="AR627" s="6" t="s">
        <v>206</v>
      </c>
      <c r="AS627" s="6" t="s">
        <v>377</v>
      </c>
    </row>
    <row r="628" spans="1:45" x14ac:dyDescent="0.3">
      <c r="A628" s="7" t="s">
        <v>2183</v>
      </c>
      <c r="B628" s="7" t="s">
        <v>4077</v>
      </c>
      <c r="C628" s="7" t="s">
        <v>267</v>
      </c>
      <c r="D628" s="7" t="s">
        <v>255</v>
      </c>
      <c r="E628" s="7" t="s">
        <v>36</v>
      </c>
      <c r="F628" s="7" t="s">
        <v>19</v>
      </c>
      <c r="G628" s="7" t="s">
        <v>50</v>
      </c>
      <c r="H628" s="7" t="s">
        <v>236</v>
      </c>
      <c r="I628" s="7" t="s">
        <v>4372</v>
      </c>
      <c r="J628" s="7" t="s">
        <v>115</v>
      </c>
      <c r="K628" s="7" t="s">
        <v>223</v>
      </c>
      <c r="L628" s="7" t="s">
        <v>2184</v>
      </c>
      <c r="M628" s="7" t="s">
        <v>4888</v>
      </c>
      <c r="N628" s="7" t="s">
        <v>5203</v>
      </c>
      <c r="O628" s="7" t="s">
        <v>4316</v>
      </c>
      <c r="P628" s="7">
        <v>32</v>
      </c>
      <c r="Q628" s="7">
        <v>14392118</v>
      </c>
      <c r="R628" s="7">
        <v>0.13</v>
      </c>
      <c r="S628" s="7">
        <v>0.12</v>
      </c>
      <c r="T628" s="7">
        <v>14023679.779999999</v>
      </c>
      <c r="U628" s="7">
        <v>12390819.810000001</v>
      </c>
      <c r="V628" s="7">
        <v>0.34</v>
      </c>
      <c r="W628" s="7">
        <v>0.16</v>
      </c>
      <c r="X628" s="7" t="s">
        <v>2185</v>
      </c>
      <c r="Y628" s="7">
        <v>11515144.550000001</v>
      </c>
      <c r="Z628" s="7">
        <v>7073023.71</v>
      </c>
      <c r="AA628" s="7">
        <v>90</v>
      </c>
      <c r="AB628" s="7">
        <v>84</v>
      </c>
      <c r="AC628" s="7" t="s">
        <v>347</v>
      </c>
      <c r="AD628" s="7" t="s">
        <v>354</v>
      </c>
      <c r="AE628" s="7">
        <v>0.84</v>
      </c>
      <c r="AF628" s="7" t="s">
        <v>159</v>
      </c>
      <c r="AG628" s="7">
        <v>0.05</v>
      </c>
      <c r="AH628" s="7">
        <v>0.02</v>
      </c>
      <c r="AI628" s="7">
        <v>2</v>
      </c>
      <c r="AJ628" s="7">
        <v>2074</v>
      </c>
      <c r="AK628" s="7">
        <v>2697895.76</v>
      </c>
      <c r="AL628" s="7">
        <v>5482812.3899999997</v>
      </c>
      <c r="AM628" s="7" t="s">
        <v>343</v>
      </c>
      <c r="AN628" s="7" t="s">
        <v>330</v>
      </c>
      <c r="AO628" s="7">
        <v>96.3</v>
      </c>
      <c r="AP628" s="7">
        <v>36</v>
      </c>
      <c r="AQ628" s="7"/>
      <c r="AR628" s="7" t="s">
        <v>229</v>
      </c>
      <c r="AS628" s="7" t="s">
        <v>324</v>
      </c>
    </row>
    <row r="629" spans="1:45" x14ac:dyDescent="0.3">
      <c r="A629" s="6" t="s">
        <v>2186</v>
      </c>
      <c r="B629" s="6" t="s">
        <v>5204</v>
      </c>
      <c r="C629" s="6" t="s">
        <v>254</v>
      </c>
      <c r="D629" s="6" t="s">
        <v>250</v>
      </c>
      <c r="E629" s="6" t="s">
        <v>4325</v>
      </c>
      <c r="F629" s="6" t="s">
        <v>19</v>
      </c>
      <c r="G629" s="6" t="s">
        <v>66</v>
      </c>
      <c r="H629" s="6" t="s">
        <v>4275</v>
      </c>
      <c r="I629" s="6"/>
      <c r="J629" s="6" t="s">
        <v>115</v>
      </c>
      <c r="K629" s="6" t="s">
        <v>204</v>
      </c>
      <c r="L629" s="6" t="s">
        <v>2187</v>
      </c>
      <c r="M629" s="6" t="s">
        <v>5120</v>
      </c>
      <c r="N629" s="6" t="s">
        <v>5205</v>
      </c>
      <c r="O629" s="6" t="s">
        <v>4274</v>
      </c>
      <c r="P629" s="6" t="s">
        <v>4275</v>
      </c>
      <c r="Q629" s="6">
        <v>39967112</v>
      </c>
      <c r="R629" s="6">
        <v>0.3</v>
      </c>
      <c r="S629" s="6">
        <v>-0.04</v>
      </c>
      <c r="T629" s="6">
        <v>26857899.260000002</v>
      </c>
      <c r="U629" s="6">
        <v>22235183.190000001</v>
      </c>
      <c r="V629" s="6">
        <v>0.3</v>
      </c>
      <c r="W629" s="6">
        <v>0.19</v>
      </c>
      <c r="X629" s="6" t="s">
        <v>2188</v>
      </c>
      <c r="Y629" s="6">
        <v>16402680.029999999</v>
      </c>
      <c r="Z629" s="6">
        <v>15489834.23</v>
      </c>
      <c r="AA629" s="6">
        <v>45</v>
      </c>
      <c r="AB629" s="6">
        <v>41</v>
      </c>
      <c r="AC629" s="6"/>
      <c r="AD629" s="6" t="s">
        <v>455</v>
      </c>
      <c r="AE629" s="6">
        <v>0.85</v>
      </c>
      <c r="AF629" s="6" t="s">
        <v>4303</v>
      </c>
      <c r="AG629" s="6">
        <v>0.15</v>
      </c>
      <c r="AH629" s="6">
        <v>0.08</v>
      </c>
      <c r="AI629" s="6">
        <v>5</v>
      </c>
      <c r="AJ629" s="6">
        <v>4461</v>
      </c>
      <c r="AK629" s="6">
        <v>4905545.87</v>
      </c>
      <c r="AL629" s="6">
        <v>12801425.51</v>
      </c>
      <c r="AM629" s="6" t="s">
        <v>355</v>
      </c>
      <c r="AN629" s="6" t="s">
        <v>386</v>
      </c>
      <c r="AO629" s="6">
        <v>78.2</v>
      </c>
      <c r="AP629" s="6">
        <v>48</v>
      </c>
      <c r="AQ629" s="6" t="s">
        <v>4275</v>
      </c>
      <c r="AR629" s="6" t="s">
        <v>186</v>
      </c>
      <c r="AS629" s="6" t="s">
        <v>361</v>
      </c>
    </row>
    <row r="630" spans="1:45" x14ac:dyDescent="0.3">
      <c r="A630" s="7" t="s">
        <v>2189</v>
      </c>
      <c r="B630" s="7" t="s">
        <v>5102</v>
      </c>
      <c r="C630" s="7" t="s">
        <v>249</v>
      </c>
      <c r="D630" s="7" t="s">
        <v>245</v>
      </c>
      <c r="E630" s="7" t="s">
        <v>4306</v>
      </c>
      <c r="F630" s="7" t="s">
        <v>75</v>
      </c>
      <c r="G630" s="7" t="s">
        <v>62</v>
      </c>
      <c r="H630" s="7" t="s">
        <v>4340</v>
      </c>
      <c r="I630" s="7" t="s">
        <v>4291</v>
      </c>
      <c r="J630" s="7" t="s">
        <v>133</v>
      </c>
      <c r="K630" s="7" t="s">
        <v>199</v>
      </c>
      <c r="L630" s="7" t="s">
        <v>2190</v>
      </c>
      <c r="M630" s="7" t="s">
        <v>3657</v>
      </c>
      <c r="N630" s="7" t="s">
        <v>3629</v>
      </c>
      <c r="O630" s="7" t="s">
        <v>4274</v>
      </c>
      <c r="P630" s="7">
        <v>56</v>
      </c>
      <c r="Q630" s="7">
        <v>48720792</v>
      </c>
      <c r="R630" s="7">
        <v>0.16</v>
      </c>
      <c r="S630" s="7">
        <v>-0.01</v>
      </c>
      <c r="T630" s="7">
        <v>40516210.630000003</v>
      </c>
      <c r="U630" s="7">
        <v>32543124.449999999</v>
      </c>
      <c r="V630" s="7">
        <v>0.34</v>
      </c>
      <c r="W630" s="7">
        <v>0.09</v>
      </c>
      <c r="X630" s="7" t="s">
        <v>2191</v>
      </c>
      <c r="Y630" s="7">
        <v>11362837.33</v>
      </c>
      <c r="Z630" s="7">
        <v>8055088.4400000004</v>
      </c>
      <c r="AA630" s="7">
        <v>45</v>
      </c>
      <c r="AB630" s="7">
        <v>6</v>
      </c>
      <c r="AC630" s="7" t="s">
        <v>342</v>
      </c>
      <c r="AD630" s="7" t="s">
        <v>381</v>
      </c>
      <c r="AE630" s="7">
        <v>0.42</v>
      </c>
      <c r="AF630" s="7" t="s">
        <v>4294</v>
      </c>
      <c r="AG630" s="7">
        <v>0.05</v>
      </c>
      <c r="AH630" s="7">
        <v>0.03</v>
      </c>
      <c r="AI630" s="7">
        <v>13</v>
      </c>
      <c r="AJ630" s="7">
        <v>454</v>
      </c>
      <c r="AK630" s="7">
        <v>7118950.0800000001</v>
      </c>
      <c r="AL630" s="7">
        <v>18929665.280000001</v>
      </c>
      <c r="AM630" s="7"/>
      <c r="AN630" s="7" t="s">
        <v>321</v>
      </c>
      <c r="AO630" s="7">
        <v>65.099999999999994</v>
      </c>
      <c r="AP630" s="7" t="s">
        <v>4275</v>
      </c>
      <c r="AQ630" s="7" t="s">
        <v>323</v>
      </c>
      <c r="AR630" s="7" t="s">
        <v>192</v>
      </c>
      <c r="AS630" s="7" t="s">
        <v>188</v>
      </c>
    </row>
    <row r="631" spans="1:45" x14ac:dyDescent="0.3">
      <c r="A631" s="6" t="s">
        <v>2192</v>
      </c>
      <c r="B631" s="6" t="s">
        <v>4814</v>
      </c>
      <c r="C631" s="6" t="s">
        <v>231</v>
      </c>
      <c r="D631" s="6" t="s">
        <v>562</v>
      </c>
      <c r="E631" s="6" t="s">
        <v>4265</v>
      </c>
      <c r="F631" s="6" t="s">
        <v>228</v>
      </c>
      <c r="G631" s="6" t="s">
        <v>54</v>
      </c>
      <c r="H631" s="6" t="s">
        <v>4280</v>
      </c>
      <c r="I631" s="6" t="s">
        <v>240</v>
      </c>
      <c r="J631" s="6" t="s">
        <v>130</v>
      </c>
      <c r="K631" s="6" t="s">
        <v>199</v>
      </c>
      <c r="L631" s="6" t="s">
        <v>2193</v>
      </c>
      <c r="M631" s="6" t="s">
        <v>5206</v>
      </c>
      <c r="N631" s="6" t="s">
        <v>4079</v>
      </c>
      <c r="O631" s="6" t="s">
        <v>4274</v>
      </c>
      <c r="P631" s="6" t="s">
        <v>4275</v>
      </c>
      <c r="Q631" s="6">
        <v>39146754</v>
      </c>
      <c r="R631" s="6">
        <v>0.09</v>
      </c>
      <c r="S631" s="6">
        <v>0.05</v>
      </c>
      <c r="T631" s="6">
        <v>37404723.450000003</v>
      </c>
      <c r="U631" s="6">
        <v>24735580.149999999</v>
      </c>
      <c r="V631" s="6">
        <v>0.12</v>
      </c>
      <c r="W631" s="6">
        <v>0.17</v>
      </c>
      <c r="X631" s="6" t="s">
        <v>2194</v>
      </c>
      <c r="Y631" s="6">
        <v>24916666.059999999</v>
      </c>
      <c r="Z631" s="6">
        <v>21890832.48</v>
      </c>
      <c r="AA631" s="6">
        <v>90</v>
      </c>
      <c r="AB631" s="6">
        <v>128</v>
      </c>
      <c r="AC631" s="6" t="s">
        <v>353</v>
      </c>
      <c r="AD631" s="6" t="s">
        <v>354</v>
      </c>
      <c r="AE631" s="6">
        <v>0.93</v>
      </c>
      <c r="AF631" s="6" t="s">
        <v>4276</v>
      </c>
      <c r="AG631" s="6">
        <v>0.1</v>
      </c>
      <c r="AH631" s="6">
        <v>0.05</v>
      </c>
      <c r="AI631" s="6">
        <v>13</v>
      </c>
      <c r="AJ631" s="6">
        <v>683</v>
      </c>
      <c r="AK631" s="6">
        <v>6587138.0899999999</v>
      </c>
      <c r="AL631" s="6">
        <v>8398498.25</v>
      </c>
      <c r="AM631" s="6" t="s">
        <v>343</v>
      </c>
      <c r="AN631" s="6" t="s">
        <v>348</v>
      </c>
      <c r="AO631" s="6">
        <v>87.6</v>
      </c>
      <c r="AP631" s="6">
        <v>36</v>
      </c>
      <c r="AQ631" s="6" t="s">
        <v>387</v>
      </c>
      <c r="AR631" s="6" t="s">
        <v>186</v>
      </c>
      <c r="AS631" s="6"/>
    </row>
    <row r="632" spans="1:45" x14ac:dyDescent="0.3">
      <c r="A632" s="7" t="s">
        <v>2195</v>
      </c>
      <c r="B632" s="7" t="s">
        <v>4080</v>
      </c>
      <c r="C632" s="7" t="s">
        <v>283</v>
      </c>
      <c r="D632" s="7" t="s">
        <v>274</v>
      </c>
      <c r="E632" s="7" t="s">
        <v>4325</v>
      </c>
      <c r="F632" s="7" t="s">
        <v>339</v>
      </c>
      <c r="G632" s="7" t="s">
        <v>54</v>
      </c>
      <c r="H632" s="7" t="s">
        <v>4280</v>
      </c>
      <c r="I632" s="7" t="s">
        <v>191</v>
      </c>
      <c r="J632" s="7" t="s">
        <v>115</v>
      </c>
      <c r="K632" s="7" t="s">
        <v>333</v>
      </c>
      <c r="L632" s="7" t="s">
        <v>2196</v>
      </c>
      <c r="M632" s="7" t="s">
        <v>4958</v>
      </c>
      <c r="N632" s="7"/>
      <c r="O632" s="7" t="s">
        <v>5207</v>
      </c>
      <c r="P632" s="7">
        <v>13</v>
      </c>
      <c r="Q632" s="7">
        <v>29202079</v>
      </c>
      <c r="R632" s="7">
        <v>0.06</v>
      </c>
      <c r="S632" s="7">
        <v>0.15</v>
      </c>
      <c r="T632" s="7">
        <v>31567447.399999999</v>
      </c>
      <c r="U632" s="7">
        <v>25254238.370000001</v>
      </c>
      <c r="V632" s="7">
        <v>0.31</v>
      </c>
      <c r="W632" s="7">
        <v>0.17</v>
      </c>
      <c r="X632" s="7" t="s">
        <v>2197</v>
      </c>
      <c r="Y632" s="7">
        <v>1959545.53</v>
      </c>
      <c r="Z632" s="7">
        <v>1277649.3700000001</v>
      </c>
      <c r="AA632" s="7">
        <v>30</v>
      </c>
      <c r="AB632" s="7">
        <v>82</v>
      </c>
      <c r="AC632" s="7"/>
      <c r="AD632" s="7" t="s">
        <v>406</v>
      </c>
      <c r="AE632" s="7">
        <v>0.64</v>
      </c>
      <c r="AF632" s="7" t="s">
        <v>152</v>
      </c>
      <c r="AG632" s="7">
        <v>0.05</v>
      </c>
      <c r="AH632" s="7">
        <v>0.08</v>
      </c>
      <c r="AI632" s="7">
        <v>9</v>
      </c>
      <c r="AJ632" s="7">
        <v>1490</v>
      </c>
      <c r="AK632" s="7">
        <v>4484661.1399999997</v>
      </c>
      <c r="AL632" s="7">
        <v>10765585.390000001</v>
      </c>
      <c r="AM632" s="7" t="s">
        <v>343</v>
      </c>
      <c r="AN632" s="7" t="s">
        <v>386</v>
      </c>
      <c r="AO632" s="7">
        <v>60.3</v>
      </c>
      <c r="AP632" s="7" t="s">
        <v>4275</v>
      </c>
      <c r="AQ632" s="7" t="s">
        <v>337</v>
      </c>
      <c r="AR632" s="7" t="s">
        <v>192</v>
      </c>
      <c r="AS632" s="7"/>
    </row>
    <row r="633" spans="1:45" x14ac:dyDescent="0.3">
      <c r="A633" s="6" t="s">
        <v>2198</v>
      </c>
      <c r="B633" s="6" t="s">
        <v>5063</v>
      </c>
      <c r="C633" s="6" t="s">
        <v>225</v>
      </c>
      <c r="D633" s="6" t="s">
        <v>190</v>
      </c>
      <c r="E633" s="6" t="s">
        <v>41</v>
      </c>
      <c r="F633" s="6" t="s">
        <v>228</v>
      </c>
      <c r="G633" s="6" t="s">
        <v>73</v>
      </c>
      <c r="H633" s="6" t="s">
        <v>197</v>
      </c>
      <c r="I633" s="6" t="s">
        <v>191</v>
      </c>
      <c r="J633" s="6" t="s">
        <v>130</v>
      </c>
      <c r="K633" s="6" t="s">
        <v>333</v>
      </c>
      <c r="L633" s="6" t="s">
        <v>2199</v>
      </c>
      <c r="M633" s="6" t="s">
        <v>4778</v>
      </c>
      <c r="N633" s="6" t="s">
        <v>4434</v>
      </c>
      <c r="O633" s="6" t="s">
        <v>5208</v>
      </c>
      <c r="P633" s="6">
        <v>41</v>
      </c>
      <c r="Q633" s="6">
        <v>45746673</v>
      </c>
      <c r="R633" s="6">
        <v>0.26</v>
      </c>
      <c r="S633" s="6">
        <v>0.11</v>
      </c>
      <c r="T633" s="6">
        <v>37576317.200000003</v>
      </c>
      <c r="U633" s="6">
        <v>31163902.629999999</v>
      </c>
      <c r="V633" s="6">
        <v>0.28999999999999998</v>
      </c>
      <c r="W633" s="6">
        <v>0.11</v>
      </c>
      <c r="X633" s="6" t="s">
        <v>2200</v>
      </c>
      <c r="Y633" s="6">
        <v>4025802.73</v>
      </c>
      <c r="Z633" s="6">
        <v>3484313.48</v>
      </c>
      <c r="AA633" s="6">
        <v>120</v>
      </c>
      <c r="AB633" s="6">
        <v>71</v>
      </c>
      <c r="AC633" s="6"/>
      <c r="AD633" s="6" t="s">
        <v>226</v>
      </c>
      <c r="AE633" s="6">
        <v>0.34</v>
      </c>
      <c r="AF633" s="6" t="s">
        <v>162</v>
      </c>
      <c r="AG633" s="6">
        <v>0.1</v>
      </c>
      <c r="AH633" s="6">
        <v>7.0000000000000007E-2</v>
      </c>
      <c r="AI633" s="6">
        <v>9</v>
      </c>
      <c r="AJ633" s="6">
        <v>2825</v>
      </c>
      <c r="AK633" s="6">
        <v>7172111.2000000002</v>
      </c>
      <c r="AL633" s="6">
        <v>14244111.52</v>
      </c>
      <c r="AM633" s="6" t="s">
        <v>391</v>
      </c>
      <c r="AN633" s="6" t="s">
        <v>321</v>
      </c>
      <c r="AO633" s="6">
        <v>80.8</v>
      </c>
      <c r="AP633" s="6" t="s">
        <v>4275</v>
      </c>
      <c r="AQ633" s="6" t="s">
        <v>387</v>
      </c>
      <c r="AR633" s="6" t="s">
        <v>229</v>
      </c>
      <c r="AS633" s="6" t="s">
        <v>377</v>
      </c>
    </row>
    <row r="634" spans="1:45" x14ac:dyDescent="0.3">
      <c r="A634" s="7" t="s">
        <v>2201</v>
      </c>
      <c r="B634" s="7" t="s">
        <v>4227</v>
      </c>
      <c r="C634" s="7" t="s">
        <v>241</v>
      </c>
      <c r="D634" s="7" t="s">
        <v>190</v>
      </c>
      <c r="E634" s="7"/>
      <c r="F634" s="7" t="s">
        <v>350</v>
      </c>
      <c r="G634" s="7" t="s">
        <v>23</v>
      </c>
      <c r="H634" s="7" t="s">
        <v>4280</v>
      </c>
      <c r="I634" s="7" t="s">
        <v>240</v>
      </c>
      <c r="J634" s="7" t="s">
        <v>99</v>
      </c>
      <c r="K634" s="7" t="s">
        <v>204</v>
      </c>
      <c r="L634" s="7" t="s">
        <v>2202</v>
      </c>
      <c r="M634" s="7" t="s">
        <v>3891</v>
      </c>
      <c r="N634" s="7" t="s">
        <v>5209</v>
      </c>
      <c r="O634" s="7" t="s">
        <v>5210</v>
      </c>
      <c r="P634" s="7">
        <v>59</v>
      </c>
      <c r="Q634" s="7">
        <v>18309307</v>
      </c>
      <c r="R634" s="7">
        <v>0.25</v>
      </c>
      <c r="S634" s="7">
        <v>0.06</v>
      </c>
      <c r="T634" s="7">
        <v>14555899.07</v>
      </c>
      <c r="U634" s="7">
        <v>12818813.76</v>
      </c>
      <c r="V634" s="7">
        <v>0.18</v>
      </c>
      <c r="W634" s="7">
        <v>0.12</v>
      </c>
      <c r="X634" s="7" t="s">
        <v>2203</v>
      </c>
      <c r="Y634" s="7">
        <v>9053517.2400000002</v>
      </c>
      <c r="Z634" s="7">
        <v>3482677.17</v>
      </c>
      <c r="AA634" s="7">
        <v>30</v>
      </c>
      <c r="AB634" s="7">
        <v>57</v>
      </c>
      <c r="AC634" s="7" t="s">
        <v>342</v>
      </c>
      <c r="AD634" s="7" t="s">
        <v>406</v>
      </c>
      <c r="AE634" s="7">
        <v>0.67</v>
      </c>
      <c r="AF634" s="7" t="s">
        <v>4276</v>
      </c>
      <c r="AG634" s="7">
        <v>0.05</v>
      </c>
      <c r="AH634" s="7">
        <v>0.08</v>
      </c>
      <c r="AI634" s="7">
        <v>4</v>
      </c>
      <c r="AJ634" s="7">
        <v>3406</v>
      </c>
      <c r="AK634" s="7">
        <v>2240464.88</v>
      </c>
      <c r="AL634" s="7">
        <v>1706817.77</v>
      </c>
      <c r="AM634" s="7" t="s">
        <v>321</v>
      </c>
      <c r="AN634" s="7" t="s">
        <v>356</v>
      </c>
      <c r="AO634" s="7">
        <v>91.8</v>
      </c>
      <c r="AP634" s="7">
        <v>24</v>
      </c>
      <c r="AQ634" s="7" t="s">
        <v>323</v>
      </c>
      <c r="AR634" s="7" t="s">
        <v>186</v>
      </c>
      <c r="AS634" s="7" t="s">
        <v>361</v>
      </c>
    </row>
    <row r="635" spans="1:45" x14ac:dyDescent="0.3">
      <c r="A635" s="6" t="s">
        <v>2204</v>
      </c>
      <c r="B635" s="6" t="s">
        <v>3790</v>
      </c>
      <c r="C635" s="6" t="s">
        <v>276</v>
      </c>
      <c r="D635" s="6" t="s">
        <v>281</v>
      </c>
      <c r="E635" s="6" t="s">
        <v>4376</v>
      </c>
      <c r="F635" s="6" t="s">
        <v>196</v>
      </c>
      <c r="G635" s="6" t="s">
        <v>46</v>
      </c>
      <c r="H635" s="6" t="s">
        <v>4280</v>
      </c>
      <c r="I635" s="6" t="s">
        <v>4307</v>
      </c>
      <c r="J635" s="6" t="s">
        <v>136</v>
      </c>
      <c r="K635" s="6" t="s">
        <v>326</v>
      </c>
      <c r="L635" s="6" t="s">
        <v>2205</v>
      </c>
      <c r="M635" s="6" t="s">
        <v>5211</v>
      </c>
      <c r="N635" s="6" t="s">
        <v>4081</v>
      </c>
      <c r="O635" s="6" t="s">
        <v>4082</v>
      </c>
      <c r="P635" s="6">
        <v>8</v>
      </c>
      <c r="Q635" s="6">
        <v>46881088</v>
      </c>
      <c r="R635" s="6">
        <v>0.15</v>
      </c>
      <c r="S635" s="6">
        <v>0.17</v>
      </c>
      <c r="T635" s="6">
        <v>46623242.020000003</v>
      </c>
      <c r="U635" s="6">
        <v>40977832.530000001</v>
      </c>
      <c r="V635" s="6">
        <v>0.11</v>
      </c>
      <c r="W635" s="6">
        <v>0.14000000000000001</v>
      </c>
      <c r="X635" s="6" t="s">
        <v>2206</v>
      </c>
      <c r="Y635" s="6">
        <v>5174648.8099999996</v>
      </c>
      <c r="Z635" s="6">
        <v>2409524.34</v>
      </c>
      <c r="AA635" s="6">
        <v>60</v>
      </c>
      <c r="AB635" s="6">
        <v>107</v>
      </c>
      <c r="AC635" s="6" t="s">
        <v>353</v>
      </c>
      <c r="AD635" s="6" t="s">
        <v>336</v>
      </c>
      <c r="AE635" s="6">
        <v>0.98</v>
      </c>
      <c r="AF635" s="6" t="s">
        <v>4303</v>
      </c>
      <c r="AG635" s="6">
        <v>0.05</v>
      </c>
      <c r="AH635" s="6">
        <v>0.02</v>
      </c>
      <c r="AI635" s="6">
        <v>11</v>
      </c>
      <c r="AJ635" s="6">
        <v>4625</v>
      </c>
      <c r="AK635" s="6">
        <v>5457247.8099999996</v>
      </c>
      <c r="AL635" s="6">
        <v>4742971.05</v>
      </c>
      <c r="AM635" s="6"/>
      <c r="AN635" s="6" t="s">
        <v>386</v>
      </c>
      <c r="AO635" s="6">
        <v>69.400000000000006</v>
      </c>
      <c r="AP635" s="6">
        <v>48</v>
      </c>
      <c r="AQ635" s="6" t="s">
        <v>323</v>
      </c>
      <c r="AR635" s="6" t="s">
        <v>192</v>
      </c>
      <c r="AS635" s="6" t="s">
        <v>377</v>
      </c>
    </row>
    <row r="636" spans="1:45" x14ac:dyDescent="0.3">
      <c r="A636" s="7" t="s">
        <v>2207</v>
      </c>
      <c r="B636" s="7" t="s">
        <v>4083</v>
      </c>
      <c r="C636" s="7" t="s">
        <v>276</v>
      </c>
      <c r="D636" s="7" t="s">
        <v>220</v>
      </c>
      <c r="E636" s="7" t="s">
        <v>59</v>
      </c>
      <c r="F636" s="7"/>
      <c r="G636" s="7" t="s">
        <v>28</v>
      </c>
      <c r="H636" s="7" t="s">
        <v>236</v>
      </c>
      <c r="I636" s="7" t="s">
        <v>183</v>
      </c>
      <c r="J636" s="7" t="s">
        <v>99</v>
      </c>
      <c r="K636" s="7" t="s">
        <v>199</v>
      </c>
      <c r="L636" s="7" t="s">
        <v>2208</v>
      </c>
      <c r="M636" s="7" t="s">
        <v>4895</v>
      </c>
      <c r="N636" s="7" t="s">
        <v>5212</v>
      </c>
      <c r="O636" s="7" t="s">
        <v>5213</v>
      </c>
      <c r="P636" s="7">
        <v>50</v>
      </c>
      <c r="Q636" s="7">
        <v>40863856</v>
      </c>
      <c r="R636" s="7">
        <v>0.04</v>
      </c>
      <c r="S636" s="7">
        <v>0.16</v>
      </c>
      <c r="T636" s="7">
        <v>45505990.039999999</v>
      </c>
      <c r="U636" s="7">
        <v>30078177.309999999</v>
      </c>
      <c r="V636" s="7">
        <v>0.09</v>
      </c>
      <c r="W636" s="7">
        <v>0.17</v>
      </c>
      <c r="X636" s="7" t="s">
        <v>2209</v>
      </c>
      <c r="Y636" s="7">
        <v>35627542.859999999</v>
      </c>
      <c r="Z636" s="7">
        <v>17634693.239999998</v>
      </c>
      <c r="AA636" s="7">
        <v>30</v>
      </c>
      <c r="AB636" s="7">
        <v>135</v>
      </c>
      <c r="AC636" s="7" t="s">
        <v>376</v>
      </c>
      <c r="AD636" s="7" t="s">
        <v>455</v>
      </c>
      <c r="AE636" s="7">
        <v>0.39</v>
      </c>
      <c r="AF636" s="7" t="s">
        <v>153</v>
      </c>
      <c r="AG636" s="7">
        <v>0.1</v>
      </c>
      <c r="AH636" s="7">
        <v>0.03</v>
      </c>
      <c r="AI636" s="7">
        <v>12</v>
      </c>
      <c r="AJ636" s="7">
        <v>2671</v>
      </c>
      <c r="AK636" s="7">
        <v>8494345.0299999993</v>
      </c>
      <c r="AL636" s="7">
        <v>19823369.800000001</v>
      </c>
      <c r="AM636" s="7" t="s">
        <v>343</v>
      </c>
      <c r="AN636" s="7" t="s">
        <v>322</v>
      </c>
      <c r="AO636" s="7">
        <v>65.2</v>
      </c>
      <c r="AP636" s="7" t="s">
        <v>4275</v>
      </c>
      <c r="AQ636" s="7" t="s">
        <v>323</v>
      </c>
      <c r="AR636" s="7" t="s">
        <v>229</v>
      </c>
      <c r="AS636" s="7" t="s">
        <v>357</v>
      </c>
    </row>
    <row r="637" spans="1:45" x14ac:dyDescent="0.3">
      <c r="A637" s="6" t="s">
        <v>2210</v>
      </c>
      <c r="B637" s="6" t="s">
        <v>5214</v>
      </c>
      <c r="C637" s="6" t="s">
        <v>275</v>
      </c>
      <c r="D637" s="6" t="s">
        <v>220</v>
      </c>
      <c r="E637" s="6" t="s">
        <v>20</v>
      </c>
      <c r="F637" s="6" t="s">
        <v>196</v>
      </c>
      <c r="G637" s="6" t="s">
        <v>66</v>
      </c>
      <c r="H637" s="6" t="s">
        <v>236</v>
      </c>
      <c r="I637" s="6" t="s">
        <v>4291</v>
      </c>
      <c r="J637" s="6" t="s">
        <v>136</v>
      </c>
      <c r="K637" s="6" t="s">
        <v>199</v>
      </c>
      <c r="L637" s="6" t="s">
        <v>2211</v>
      </c>
      <c r="M637" s="6" t="s">
        <v>3463</v>
      </c>
      <c r="N637" s="6" t="s">
        <v>5215</v>
      </c>
      <c r="O637" s="6" t="s">
        <v>4274</v>
      </c>
      <c r="P637" s="6">
        <v>23</v>
      </c>
      <c r="Q637" s="6">
        <v>45337361</v>
      </c>
      <c r="R637" s="6">
        <v>0.25</v>
      </c>
      <c r="S637" s="6">
        <v>0.1</v>
      </c>
      <c r="T637" s="6">
        <v>37403322.829999998</v>
      </c>
      <c r="U637" s="6">
        <v>25582538.469999999</v>
      </c>
      <c r="V637" s="6" t="s">
        <v>4374</v>
      </c>
      <c r="W637" s="6">
        <v>0.08</v>
      </c>
      <c r="X637" s="6" t="s">
        <v>2212</v>
      </c>
      <c r="Y637" s="6">
        <v>17943848.170000002</v>
      </c>
      <c r="Z637" s="6">
        <v>19522450.149999999</v>
      </c>
      <c r="AA637" s="6">
        <v>45</v>
      </c>
      <c r="AB637" s="6">
        <v>170</v>
      </c>
      <c r="AC637" s="6"/>
      <c r="AD637" s="6" t="s">
        <v>226</v>
      </c>
      <c r="AE637" s="6">
        <v>0.11</v>
      </c>
      <c r="AF637" s="6" t="s">
        <v>152</v>
      </c>
      <c r="AG637" s="6">
        <v>0.1</v>
      </c>
      <c r="AH637" s="6">
        <v>0.03</v>
      </c>
      <c r="AI637" s="6">
        <v>2</v>
      </c>
      <c r="AJ637" s="6">
        <v>262</v>
      </c>
      <c r="AK637" s="6">
        <v>4968306.1500000004</v>
      </c>
      <c r="AL637" s="6">
        <v>13209983.25</v>
      </c>
      <c r="AM637" s="6" t="s">
        <v>385</v>
      </c>
      <c r="AN637" s="6" t="s">
        <v>356</v>
      </c>
      <c r="AO637" s="6">
        <v>52.5</v>
      </c>
      <c r="AP637" s="6">
        <v>12</v>
      </c>
      <c r="AQ637" s="6"/>
      <c r="AR637" s="6" t="s">
        <v>229</v>
      </c>
      <c r="AS637" s="6" t="s">
        <v>361</v>
      </c>
    </row>
    <row r="638" spans="1:45" x14ac:dyDescent="0.3">
      <c r="A638" s="7" t="s">
        <v>2213</v>
      </c>
      <c r="B638" s="7" t="s">
        <v>4481</v>
      </c>
      <c r="C638" s="7" t="s">
        <v>241</v>
      </c>
      <c r="D638" s="7" t="s">
        <v>250</v>
      </c>
      <c r="E638" s="7" t="s">
        <v>41</v>
      </c>
      <c r="F638" s="7" t="s">
        <v>363</v>
      </c>
      <c r="G638" s="7" t="s">
        <v>28</v>
      </c>
      <c r="H638" s="7"/>
      <c r="I638" s="7"/>
      <c r="J638" s="6" t="s">
        <v>130</v>
      </c>
      <c r="K638" s="7" t="s">
        <v>221</v>
      </c>
      <c r="L638" s="7" t="s">
        <v>2214</v>
      </c>
      <c r="M638" s="7" t="s">
        <v>3746</v>
      </c>
      <c r="N638" s="7" t="s">
        <v>3755</v>
      </c>
      <c r="O638" s="7" t="s">
        <v>5216</v>
      </c>
      <c r="P638" s="7">
        <v>29</v>
      </c>
      <c r="Q638" s="7">
        <v>22347424</v>
      </c>
      <c r="R638" s="7">
        <v>0.15</v>
      </c>
      <c r="S638" s="7">
        <v>0.16</v>
      </c>
      <c r="T638" s="7">
        <v>22034560.059999999</v>
      </c>
      <c r="U638" s="7">
        <v>13810735.42</v>
      </c>
      <c r="V638" s="7">
        <v>0.08</v>
      </c>
      <c r="W638" s="7">
        <v>0.18</v>
      </c>
      <c r="X638" s="7" t="s">
        <v>790</v>
      </c>
      <c r="Y638" s="7">
        <v>12003113.76</v>
      </c>
      <c r="Z638" s="7">
        <v>6887901.3399999999</v>
      </c>
      <c r="AA638" s="7">
        <v>45</v>
      </c>
      <c r="AB638" s="7">
        <v>14</v>
      </c>
      <c r="AC638" s="7" t="s">
        <v>329</v>
      </c>
      <c r="AD638" s="7" t="s">
        <v>336</v>
      </c>
      <c r="AE638" s="7">
        <v>0.4</v>
      </c>
      <c r="AF638" s="7" t="s">
        <v>4303</v>
      </c>
      <c r="AG638" s="7">
        <v>0.15</v>
      </c>
      <c r="AH638" s="7">
        <v>0.05</v>
      </c>
      <c r="AI638" s="7">
        <v>1</v>
      </c>
      <c r="AJ638" s="7">
        <v>3178</v>
      </c>
      <c r="AK638" s="7">
        <v>3316736.11</v>
      </c>
      <c r="AL638" s="7">
        <v>4573436.72</v>
      </c>
      <c r="AM638" s="7" t="s">
        <v>343</v>
      </c>
      <c r="AN638" s="7" t="s">
        <v>330</v>
      </c>
      <c r="AO638" s="7">
        <v>67.3</v>
      </c>
      <c r="AP638" s="7">
        <v>12</v>
      </c>
      <c r="AQ638" s="7" t="s">
        <v>337</v>
      </c>
      <c r="AR638" s="7" t="s">
        <v>186</v>
      </c>
      <c r="AS638" s="7" t="s">
        <v>324</v>
      </c>
    </row>
    <row r="639" spans="1:45" x14ac:dyDescent="0.3">
      <c r="A639" s="6" t="s">
        <v>2215</v>
      </c>
      <c r="B639" s="6" t="s">
        <v>3784</v>
      </c>
      <c r="C639" s="6" t="s">
        <v>283</v>
      </c>
      <c r="D639" s="6" t="s">
        <v>245</v>
      </c>
      <c r="E639" s="6" t="s">
        <v>4325</v>
      </c>
      <c r="F639" s="6" t="s">
        <v>339</v>
      </c>
      <c r="G639" s="6" t="s">
        <v>73</v>
      </c>
      <c r="H639" s="6"/>
      <c r="I639" s="6" t="s">
        <v>198</v>
      </c>
      <c r="J639" s="6" t="s">
        <v>115</v>
      </c>
      <c r="K639" s="6" t="s">
        <v>223</v>
      </c>
      <c r="L639" s="6" t="s">
        <v>2216</v>
      </c>
      <c r="M639" s="6" t="s">
        <v>5217</v>
      </c>
      <c r="N639" s="6" t="s">
        <v>3784</v>
      </c>
      <c r="O639" s="6" t="s">
        <v>4084</v>
      </c>
      <c r="P639" s="6">
        <v>32</v>
      </c>
      <c r="Q639" s="6">
        <v>21664089</v>
      </c>
      <c r="R639" s="6">
        <v>0.17</v>
      </c>
      <c r="S639" s="6">
        <v>0.16</v>
      </c>
      <c r="T639" s="6">
        <v>20858184.890000001</v>
      </c>
      <c r="U639" s="6"/>
      <c r="V639" s="6">
        <v>0.25</v>
      </c>
      <c r="W639" s="6">
        <v>0.1</v>
      </c>
      <c r="X639" s="6" t="s">
        <v>2217</v>
      </c>
      <c r="Y639" s="6">
        <v>18537489.710000001</v>
      </c>
      <c r="Z639" s="6">
        <v>18366073.050000001</v>
      </c>
      <c r="AA639" s="6">
        <v>30</v>
      </c>
      <c r="AB639" s="6">
        <v>61</v>
      </c>
      <c r="AC639" s="6"/>
      <c r="AD639" s="6" t="s">
        <v>336</v>
      </c>
      <c r="AE639" s="6">
        <v>0.91</v>
      </c>
      <c r="AF639" s="6"/>
      <c r="AG639" s="6">
        <v>0.15</v>
      </c>
      <c r="AH639" s="6">
        <v>0.09</v>
      </c>
      <c r="AI639" s="6">
        <v>10</v>
      </c>
      <c r="AJ639" s="6">
        <v>3600</v>
      </c>
      <c r="AK639" s="6">
        <v>3626330.88</v>
      </c>
      <c r="AL639" s="6"/>
      <c r="AM639" s="6" t="s">
        <v>321</v>
      </c>
      <c r="AN639" s="6" t="s">
        <v>322</v>
      </c>
      <c r="AO639" s="6">
        <v>85.3</v>
      </c>
      <c r="AP639" s="6">
        <v>24</v>
      </c>
      <c r="AQ639" s="6" t="s">
        <v>4275</v>
      </c>
      <c r="AR639" s="6" t="s">
        <v>192</v>
      </c>
      <c r="AS639" s="6"/>
    </row>
    <row r="640" spans="1:45" x14ac:dyDescent="0.3">
      <c r="A640" s="7" t="s">
        <v>2218</v>
      </c>
      <c r="B640" s="7" t="s">
        <v>3581</v>
      </c>
      <c r="C640" s="7" t="s">
        <v>271</v>
      </c>
      <c r="D640" s="7" t="s">
        <v>255</v>
      </c>
      <c r="E640" s="7" t="s">
        <v>41</v>
      </c>
      <c r="F640" s="7" t="s">
        <v>363</v>
      </c>
      <c r="G640" s="7" t="s">
        <v>57</v>
      </c>
      <c r="H640" s="7" t="s">
        <v>216</v>
      </c>
      <c r="I640" s="7" t="s">
        <v>233</v>
      </c>
      <c r="J640" s="6" t="s">
        <v>105</v>
      </c>
      <c r="K640" s="7" t="s">
        <v>199</v>
      </c>
      <c r="L640" s="7" t="s">
        <v>2219</v>
      </c>
      <c r="M640" s="7" t="s">
        <v>4085</v>
      </c>
      <c r="N640" s="7" t="s">
        <v>4883</v>
      </c>
      <c r="O640" s="7" t="s">
        <v>5218</v>
      </c>
      <c r="P640" s="7">
        <v>7</v>
      </c>
      <c r="Q640" s="7">
        <v>38978201</v>
      </c>
      <c r="R640" s="7">
        <v>0.22</v>
      </c>
      <c r="S640" s="7">
        <v>0.05</v>
      </c>
      <c r="T640" s="7">
        <v>31923146.620000001</v>
      </c>
      <c r="U640" s="7">
        <v>26104864.140000001</v>
      </c>
      <c r="V640" s="7" t="s">
        <v>4374</v>
      </c>
      <c r="W640" s="7">
        <v>0.19</v>
      </c>
      <c r="X640" s="7" t="s">
        <v>2220</v>
      </c>
      <c r="Y640" s="7" t="s">
        <v>158</v>
      </c>
      <c r="Z640" s="7">
        <v>15735514.310000001</v>
      </c>
      <c r="AA640" s="7">
        <v>90</v>
      </c>
      <c r="AB640" s="7">
        <v>42</v>
      </c>
      <c r="AC640" s="7" t="s">
        <v>347</v>
      </c>
      <c r="AD640" s="7" t="s">
        <v>320</v>
      </c>
      <c r="AE640" s="7">
        <v>0.94</v>
      </c>
      <c r="AF640" s="7" t="s">
        <v>4276</v>
      </c>
      <c r="AG640" s="7">
        <v>0.05</v>
      </c>
      <c r="AH640" s="7">
        <v>7.0000000000000007E-2</v>
      </c>
      <c r="AI640" s="7">
        <v>7</v>
      </c>
      <c r="AJ640" s="7">
        <v>1984</v>
      </c>
      <c r="AK640" s="7">
        <v>1006153.65</v>
      </c>
      <c r="AL640" s="7">
        <v>15554315.59</v>
      </c>
      <c r="AM640" s="7" t="s">
        <v>73</v>
      </c>
      <c r="AN640" s="7" t="s">
        <v>386</v>
      </c>
      <c r="AO640" s="7">
        <v>71.3</v>
      </c>
      <c r="AP640" s="7">
        <v>12</v>
      </c>
      <c r="AQ640" s="7" t="s">
        <v>392</v>
      </c>
      <c r="AR640" s="7" t="s">
        <v>224</v>
      </c>
      <c r="AS640" s="7"/>
    </row>
    <row r="641" spans="1:45" x14ac:dyDescent="0.3">
      <c r="A641" s="6" t="s">
        <v>2221</v>
      </c>
      <c r="B641" s="6" t="s">
        <v>5219</v>
      </c>
      <c r="C641" s="6" t="s">
        <v>195</v>
      </c>
      <c r="D641" s="6" t="s">
        <v>265</v>
      </c>
      <c r="E641" s="6" t="s">
        <v>113</v>
      </c>
      <c r="F641" s="6" t="s">
        <v>181</v>
      </c>
      <c r="G641" s="6" t="s">
        <v>73</v>
      </c>
      <c r="H641" s="6" t="s">
        <v>212</v>
      </c>
      <c r="I641" s="6" t="s">
        <v>233</v>
      </c>
      <c r="J641" s="6" t="s">
        <v>127</v>
      </c>
      <c r="K641" s="6" t="s">
        <v>333</v>
      </c>
      <c r="L641" s="6" t="s">
        <v>2222</v>
      </c>
      <c r="M641" s="6" t="s">
        <v>5209</v>
      </c>
      <c r="N641" s="6"/>
      <c r="O641" s="6" t="s">
        <v>4493</v>
      </c>
      <c r="P641" s="6">
        <v>49</v>
      </c>
      <c r="Q641" s="6">
        <v>28357077</v>
      </c>
      <c r="R641" s="6">
        <v>0.05</v>
      </c>
      <c r="S641" s="6">
        <v>0.02</v>
      </c>
      <c r="T641" s="6">
        <v>27478007.609999999</v>
      </c>
      <c r="U641" s="6">
        <v>18498290.359999999</v>
      </c>
      <c r="V641" s="6">
        <v>0.25</v>
      </c>
      <c r="W641" s="6">
        <v>0.17</v>
      </c>
      <c r="X641" s="6" t="s">
        <v>2223</v>
      </c>
      <c r="Y641" s="6">
        <v>12943162.83</v>
      </c>
      <c r="Z641" s="6">
        <v>9147100</v>
      </c>
      <c r="AA641" s="6">
        <v>30</v>
      </c>
      <c r="AB641" s="6">
        <v>176</v>
      </c>
      <c r="AC641" s="6" t="s">
        <v>347</v>
      </c>
      <c r="AD641" s="6" t="s">
        <v>381</v>
      </c>
      <c r="AE641" s="6">
        <v>0.08</v>
      </c>
      <c r="AF641" s="6" t="s">
        <v>152</v>
      </c>
      <c r="AG641" s="6">
        <v>0.1</v>
      </c>
      <c r="AH641" s="6">
        <v>0.06</v>
      </c>
      <c r="AI641" s="6">
        <v>9</v>
      </c>
      <c r="AJ641" s="6">
        <v>4361</v>
      </c>
      <c r="AK641" s="6">
        <v>4185045.78</v>
      </c>
      <c r="AL641" s="6">
        <v>8503627.7400000002</v>
      </c>
      <c r="AM641" s="6" t="s">
        <v>343</v>
      </c>
      <c r="AN641" s="6" t="s">
        <v>356</v>
      </c>
      <c r="AO641" s="6">
        <v>77.7</v>
      </c>
      <c r="AP641" s="6">
        <v>24</v>
      </c>
      <c r="AQ641" s="6"/>
      <c r="AR641" s="6" t="s">
        <v>224</v>
      </c>
      <c r="AS641" s="6" t="s">
        <v>324</v>
      </c>
    </row>
    <row r="642" spans="1:45" x14ac:dyDescent="0.3">
      <c r="A642" s="7" t="s">
        <v>2224</v>
      </c>
      <c r="B642" s="7" t="s">
        <v>5161</v>
      </c>
      <c r="C642" s="7" t="s">
        <v>195</v>
      </c>
      <c r="D642" s="7" t="s">
        <v>394</v>
      </c>
      <c r="E642" s="7" t="s">
        <v>113</v>
      </c>
      <c r="F642" s="7" t="s">
        <v>367</v>
      </c>
      <c r="G642" s="7" t="s">
        <v>38</v>
      </c>
      <c r="H642" s="7" t="s">
        <v>263</v>
      </c>
      <c r="I642" s="7"/>
      <c r="J642" s="7" t="s">
        <v>123</v>
      </c>
      <c r="K642" s="7" t="s">
        <v>333</v>
      </c>
      <c r="L642" s="7" t="s">
        <v>2225</v>
      </c>
      <c r="M642" s="7" t="s">
        <v>4774</v>
      </c>
      <c r="N642" s="7" t="s">
        <v>5220</v>
      </c>
      <c r="O642" s="7" t="s">
        <v>3470</v>
      </c>
      <c r="P642" s="7">
        <v>36</v>
      </c>
      <c r="Q642" s="7">
        <v>42495946</v>
      </c>
      <c r="R642" s="7">
        <v>0.03</v>
      </c>
      <c r="S642" s="7">
        <v>-0.03</v>
      </c>
      <c r="T642" s="7">
        <v>39984435.590000004</v>
      </c>
      <c r="U642" s="7">
        <v>27831341.050000001</v>
      </c>
      <c r="V642" s="7">
        <v>7.0000000000000007E-2</v>
      </c>
      <c r="W642" s="7">
        <v>0.08</v>
      </c>
      <c r="X642" s="7" t="s">
        <v>2226</v>
      </c>
      <c r="Y642" s="7">
        <v>32688971.75</v>
      </c>
      <c r="Z642" s="7">
        <v>26967500.370000001</v>
      </c>
      <c r="AA642" s="7">
        <v>45</v>
      </c>
      <c r="AB642" s="7">
        <v>91</v>
      </c>
      <c r="AC642" s="7" t="s">
        <v>347</v>
      </c>
      <c r="AD642" s="7" t="s">
        <v>381</v>
      </c>
      <c r="AE642" s="7">
        <v>0.62</v>
      </c>
      <c r="AF642" s="7" t="s">
        <v>159</v>
      </c>
      <c r="AG642" s="7">
        <v>0.15</v>
      </c>
      <c r="AH642" s="7">
        <v>0.01</v>
      </c>
      <c r="AI642" s="7">
        <v>9</v>
      </c>
      <c r="AJ642" s="7">
        <v>4516</v>
      </c>
      <c r="AK642" s="7">
        <v>5040484.54</v>
      </c>
      <c r="AL642" s="7">
        <v>15189630.74</v>
      </c>
      <c r="AM642" s="7"/>
      <c r="AN642" s="7"/>
      <c r="AO642" s="7">
        <v>82.4</v>
      </c>
      <c r="AP642" s="7">
        <v>60</v>
      </c>
      <c r="AQ642" s="7" t="s">
        <v>392</v>
      </c>
      <c r="AR642" s="7" t="s">
        <v>224</v>
      </c>
      <c r="AS642" s="7" t="s">
        <v>357</v>
      </c>
    </row>
    <row r="643" spans="1:45" x14ac:dyDescent="0.3">
      <c r="A643" s="6" t="s">
        <v>2227</v>
      </c>
      <c r="B643" s="6" t="s">
        <v>5221</v>
      </c>
      <c r="C643" s="6" t="s">
        <v>266</v>
      </c>
      <c r="D643" s="6" t="s">
        <v>202</v>
      </c>
      <c r="E643" s="6" t="s">
        <v>41</v>
      </c>
      <c r="F643" s="6" t="s">
        <v>228</v>
      </c>
      <c r="G643" s="6" t="s">
        <v>57</v>
      </c>
      <c r="H643" s="6" t="s">
        <v>197</v>
      </c>
      <c r="I643" s="6" t="s">
        <v>203</v>
      </c>
      <c r="J643" s="6" t="s">
        <v>105</v>
      </c>
      <c r="K643" s="6" t="s">
        <v>210</v>
      </c>
      <c r="L643" s="6" t="s">
        <v>2228</v>
      </c>
      <c r="M643" s="6" t="s">
        <v>4087</v>
      </c>
      <c r="N643" s="6" t="s">
        <v>4088</v>
      </c>
      <c r="O643" s="6" t="s">
        <v>5222</v>
      </c>
      <c r="P643" s="6">
        <v>36</v>
      </c>
      <c r="Q643" s="6">
        <v>42041341</v>
      </c>
      <c r="R643" s="6">
        <v>0.31</v>
      </c>
      <c r="S643" s="6">
        <v>0.15</v>
      </c>
      <c r="T643" s="6">
        <v>33359804.079999998</v>
      </c>
      <c r="U643" s="6">
        <v>29933473.48</v>
      </c>
      <c r="V643" s="6">
        <v>0.2</v>
      </c>
      <c r="W643" s="6">
        <v>0.06</v>
      </c>
      <c r="X643" s="6" t="s">
        <v>2229</v>
      </c>
      <c r="Y643" s="6">
        <v>21677113.02</v>
      </c>
      <c r="Z643" s="6">
        <v>9630890.3599999994</v>
      </c>
      <c r="AA643" s="6">
        <v>90</v>
      </c>
      <c r="AB643" s="6">
        <v>63</v>
      </c>
      <c r="AC643" s="6" t="s">
        <v>353</v>
      </c>
      <c r="AD643" s="6" t="s">
        <v>406</v>
      </c>
      <c r="AE643" s="6">
        <v>0.53</v>
      </c>
      <c r="AF643" s="6" t="s">
        <v>162</v>
      </c>
      <c r="AG643" s="6">
        <v>0.05</v>
      </c>
      <c r="AH643" s="6">
        <v>0.05</v>
      </c>
      <c r="AI643" s="6">
        <v>11</v>
      </c>
      <c r="AJ643" s="6"/>
      <c r="AK643" s="6">
        <v>3568045.35</v>
      </c>
      <c r="AL643" s="6">
        <v>9770079.0700000003</v>
      </c>
      <c r="AM643" s="6"/>
      <c r="AN643" s="6" t="s">
        <v>348</v>
      </c>
      <c r="AO643" s="6">
        <v>95.4</v>
      </c>
      <c r="AP643" s="6">
        <v>24</v>
      </c>
      <c r="AQ643" s="6"/>
      <c r="AR643" s="6" t="s">
        <v>186</v>
      </c>
      <c r="AS643" s="6" t="s">
        <v>357</v>
      </c>
    </row>
    <row r="644" spans="1:45" x14ac:dyDescent="0.3">
      <c r="A644" s="7" t="s">
        <v>2230</v>
      </c>
      <c r="B644" s="7" t="s">
        <v>5223</v>
      </c>
      <c r="C644" s="7" t="s">
        <v>278</v>
      </c>
      <c r="D644" s="7" t="s">
        <v>232</v>
      </c>
      <c r="E644" s="7" t="s">
        <v>4325</v>
      </c>
      <c r="F644" s="7" t="s">
        <v>339</v>
      </c>
      <c r="G644" s="7" t="s">
        <v>46</v>
      </c>
      <c r="H644" s="7" t="s">
        <v>4275</v>
      </c>
      <c r="I644" s="7" t="s">
        <v>191</v>
      </c>
      <c r="J644" s="7" t="s">
        <v>115</v>
      </c>
      <c r="K644" s="7" t="s">
        <v>326</v>
      </c>
      <c r="L644" s="7" t="s">
        <v>2231</v>
      </c>
      <c r="M644" s="7" t="s">
        <v>5224</v>
      </c>
      <c r="N644" s="7" t="s">
        <v>5225</v>
      </c>
      <c r="O644" s="7" t="s">
        <v>4078</v>
      </c>
      <c r="P644" s="7">
        <v>30</v>
      </c>
      <c r="Q644" s="7">
        <v>31428087</v>
      </c>
      <c r="R644" s="7">
        <v>0.03</v>
      </c>
      <c r="S644" s="7">
        <v>0.18</v>
      </c>
      <c r="T644" s="7">
        <v>35972588.380000003</v>
      </c>
      <c r="U644" s="7">
        <v>24277783.149999999</v>
      </c>
      <c r="V644" s="7">
        <v>0.35</v>
      </c>
      <c r="W644" s="7">
        <v>0.06</v>
      </c>
      <c r="X644" s="7" t="s">
        <v>2232</v>
      </c>
      <c r="Y644" s="7">
        <v>10415263.08</v>
      </c>
      <c r="Z644" s="7">
        <v>10136364.18</v>
      </c>
      <c r="AA644" s="7">
        <v>90</v>
      </c>
      <c r="AB644" s="7">
        <v>67</v>
      </c>
      <c r="AC644" s="7"/>
      <c r="AD644" s="7" t="s">
        <v>354</v>
      </c>
      <c r="AE644" s="7">
        <v>0.71</v>
      </c>
      <c r="AF644" s="7" t="s">
        <v>4276</v>
      </c>
      <c r="AG644" s="7">
        <v>0.05</v>
      </c>
      <c r="AH644" s="7">
        <v>7.0000000000000007E-2</v>
      </c>
      <c r="AI644" s="7">
        <v>9</v>
      </c>
      <c r="AJ644" s="7">
        <v>3399</v>
      </c>
      <c r="AK644" s="7">
        <v>7722478.9199999999</v>
      </c>
      <c r="AL644" s="7">
        <v>17562610.5</v>
      </c>
      <c r="AM644" s="7" t="s">
        <v>385</v>
      </c>
      <c r="AN644" s="7" t="s">
        <v>330</v>
      </c>
      <c r="AO644" s="7">
        <v>86.8</v>
      </c>
      <c r="AP644" s="7">
        <v>60</v>
      </c>
      <c r="AQ644" s="7" t="s">
        <v>4275</v>
      </c>
      <c r="AR644" s="7" t="s">
        <v>186</v>
      </c>
      <c r="AS644" s="7" t="s">
        <v>357</v>
      </c>
    </row>
    <row r="645" spans="1:45" x14ac:dyDescent="0.3">
      <c r="A645" s="6" t="s">
        <v>2233</v>
      </c>
      <c r="B645" s="6" t="s">
        <v>4089</v>
      </c>
      <c r="C645" s="6" t="s">
        <v>219</v>
      </c>
      <c r="D645" s="6" t="s">
        <v>190</v>
      </c>
      <c r="E645" s="6" t="s">
        <v>36</v>
      </c>
      <c r="F645" s="6"/>
      <c r="G645" s="6" t="s">
        <v>78</v>
      </c>
      <c r="H645" s="6" t="s">
        <v>216</v>
      </c>
      <c r="I645" s="6" t="s">
        <v>4289</v>
      </c>
      <c r="J645" s="6" t="s">
        <v>115</v>
      </c>
      <c r="K645" s="6" t="s">
        <v>223</v>
      </c>
      <c r="L645" s="6" t="s">
        <v>2234</v>
      </c>
      <c r="M645" s="6" t="s">
        <v>3653</v>
      </c>
      <c r="N645" s="6" t="s">
        <v>5226</v>
      </c>
      <c r="O645" s="6" t="s">
        <v>4090</v>
      </c>
      <c r="P645" s="6">
        <v>46</v>
      </c>
      <c r="Q645" s="6">
        <v>4262262</v>
      </c>
      <c r="R645" s="6">
        <v>7.0000000000000007E-2</v>
      </c>
      <c r="S645" s="6">
        <v>7.0000000000000007E-2</v>
      </c>
      <c r="T645" s="6">
        <v>4241376.92</v>
      </c>
      <c r="U645" s="6">
        <v>3700173.39</v>
      </c>
      <c r="V645" s="6">
        <v>0.18</v>
      </c>
      <c r="W645" s="6">
        <v>0.15</v>
      </c>
      <c r="X645" s="6" t="s">
        <v>2235</v>
      </c>
      <c r="Y645" s="6">
        <v>2047624.93</v>
      </c>
      <c r="Z645" s="6">
        <v>1315928.3899999999</v>
      </c>
      <c r="AA645" s="6">
        <v>45</v>
      </c>
      <c r="AB645" s="6">
        <v>161</v>
      </c>
      <c r="AC645" s="6"/>
      <c r="AD645" s="6" t="s">
        <v>381</v>
      </c>
      <c r="AE645" s="6">
        <v>0.33</v>
      </c>
      <c r="AF645" s="6" t="s">
        <v>4319</v>
      </c>
      <c r="AG645" s="6">
        <v>0.15</v>
      </c>
      <c r="AH645" s="6">
        <v>0.09</v>
      </c>
      <c r="AI645" s="6">
        <v>12</v>
      </c>
      <c r="AJ645" s="6">
        <v>3800</v>
      </c>
      <c r="AK645" s="6">
        <v>329621.03999999998</v>
      </c>
      <c r="AL645" s="6">
        <v>1790595.26</v>
      </c>
      <c r="AM645" s="6" t="s">
        <v>385</v>
      </c>
      <c r="AN645" s="6" t="s">
        <v>356</v>
      </c>
      <c r="AO645" s="6">
        <v>88.6</v>
      </c>
      <c r="AP645" s="6">
        <v>24</v>
      </c>
      <c r="AQ645" s="6"/>
      <c r="AR645" s="6" t="s">
        <v>186</v>
      </c>
      <c r="AS645" s="6" t="s">
        <v>324</v>
      </c>
    </row>
    <row r="646" spans="1:45" x14ac:dyDescent="0.3">
      <c r="A646" s="7" t="s">
        <v>2236</v>
      </c>
      <c r="B646" s="7" t="s">
        <v>3279</v>
      </c>
      <c r="C646" s="7" t="s">
        <v>266</v>
      </c>
      <c r="D646" s="7" t="s">
        <v>281</v>
      </c>
      <c r="E646" s="7" t="s">
        <v>20</v>
      </c>
      <c r="F646" s="7" t="s">
        <v>31</v>
      </c>
      <c r="G646" s="7" t="s">
        <v>38</v>
      </c>
      <c r="H646" s="7" t="s">
        <v>263</v>
      </c>
      <c r="I646" s="7" t="s">
        <v>4289</v>
      </c>
      <c r="J646" s="7" t="s">
        <v>136</v>
      </c>
      <c r="K646" s="7" t="s">
        <v>223</v>
      </c>
      <c r="L646" s="7" t="s">
        <v>2237</v>
      </c>
      <c r="M646" s="7" t="s">
        <v>5227</v>
      </c>
      <c r="N646" s="7" t="s">
        <v>5036</v>
      </c>
      <c r="O646" s="7" t="s">
        <v>4747</v>
      </c>
      <c r="P646" s="7" t="s">
        <v>4275</v>
      </c>
      <c r="Q646" s="7">
        <v>37798840</v>
      </c>
      <c r="R646" s="7">
        <v>0.27</v>
      </c>
      <c r="S646" s="7">
        <v>0.14000000000000001</v>
      </c>
      <c r="T646" s="7">
        <v>31456194.649999999</v>
      </c>
      <c r="U646" s="7">
        <v>20423122.48</v>
      </c>
      <c r="V646" s="7">
        <v>0.24</v>
      </c>
      <c r="W646" s="7">
        <v>0.19</v>
      </c>
      <c r="X646" s="7" t="s">
        <v>2238</v>
      </c>
      <c r="Y646" s="7" t="s">
        <v>158</v>
      </c>
      <c r="Z646" s="7">
        <v>12710501.289999999</v>
      </c>
      <c r="AA646" s="7">
        <v>30</v>
      </c>
      <c r="AB646" s="7">
        <v>147</v>
      </c>
      <c r="AC646" s="7" t="s">
        <v>329</v>
      </c>
      <c r="AD646" s="7" t="s">
        <v>354</v>
      </c>
      <c r="AE646" s="7">
        <v>0.98</v>
      </c>
      <c r="AF646" s="7"/>
      <c r="AG646" s="7">
        <v>0.05</v>
      </c>
      <c r="AH646" s="7">
        <v>0.09</v>
      </c>
      <c r="AI646" s="7">
        <v>4</v>
      </c>
      <c r="AJ646" s="7">
        <v>1850</v>
      </c>
      <c r="AK646" s="7"/>
      <c r="AL646" s="7">
        <v>5140110.45</v>
      </c>
      <c r="AM646" s="7" t="s">
        <v>343</v>
      </c>
      <c r="AN646" s="7" t="s">
        <v>322</v>
      </c>
      <c r="AO646" s="7"/>
      <c r="AP646" s="7">
        <v>48</v>
      </c>
      <c r="AQ646" s="7" t="s">
        <v>4275</v>
      </c>
      <c r="AR646" s="7" t="s">
        <v>206</v>
      </c>
      <c r="AS646" s="7"/>
    </row>
    <row r="647" spans="1:45" x14ac:dyDescent="0.3">
      <c r="A647" s="6" t="s">
        <v>2239</v>
      </c>
      <c r="B647" s="6" t="s">
        <v>4091</v>
      </c>
      <c r="C647" s="6" t="s">
        <v>244</v>
      </c>
      <c r="D647" s="6" t="s">
        <v>262</v>
      </c>
      <c r="E647" s="6" t="s">
        <v>4325</v>
      </c>
      <c r="F647" s="6" t="s">
        <v>339</v>
      </c>
      <c r="G647" s="6" t="s">
        <v>73</v>
      </c>
      <c r="H647" s="6" t="s">
        <v>197</v>
      </c>
      <c r="I647" s="6" t="s">
        <v>198</v>
      </c>
      <c r="J647" s="6" t="s">
        <v>115</v>
      </c>
      <c r="K647" s="6" t="s">
        <v>204</v>
      </c>
      <c r="L647" s="6" t="s">
        <v>2240</v>
      </c>
      <c r="M647" s="6" t="s">
        <v>5125</v>
      </c>
      <c r="N647" s="6" t="s">
        <v>5228</v>
      </c>
      <c r="O647" s="6" t="s">
        <v>5175</v>
      </c>
      <c r="P647" s="6">
        <v>59</v>
      </c>
      <c r="Q647" s="6">
        <v>36885970</v>
      </c>
      <c r="R647" s="6">
        <v>0.33</v>
      </c>
      <c r="S647" s="6">
        <v>0.04</v>
      </c>
      <c r="T647" s="6">
        <v>25702143.899999999</v>
      </c>
      <c r="U647" s="6">
        <v>18451041.960000001</v>
      </c>
      <c r="V647" s="6">
        <v>0.12</v>
      </c>
      <c r="W647" s="6">
        <v>0.05</v>
      </c>
      <c r="X647" s="6" t="s">
        <v>2241</v>
      </c>
      <c r="Y647" s="6">
        <v>3475507.37</v>
      </c>
      <c r="Z647" s="6">
        <v>3345713.47</v>
      </c>
      <c r="AA647" s="6">
        <v>120</v>
      </c>
      <c r="AB647" s="6">
        <v>150</v>
      </c>
      <c r="AC647" s="6" t="s">
        <v>347</v>
      </c>
      <c r="AD647" s="6" t="s">
        <v>320</v>
      </c>
      <c r="AE647" s="6">
        <v>0.72</v>
      </c>
      <c r="AF647" s="6" t="s">
        <v>4319</v>
      </c>
      <c r="AG647" s="6">
        <v>0.15</v>
      </c>
      <c r="AH647" s="6">
        <v>0.02</v>
      </c>
      <c r="AI647" s="6">
        <v>6</v>
      </c>
      <c r="AJ647" s="6">
        <v>1257</v>
      </c>
      <c r="AK647" s="6">
        <v>598467.86</v>
      </c>
      <c r="AL647" s="6">
        <v>9777082.4800000004</v>
      </c>
      <c r="AM647" s="6" t="s">
        <v>385</v>
      </c>
      <c r="AN647" s="6" t="s">
        <v>348</v>
      </c>
      <c r="AO647" s="6">
        <v>52.1</v>
      </c>
      <c r="AP647" s="6">
        <v>60</v>
      </c>
      <c r="AQ647" s="6"/>
      <c r="AR647" s="6" t="s">
        <v>192</v>
      </c>
      <c r="AS647" s="6" t="s">
        <v>377</v>
      </c>
    </row>
    <row r="648" spans="1:45" x14ac:dyDescent="0.3">
      <c r="A648" s="7" t="s">
        <v>2242</v>
      </c>
      <c r="B648" s="7" t="s">
        <v>4092</v>
      </c>
      <c r="C648" s="7" t="s">
        <v>243</v>
      </c>
      <c r="D648" s="7" t="s">
        <v>215</v>
      </c>
      <c r="E648" s="7" t="s">
        <v>4306</v>
      </c>
      <c r="F648" s="7" t="s">
        <v>75</v>
      </c>
      <c r="G648" s="7" t="s">
        <v>73</v>
      </c>
      <c r="H648" s="7" t="s">
        <v>4280</v>
      </c>
      <c r="I648" s="7" t="s">
        <v>233</v>
      </c>
      <c r="J648" s="7" t="s">
        <v>133</v>
      </c>
      <c r="K648" s="7" t="s">
        <v>326</v>
      </c>
      <c r="L648" s="7" t="s">
        <v>2243</v>
      </c>
      <c r="M648" s="7" t="s">
        <v>4093</v>
      </c>
      <c r="N648" s="7" t="s">
        <v>3516</v>
      </c>
      <c r="O648" s="7" t="s">
        <v>4871</v>
      </c>
      <c r="P648" s="7">
        <v>36</v>
      </c>
      <c r="Q648" s="7">
        <v>6260258</v>
      </c>
      <c r="R648" s="7">
        <v>0.16</v>
      </c>
      <c r="S648" s="7">
        <v>0.2</v>
      </c>
      <c r="T648" s="7">
        <v>6310340.0599999996</v>
      </c>
      <c r="U648" s="7">
        <v>3855084.74</v>
      </c>
      <c r="V648" s="7">
        <v>0.32</v>
      </c>
      <c r="W648" s="7">
        <v>0.16</v>
      </c>
      <c r="X648" s="7" t="s">
        <v>2244</v>
      </c>
      <c r="Y648" s="7">
        <v>1678600.99</v>
      </c>
      <c r="Z648" s="7">
        <v>1379135.74</v>
      </c>
      <c r="AA648" s="7">
        <v>45</v>
      </c>
      <c r="AB648" s="7">
        <v>175</v>
      </c>
      <c r="AC648" s="7" t="s">
        <v>347</v>
      </c>
      <c r="AD648" s="7" t="s">
        <v>455</v>
      </c>
      <c r="AE648" s="7">
        <v>0.08</v>
      </c>
      <c r="AF648" s="7" t="s">
        <v>159</v>
      </c>
      <c r="AG648" s="7">
        <v>0.05</v>
      </c>
      <c r="AH648" s="7">
        <v>0.02</v>
      </c>
      <c r="AI648" s="7">
        <v>3</v>
      </c>
      <c r="AJ648" s="7">
        <v>154</v>
      </c>
      <c r="AK648" s="7">
        <v>768002.7</v>
      </c>
      <c r="AL648" s="7">
        <v>1477882.8</v>
      </c>
      <c r="AM648" s="7" t="s">
        <v>355</v>
      </c>
      <c r="AN648" s="7" t="s">
        <v>356</v>
      </c>
      <c r="AO648" s="7">
        <v>53</v>
      </c>
      <c r="AP648" s="7">
        <v>60</v>
      </c>
      <c r="AQ648" s="7" t="s">
        <v>392</v>
      </c>
      <c r="AR648" s="7" t="s">
        <v>192</v>
      </c>
      <c r="AS648" s="7" t="s">
        <v>361</v>
      </c>
    </row>
    <row r="649" spans="1:45" x14ac:dyDescent="0.3">
      <c r="A649" s="6" t="s">
        <v>2245</v>
      </c>
      <c r="B649" s="6" t="s">
        <v>4465</v>
      </c>
      <c r="C649" s="6" t="s">
        <v>260</v>
      </c>
      <c r="D649" s="6" t="s">
        <v>265</v>
      </c>
      <c r="E649" s="6" t="s">
        <v>4270</v>
      </c>
      <c r="F649" s="6" t="s">
        <v>181</v>
      </c>
      <c r="G649" s="6" t="s">
        <v>80</v>
      </c>
      <c r="H649" s="6" t="s">
        <v>216</v>
      </c>
      <c r="I649" s="6" t="s">
        <v>4289</v>
      </c>
      <c r="J649" s="6" t="s">
        <v>127</v>
      </c>
      <c r="K649" s="6" t="s">
        <v>223</v>
      </c>
      <c r="L649" s="6" t="s">
        <v>2246</v>
      </c>
      <c r="M649" s="6" t="s">
        <v>3687</v>
      </c>
      <c r="N649" s="6"/>
      <c r="O649" s="6" t="s">
        <v>5229</v>
      </c>
      <c r="P649" s="6">
        <v>30</v>
      </c>
      <c r="Q649" s="6">
        <v>26296054</v>
      </c>
      <c r="R649" s="6">
        <v>0.22</v>
      </c>
      <c r="S649" s="6">
        <v>0.09</v>
      </c>
      <c r="T649" s="6">
        <v>22356905.109999999</v>
      </c>
      <c r="U649" s="6">
        <v>15108225.23</v>
      </c>
      <c r="V649" s="6">
        <v>0.38</v>
      </c>
      <c r="W649" s="6">
        <v>0.15</v>
      </c>
      <c r="X649" s="6" t="s">
        <v>2247</v>
      </c>
      <c r="Y649" s="6">
        <v>6588730.0099999998</v>
      </c>
      <c r="Z649" s="6">
        <v>7177768.8899999997</v>
      </c>
      <c r="AA649" s="6">
        <v>45</v>
      </c>
      <c r="AB649" s="6">
        <v>38</v>
      </c>
      <c r="AC649" s="6" t="s">
        <v>353</v>
      </c>
      <c r="AD649" s="6" t="s">
        <v>226</v>
      </c>
      <c r="AE649" s="6">
        <v>0.9</v>
      </c>
      <c r="AF649" s="6" t="s">
        <v>4319</v>
      </c>
      <c r="AG649" s="6">
        <v>0.1</v>
      </c>
      <c r="AH649" s="6">
        <v>0.04</v>
      </c>
      <c r="AI649" s="6">
        <v>5</v>
      </c>
      <c r="AJ649" s="6">
        <v>2933</v>
      </c>
      <c r="AK649" s="6">
        <v>4614174.88</v>
      </c>
      <c r="AL649" s="6">
        <v>10455074.25</v>
      </c>
      <c r="AM649" s="6" t="s">
        <v>73</v>
      </c>
      <c r="AN649" s="6"/>
      <c r="AO649" s="6">
        <v>88.2</v>
      </c>
      <c r="AP649" s="6">
        <v>24</v>
      </c>
      <c r="AQ649" s="6" t="s">
        <v>392</v>
      </c>
      <c r="AR649" s="6" t="s">
        <v>224</v>
      </c>
      <c r="AS649" s="6" t="s">
        <v>357</v>
      </c>
    </row>
    <row r="650" spans="1:45" x14ac:dyDescent="0.3">
      <c r="A650" s="7" t="s">
        <v>2248</v>
      </c>
      <c r="B650" s="7" t="s">
        <v>3720</v>
      </c>
      <c r="C650" s="7" t="s">
        <v>195</v>
      </c>
      <c r="D650" s="7" t="s">
        <v>215</v>
      </c>
      <c r="E650" s="7"/>
      <c r="F650" s="7" t="s">
        <v>228</v>
      </c>
      <c r="G650" s="7" t="s">
        <v>50</v>
      </c>
      <c r="H650" s="7" t="s">
        <v>4266</v>
      </c>
      <c r="I650" s="7" t="s">
        <v>198</v>
      </c>
      <c r="J650" s="7" t="s">
        <v>99</v>
      </c>
      <c r="K650" s="7" t="s">
        <v>199</v>
      </c>
      <c r="L650" s="7" t="s">
        <v>2249</v>
      </c>
      <c r="M650" s="7" t="s">
        <v>3610</v>
      </c>
      <c r="N650" s="7"/>
      <c r="O650" s="7" t="s">
        <v>5230</v>
      </c>
      <c r="P650" s="7">
        <v>47</v>
      </c>
      <c r="Q650" s="7">
        <v>45261831</v>
      </c>
      <c r="R650" s="7">
        <v>0.32</v>
      </c>
      <c r="S650" s="7">
        <v>-0.03</v>
      </c>
      <c r="T650" s="7">
        <v>29854703.73</v>
      </c>
      <c r="U650" s="7">
        <v>21185268.66</v>
      </c>
      <c r="V650" s="7">
        <v>0.11</v>
      </c>
      <c r="W650" s="7">
        <v>0.09</v>
      </c>
      <c r="X650" s="7" t="s">
        <v>2250</v>
      </c>
      <c r="Y650" s="7">
        <v>21442174.609999999</v>
      </c>
      <c r="Z650" s="7">
        <v>9537438.1500000004</v>
      </c>
      <c r="AA650" s="7">
        <v>120</v>
      </c>
      <c r="AB650" s="7">
        <v>151</v>
      </c>
      <c r="AC650" s="7" t="s">
        <v>342</v>
      </c>
      <c r="AD650" s="7" t="s">
        <v>320</v>
      </c>
      <c r="AE650" s="7">
        <v>0.86</v>
      </c>
      <c r="AF650" s="7" t="s">
        <v>152</v>
      </c>
      <c r="AG650" s="7">
        <v>0.15</v>
      </c>
      <c r="AH650" s="7">
        <v>0.04</v>
      </c>
      <c r="AI650" s="7">
        <v>3</v>
      </c>
      <c r="AJ650" s="7">
        <v>2317</v>
      </c>
      <c r="AK650" s="7">
        <v>5806650.46</v>
      </c>
      <c r="AL650" s="7">
        <v>14603855.84</v>
      </c>
      <c r="AM650" s="7" t="s">
        <v>343</v>
      </c>
      <c r="AN650" s="7" t="s">
        <v>330</v>
      </c>
      <c r="AO650" s="7">
        <v>89.4</v>
      </c>
      <c r="AP650" s="7">
        <v>24</v>
      </c>
      <c r="AQ650" s="7" t="s">
        <v>337</v>
      </c>
      <c r="AR650" s="7" t="s">
        <v>206</v>
      </c>
      <c r="AS650" s="7" t="s">
        <v>357</v>
      </c>
    </row>
    <row r="651" spans="1:45" x14ac:dyDescent="0.3">
      <c r="A651" s="6" t="s">
        <v>2251</v>
      </c>
      <c r="B651" s="6" t="s">
        <v>4095</v>
      </c>
      <c r="C651" s="6" t="s">
        <v>189</v>
      </c>
      <c r="D651" s="6" t="s">
        <v>215</v>
      </c>
      <c r="E651" s="6"/>
      <c r="F651" s="6" t="s">
        <v>367</v>
      </c>
      <c r="G651" s="6" t="s">
        <v>57</v>
      </c>
      <c r="H651" s="6" t="s">
        <v>4280</v>
      </c>
      <c r="I651" s="6" t="s">
        <v>4372</v>
      </c>
      <c r="J651" s="6" t="s">
        <v>99</v>
      </c>
      <c r="K651" s="6" t="s">
        <v>333</v>
      </c>
      <c r="L651" s="6" t="s">
        <v>2252</v>
      </c>
      <c r="M651" s="6" t="s">
        <v>5231</v>
      </c>
      <c r="N651" s="6" t="s">
        <v>5232</v>
      </c>
      <c r="O651" s="6" t="s">
        <v>4274</v>
      </c>
      <c r="P651" s="6">
        <v>16</v>
      </c>
      <c r="Q651" s="6">
        <v>10558913</v>
      </c>
      <c r="R651" s="6">
        <v>0.3</v>
      </c>
      <c r="S651" s="6">
        <v>0.09</v>
      </c>
      <c r="T651" s="6">
        <v>8056450.6200000001</v>
      </c>
      <c r="U651" s="6">
        <v>5245705.13</v>
      </c>
      <c r="V651" s="6">
        <v>7.0000000000000007E-2</v>
      </c>
      <c r="W651" s="6">
        <v>0.09</v>
      </c>
      <c r="X651" s="6" t="s">
        <v>2253</v>
      </c>
      <c r="Y651" s="6">
        <v>2843186.25</v>
      </c>
      <c r="Z651" s="6">
        <v>2046059.43</v>
      </c>
      <c r="AA651" s="6">
        <v>45</v>
      </c>
      <c r="AB651" s="6">
        <v>58</v>
      </c>
      <c r="AC651" s="6" t="s">
        <v>342</v>
      </c>
      <c r="AD651" s="6" t="s">
        <v>354</v>
      </c>
      <c r="AE651" s="6">
        <v>0.98</v>
      </c>
      <c r="AF651" s="6" t="s">
        <v>162</v>
      </c>
      <c r="AG651" s="6">
        <v>0.15</v>
      </c>
      <c r="AH651" s="6">
        <v>0.05</v>
      </c>
      <c r="AI651" s="6">
        <v>8</v>
      </c>
      <c r="AJ651" s="6">
        <v>1032</v>
      </c>
      <c r="AK651" s="6">
        <v>627014.30000000005</v>
      </c>
      <c r="AL651" s="6">
        <v>900913.18</v>
      </c>
      <c r="AM651" s="6" t="s">
        <v>385</v>
      </c>
      <c r="AN651" s="6" t="s">
        <v>386</v>
      </c>
      <c r="AO651" s="6">
        <v>84.5</v>
      </c>
      <c r="AP651" s="6">
        <v>36</v>
      </c>
      <c r="AQ651" s="6"/>
      <c r="AR651" s="6" t="s">
        <v>186</v>
      </c>
      <c r="AS651" s="6" t="s">
        <v>361</v>
      </c>
    </row>
    <row r="652" spans="1:45" x14ac:dyDescent="0.3">
      <c r="A652" s="7" t="s">
        <v>2254</v>
      </c>
      <c r="B652" s="7" t="s">
        <v>4566</v>
      </c>
      <c r="C652" s="7" t="s">
        <v>214</v>
      </c>
      <c r="D652" s="7"/>
      <c r="E652" s="7" t="s">
        <v>41</v>
      </c>
      <c r="F652" s="7" t="s">
        <v>363</v>
      </c>
      <c r="G652" s="7" t="s">
        <v>73</v>
      </c>
      <c r="H652" s="7" t="s">
        <v>212</v>
      </c>
      <c r="I652" s="7"/>
      <c r="J652" s="6" t="s">
        <v>130</v>
      </c>
      <c r="K652" s="7" t="s">
        <v>223</v>
      </c>
      <c r="L652" s="7" t="s">
        <v>2255</v>
      </c>
      <c r="M652" s="7" t="s">
        <v>4394</v>
      </c>
      <c r="N652" s="7"/>
      <c r="O652" s="7" t="s">
        <v>5204</v>
      </c>
      <c r="P652" s="7">
        <v>4</v>
      </c>
      <c r="Q652" s="7">
        <v>32866135</v>
      </c>
      <c r="R652" s="7">
        <v>0.27</v>
      </c>
      <c r="S652" s="7">
        <v>7.0000000000000007E-2</v>
      </c>
      <c r="T652" s="7">
        <v>25671738.050000001</v>
      </c>
      <c r="U652" s="7">
        <v>20083260.579999998</v>
      </c>
      <c r="V652" s="7">
        <v>0.22</v>
      </c>
      <c r="W652" s="7">
        <v>0.12</v>
      </c>
      <c r="X652" s="7" t="s">
        <v>2256</v>
      </c>
      <c r="Y652" s="7">
        <v>18319944.469999999</v>
      </c>
      <c r="Z652" s="7">
        <v>14273076.220000001</v>
      </c>
      <c r="AA652" s="7">
        <v>90</v>
      </c>
      <c r="AB652" s="7">
        <v>97</v>
      </c>
      <c r="AC652" s="7" t="s">
        <v>353</v>
      </c>
      <c r="AD652" s="7" t="s">
        <v>406</v>
      </c>
      <c r="AE652" s="7">
        <v>0.94</v>
      </c>
      <c r="AF652" s="7" t="s">
        <v>4294</v>
      </c>
      <c r="AG652" s="7">
        <v>0.1</v>
      </c>
      <c r="AH652" s="7">
        <v>0.02</v>
      </c>
      <c r="AI652" s="7">
        <v>12</v>
      </c>
      <c r="AJ652" s="7">
        <v>1787</v>
      </c>
      <c r="AK652" s="7">
        <v>1095896.79</v>
      </c>
      <c r="AL652" s="7">
        <v>7392232.0999999996</v>
      </c>
      <c r="AM652" s="7" t="s">
        <v>73</v>
      </c>
      <c r="AN652" s="7" t="s">
        <v>322</v>
      </c>
      <c r="AO652" s="7">
        <v>71.5</v>
      </c>
      <c r="AP652" s="7" t="s">
        <v>4275</v>
      </c>
      <c r="AQ652" s="7" t="s">
        <v>4275</v>
      </c>
      <c r="AR652" s="7" t="s">
        <v>224</v>
      </c>
      <c r="AS652" s="7"/>
    </row>
    <row r="653" spans="1:45" x14ac:dyDescent="0.3">
      <c r="A653" s="6" t="s">
        <v>2257</v>
      </c>
      <c r="B653" s="6" t="s">
        <v>5233</v>
      </c>
      <c r="C653" s="6" t="s">
        <v>230</v>
      </c>
      <c r="D653" s="6" t="s">
        <v>190</v>
      </c>
      <c r="E653" s="6" t="s">
        <v>4270</v>
      </c>
      <c r="F653" s="6" t="s">
        <v>367</v>
      </c>
      <c r="G653" s="6" t="s">
        <v>28</v>
      </c>
      <c r="H653" s="6"/>
      <c r="I653" s="6" t="s">
        <v>4272</v>
      </c>
      <c r="J653" s="6" t="s">
        <v>127</v>
      </c>
      <c r="K653" s="6" t="s">
        <v>184</v>
      </c>
      <c r="L653" s="6" t="s">
        <v>2258</v>
      </c>
      <c r="M653" s="6" t="s">
        <v>3702</v>
      </c>
      <c r="N653" s="6"/>
      <c r="O653" s="6" t="s">
        <v>5234</v>
      </c>
      <c r="P653" s="6">
        <v>24</v>
      </c>
      <c r="Q653" s="6">
        <v>26068701</v>
      </c>
      <c r="R653" s="6">
        <v>0.31</v>
      </c>
      <c r="S653" s="6">
        <v>-0.01</v>
      </c>
      <c r="T653" s="6">
        <v>17807529.649999999</v>
      </c>
      <c r="U653" s="6">
        <v>13299255.09</v>
      </c>
      <c r="V653" s="6">
        <v>0.28000000000000003</v>
      </c>
      <c r="W653" s="6">
        <v>0.18</v>
      </c>
      <c r="X653" s="6" t="s">
        <v>2259</v>
      </c>
      <c r="Y653" s="6">
        <v>13453045.26</v>
      </c>
      <c r="Z653" s="6">
        <v>14225916.289999999</v>
      </c>
      <c r="AA653" s="6">
        <v>45</v>
      </c>
      <c r="AB653" s="6">
        <v>157</v>
      </c>
      <c r="AC653" s="6" t="s">
        <v>376</v>
      </c>
      <c r="AD653" s="6" t="s">
        <v>455</v>
      </c>
      <c r="AE653" s="6">
        <v>0.26</v>
      </c>
      <c r="AF653" s="6" t="s">
        <v>4303</v>
      </c>
      <c r="AG653" s="6">
        <v>0.05</v>
      </c>
      <c r="AH653" s="6">
        <v>0.1</v>
      </c>
      <c r="AI653" s="6">
        <v>11</v>
      </c>
      <c r="AJ653" s="6">
        <v>3768</v>
      </c>
      <c r="AK653" s="6">
        <v>2826510.27</v>
      </c>
      <c r="AL653" s="6">
        <v>7421157.2699999996</v>
      </c>
      <c r="AM653" s="6" t="s">
        <v>73</v>
      </c>
      <c r="AN653" s="6" t="s">
        <v>321</v>
      </c>
      <c r="AO653" s="6">
        <v>79.400000000000006</v>
      </c>
      <c r="AP653" s="6">
        <v>36</v>
      </c>
      <c r="AQ653" s="6" t="s">
        <v>392</v>
      </c>
      <c r="AR653" s="6" t="s">
        <v>192</v>
      </c>
      <c r="AS653" s="6" t="s">
        <v>324</v>
      </c>
    </row>
    <row r="654" spans="1:45" x14ac:dyDescent="0.3">
      <c r="A654" s="7" t="s">
        <v>2260</v>
      </c>
      <c r="B654" s="7" t="s">
        <v>4298</v>
      </c>
      <c r="C654" s="7" t="s">
        <v>275</v>
      </c>
      <c r="D654" s="7" t="s">
        <v>250</v>
      </c>
      <c r="E654" s="7" t="s">
        <v>4265</v>
      </c>
      <c r="F654" s="7" t="s">
        <v>363</v>
      </c>
      <c r="G654" s="7" t="s">
        <v>16</v>
      </c>
      <c r="H654" s="7" t="s">
        <v>212</v>
      </c>
      <c r="I654" s="7" t="s">
        <v>4289</v>
      </c>
      <c r="J654" s="7" t="s">
        <v>105</v>
      </c>
      <c r="K654" s="7" t="s">
        <v>210</v>
      </c>
      <c r="L654" s="7" t="s">
        <v>2261</v>
      </c>
      <c r="M654" s="7" t="s">
        <v>4432</v>
      </c>
      <c r="N654" s="7" t="s">
        <v>3675</v>
      </c>
      <c r="O654" s="7" t="s">
        <v>4096</v>
      </c>
      <c r="P654" s="7">
        <v>35</v>
      </c>
      <c r="Q654" s="7">
        <v>13660066</v>
      </c>
      <c r="R654" s="7">
        <v>0.27</v>
      </c>
      <c r="S654" s="7">
        <v>0.01</v>
      </c>
      <c r="T654" s="7">
        <v>10071566.66</v>
      </c>
      <c r="U654" s="7">
        <v>6742710.1200000001</v>
      </c>
      <c r="V654" s="7">
        <v>0.32</v>
      </c>
      <c r="W654" s="7">
        <v>7.0000000000000007E-2</v>
      </c>
      <c r="X654" s="7" t="s">
        <v>2262</v>
      </c>
      <c r="Y654" s="7">
        <v>3440997.21</v>
      </c>
      <c r="Z654" s="7">
        <v>1598257.73</v>
      </c>
      <c r="AA654" s="7">
        <v>90</v>
      </c>
      <c r="AB654" s="7">
        <v>139</v>
      </c>
      <c r="AC654" s="7" t="s">
        <v>376</v>
      </c>
      <c r="AD654" s="7" t="s">
        <v>226</v>
      </c>
      <c r="AE654" s="7">
        <v>0.9</v>
      </c>
      <c r="AF654" s="7" t="s">
        <v>152</v>
      </c>
      <c r="AG654" s="7">
        <v>0.15</v>
      </c>
      <c r="AH654" s="7">
        <v>0.06</v>
      </c>
      <c r="AI654" s="7">
        <v>1</v>
      </c>
      <c r="AJ654" s="7">
        <v>914</v>
      </c>
      <c r="AK654" s="7">
        <v>1093349.94</v>
      </c>
      <c r="AL654" s="7">
        <v>3803986.26</v>
      </c>
      <c r="AM654" s="7" t="s">
        <v>391</v>
      </c>
      <c r="AN654" s="7" t="s">
        <v>386</v>
      </c>
      <c r="AO654" s="7">
        <v>66.599999999999994</v>
      </c>
      <c r="AP654" s="7">
        <v>12</v>
      </c>
      <c r="AQ654" s="7" t="s">
        <v>323</v>
      </c>
      <c r="AR654" s="7" t="s">
        <v>206</v>
      </c>
      <c r="AS654" s="7" t="s">
        <v>357</v>
      </c>
    </row>
    <row r="655" spans="1:45" x14ac:dyDescent="0.3">
      <c r="A655" s="6" t="s">
        <v>2263</v>
      </c>
      <c r="B655" s="6" t="s">
        <v>5235</v>
      </c>
      <c r="C655" s="6" t="s">
        <v>201</v>
      </c>
      <c r="D655" s="6" t="s">
        <v>274</v>
      </c>
      <c r="E655" s="6" t="s">
        <v>36</v>
      </c>
      <c r="F655" s="6" t="s">
        <v>19</v>
      </c>
      <c r="G655" s="6" t="s">
        <v>23</v>
      </c>
      <c r="H655" s="6"/>
      <c r="I655" s="6" t="s">
        <v>4272</v>
      </c>
      <c r="J655" s="6" t="s">
        <v>115</v>
      </c>
      <c r="K655" s="6" t="s">
        <v>223</v>
      </c>
      <c r="L655" s="6" t="s">
        <v>2264</v>
      </c>
      <c r="M655" s="6" t="s">
        <v>3578</v>
      </c>
      <c r="N655" s="6" t="s">
        <v>2265</v>
      </c>
      <c r="O655" s="6" t="s">
        <v>4842</v>
      </c>
      <c r="P655" s="6">
        <v>48</v>
      </c>
      <c r="Q655" s="6">
        <v>43239476</v>
      </c>
      <c r="R655" s="6">
        <v>0.3</v>
      </c>
      <c r="S655" s="6">
        <v>0.08</v>
      </c>
      <c r="T655" s="6">
        <v>32689043.859999999</v>
      </c>
      <c r="U655" s="6">
        <v>20549752.629999999</v>
      </c>
      <c r="V655" s="6">
        <v>0.05</v>
      </c>
      <c r="W655" s="6">
        <v>0.06</v>
      </c>
      <c r="X655" s="6" t="s">
        <v>2266</v>
      </c>
      <c r="Y655" s="6">
        <v>26969336.539999999</v>
      </c>
      <c r="Z655" s="6">
        <v>11642228.689999999</v>
      </c>
      <c r="AA655" s="6">
        <v>120</v>
      </c>
      <c r="AB655" s="6">
        <v>173</v>
      </c>
      <c r="AC655" s="6" t="s">
        <v>376</v>
      </c>
      <c r="AD655" s="6" t="s">
        <v>336</v>
      </c>
      <c r="AE655" s="6">
        <v>0.6</v>
      </c>
      <c r="AF655" s="6" t="s">
        <v>4276</v>
      </c>
      <c r="AG655" s="6">
        <v>0.15</v>
      </c>
      <c r="AH655" s="6">
        <v>0.09</v>
      </c>
      <c r="AI655" s="6">
        <v>0</v>
      </c>
      <c r="AJ655" s="6">
        <v>1017</v>
      </c>
      <c r="AK655" s="6"/>
      <c r="AL655" s="6">
        <v>15939064.23</v>
      </c>
      <c r="AM655" s="6" t="s">
        <v>321</v>
      </c>
      <c r="AN655" s="6" t="s">
        <v>356</v>
      </c>
      <c r="AO655" s="6">
        <v>89.2</v>
      </c>
      <c r="AP655" s="6" t="s">
        <v>4275</v>
      </c>
      <c r="AQ655" s="6" t="s">
        <v>387</v>
      </c>
      <c r="AR655" s="6" t="s">
        <v>206</v>
      </c>
      <c r="AS655" s="6" t="s">
        <v>324</v>
      </c>
    </row>
    <row r="656" spans="1:45" x14ac:dyDescent="0.3">
      <c r="A656" s="7" t="s">
        <v>2267</v>
      </c>
      <c r="B656" s="7" t="s">
        <v>4681</v>
      </c>
      <c r="C656" s="7" t="s">
        <v>275</v>
      </c>
      <c r="D656" s="7" t="s">
        <v>248</v>
      </c>
      <c r="E656" s="7"/>
      <c r="F656" s="7" t="s">
        <v>363</v>
      </c>
      <c r="G656" s="7" t="s">
        <v>73</v>
      </c>
      <c r="H656" s="7" t="s">
        <v>212</v>
      </c>
      <c r="I656" s="7" t="s">
        <v>4372</v>
      </c>
      <c r="J656" s="7" t="s">
        <v>99</v>
      </c>
      <c r="K656" s="7" t="s">
        <v>333</v>
      </c>
      <c r="L656" s="7" t="s">
        <v>2268</v>
      </c>
      <c r="M656" s="7" t="s">
        <v>5236</v>
      </c>
      <c r="N656" s="7" t="s">
        <v>3733</v>
      </c>
      <c r="O656" s="7" t="s">
        <v>5237</v>
      </c>
      <c r="P656" s="7">
        <v>40</v>
      </c>
      <c r="Q656" s="7">
        <v>44607487</v>
      </c>
      <c r="R656" s="7">
        <v>0.32</v>
      </c>
      <c r="S656" s="7">
        <v>0.14000000000000001</v>
      </c>
      <c r="T656" s="7">
        <v>34579723.920000002</v>
      </c>
      <c r="U656" s="7">
        <v>22230009.809999999</v>
      </c>
      <c r="V656" s="7">
        <v>0.26</v>
      </c>
      <c r="W656" s="7">
        <v>0.17</v>
      </c>
      <c r="X656" s="7" t="s">
        <v>2269</v>
      </c>
      <c r="Y656" s="7">
        <v>10708596.289999999</v>
      </c>
      <c r="Z656" s="7">
        <v>7097247.4100000001</v>
      </c>
      <c r="AA656" s="7">
        <v>45</v>
      </c>
      <c r="AB656" s="7">
        <v>69</v>
      </c>
      <c r="AC656" s="7" t="s">
        <v>347</v>
      </c>
      <c r="AD656" s="7" t="s">
        <v>455</v>
      </c>
      <c r="AE656" s="7">
        <v>0.28999999999999998</v>
      </c>
      <c r="AF656" s="7" t="s">
        <v>4312</v>
      </c>
      <c r="AG656" s="7">
        <v>0.15</v>
      </c>
      <c r="AH656" s="7">
        <v>7.0000000000000007E-2</v>
      </c>
      <c r="AI656" s="7">
        <v>4</v>
      </c>
      <c r="AJ656" s="7">
        <v>26</v>
      </c>
      <c r="AK656" s="7">
        <v>1541156.6</v>
      </c>
      <c r="AL656" s="7">
        <v>6561837.3399999999</v>
      </c>
      <c r="AM656" s="7" t="s">
        <v>343</v>
      </c>
      <c r="AN656" s="7" t="s">
        <v>356</v>
      </c>
      <c r="AO656" s="7">
        <v>73</v>
      </c>
      <c r="AP656" s="7" t="s">
        <v>4275</v>
      </c>
      <c r="AQ656" s="7" t="s">
        <v>337</v>
      </c>
      <c r="AR656" s="7" t="s">
        <v>186</v>
      </c>
      <c r="AS656" s="7" t="s">
        <v>377</v>
      </c>
    </row>
    <row r="657" spans="1:45" x14ac:dyDescent="0.3">
      <c r="A657" s="6" t="s">
        <v>2270</v>
      </c>
      <c r="B657" s="6" t="s">
        <v>3790</v>
      </c>
      <c r="C657" s="6" t="s">
        <v>179</v>
      </c>
      <c r="D657" s="6" t="s">
        <v>215</v>
      </c>
      <c r="E657" s="6" t="s">
        <v>4265</v>
      </c>
      <c r="F657" s="6" t="s">
        <v>350</v>
      </c>
      <c r="G657" s="6" t="s">
        <v>70</v>
      </c>
      <c r="H657" s="6"/>
      <c r="I657" s="6" t="s">
        <v>4272</v>
      </c>
      <c r="J657" s="6" t="s">
        <v>130</v>
      </c>
      <c r="K657" s="6" t="s">
        <v>184</v>
      </c>
      <c r="L657" s="6" t="s">
        <v>2271</v>
      </c>
      <c r="M657" s="6" t="s">
        <v>5238</v>
      </c>
      <c r="N657" s="6" t="s">
        <v>3440</v>
      </c>
      <c r="O657" s="6" t="s">
        <v>4534</v>
      </c>
      <c r="P657" s="6">
        <v>58</v>
      </c>
      <c r="Q657" s="6">
        <v>13687415</v>
      </c>
      <c r="R657" s="6">
        <v>0.32</v>
      </c>
      <c r="S657" s="6">
        <v>0.05</v>
      </c>
      <c r="T657" s="6">
        <v>9772814.3100000005</v>
      </c>
      <c r="U657" s="6">
        <v>8454932.2200000007</v>
      </c>
      <c r="V657" s="6" t="s">
        <v>4374</v>
      </c>
      <c r="W657" s="6">
        <v>0.16</v>
      </c>
      <c r="X657" s="6" t="s">
        <v>2272</v>
      </c>
      <c r="Y657" s="6">
        <v>3785195.93</v>
      </c>
      <c r="Z657" s="6">
        <v>2632082.2000000002</v>
      </c>
      <c r="AA657" s="6">
        <v>60</v>
      </c>
      <c r="AB657" s="6">
        <v>38</v>
      </c>
      <c r="AC657" s="6" t="s">
        <v>342</v>
      </c>
      <c r="AD657" s="6" t="s">
        <v>381</v>
      </c>
      <c r="AE657" s="6">
        <v>0.5</v>
      </c>
      <c r="AF657" s="6" t="s">
        <v>4294</v>
      </c>
      <c r="AG657" s="6">
        <v>0.05</v>
      </c>
      <c r="AH657" s="6">
        <v>0.05</v>
      </c>
      <c r="AI657" s="6">
        <v>4</v>
      </c>
      <c r="AJ657" s="6">
        <v>4190</v>
      </c>
      <c r="AK657" s="6">
        <v>1141775.3400000001</v>
      </c>
      <c r="AL657" s="6">
        <v>1470263.95</v>
      </c>
      <c r="AM657" s="6" t="s">
        <v>73</v>
      </c>
      <c r="AN657" s="6" t="s">
        <v>386</v>
      </c>
      <c r="AO657" s="6">
        <v>53.6</v>
      </c>
      <c r="AP657" s="6">
        <v>36</v>
      </c>
      <c r="AQ657" s="6" t="s">
        <v>392</v>
      </c>
      <c r="AR657" s="6" t="s">
        <v>224</v>
      </c>
      <c r="AS657" s="6" t="s">
        <v>188</v>
      </c>
    </row>
    <row r="658" spans="1:45" x14ac:dyDescent="0.3">
      <c r="A658" s="7" t="s">
        <v>2273</v>
      </c>
      <c r="B658" s="7" t="s">
        <v>5234</v>
      </c>
      <c r="C658" s="7" t="s">
        <v>280</v>
      </c>
      <c r="D658" s="7" t="s">
        <v>562</v>
      </c>
      <c r="E658" s="7" t="s">
        <v>36</v>
      </c>
      <c r="F658" s="7" t="s">
        <v>339</v>
      </c>
      <c r="G658" s="7" t="s">
        <v>70</v>
      </c>
      <c r="H658" s="7" t="s">
        <v>4271</v>
      </c>
      <c r="I658" s="7"/>
      <c r="J658" s="7" t="s">
        <v>115</v>
      </c>
      <c r="K658" s="7" t="s">
        <v>223</v>
      </c>
      <c r="L658" s="7" t="s">
        <v>2274</v>
      </c>
      <c r="M658" s="7" t="s">
        <v>4097</v>
      </c>
      <c r="N658" s="7"/>
      <c r="O658" s="7" t="s">
        <v>3577</v>
      </c>
      <c r="P658" s="7">
        <v>29</v>
      </c>
      <c r="Q658" s="7">
        <v>41831282</v>
      </c>
      <c r="R658" s="7">
        <v>0.02</v>
      </c>
      <c r="S658" s="7">
        <v>0.12</v>
      </c>
      <c r="T658" s="7">
        <v>45914015.119999997</v>
      </c>
      <c r="U658" s="7">
        <v>31371315.140000001</v>
      </c>
      <c r="V658" s="7">
        <v>0.3</v>
      </c>
      <c r="W658" s="7">
        <v>0.19</v>
      </c>
      <c r="X658" s="7" t="s">
        <v>2275</v>
      </c>
      <c r="Y658" s="7">
        <v>6491069.6299999999</v>
      </c>
      <c r="Z658" s="7">
        <v>5634400.0199999996</v>
      </c>
      <c r="AA658" s="7">
        <v>60</v>
      </c>
      <c r="AB658" s="7">
        <v>9</v>
      </c>
      <c r="AC658" s="7" t="s">
        <v>329</v>
      </c>
      <c r="AD658" s="7" t="s">
        <v>226</v>
      </c>
      <c r="AE658" s="7">
        <v>0.67</v>
      </c>
      <c r="AF658" s="7" t="s">
        <v>4294</v>
      </c>
      <c r="AG658" s="7">
        <v>0.05</v>
      </c>
      <c r="AH658" s="7">
        <v>0.05</v>
      </c>
      <c r="AI658" s="7">
        <v>2</v>
      </c>
      <c r="AJ658" s="7"/>
      <c r="AK658" s="7">
        <v>1634072.76</v>
      </c>
      <c r="AL658" s="7">
        <v>14128548.1</v>
      </c>
      <c r="AM658" s="7" t="s">
        <v>385</v>
      </c>
      <c r="AN658" s="7" t="s">
        <v>348</v>
      </c>
      <c r="AO658" s="7">
        <v>95.7</v>
      </c>
      <c r="AP658" s="7">
        <v>48</v>
      </c>
      <c r="AQ658" s="7" t="s">
        <v>387</v>
      </c>
      <c r="AR658" s="7" t="s">
        <v>206</v>
      </c>
      <c r="AS658" s="7"/>
    </row>
    <row r="659" spans="1:45" x14ac:dyDescent="0.3">
      <c r="A659" s="6" t="s">
        <v>2276</v>
      </c>
      <c r="B659" s="6" t="s">
        <v>4853</v>
      </c>
      <c r="C659" s="6" t="s">
        <v>239</v>
      </c>
      <c r="D659" s="6" t="s">
        <v>202</v>
      </c>
      <c r="E659" s="6" t="s">
        <v>36</v>
      </c>
      <c r="F659" s="6" t="s">
        <v>339</v>
      </c>
      <c r="G659" s="6" t="s">
        <v>54</v>
      </c>
      <c r="H659" s="6" t="s">
        <v>182</v>
      </c>
      <c r="I659" s="6" t="s">
        <v>213</v>
      </c>
      <c r="J659" s="6" t="s">
        <v>115</v>
      </c>
      <c r="K659" s="6" t="s">
        <v>326</v>
      </c>
      <c r="L659" s="6" t="s">
        <v>2277</v>
      </c>
      <c r="M659" s="6" t="s">
        <v>5239</v>
      </c>
      <c r="N659" s="6" t="s">
        <v>3323</v>
      </c>
      <c r="O659" s="6" t="s">
        <v>5240</v>
      </c>
      <c r="P659" s="6">
        <v>5</v>
      </c>
      <c r="Q659" s="6">
        <v>44056844</v>
      </c>
      <c r="R659" s="6">
        <v>0.2</v>
      </c>
      <c r="S659" s="6">
        <v>0.02</v>
      </c>
      <c r="T659" s="6">
        <v>35950384.700000003</v>
      </c>
      <c r="U659" s="6">
        <v>23587978.09</v>
      </c>
      <c r="V659" s="6">
        <v>7.0000000000000007E-2</v>
      </c>
      <c r="W659" s="6">
        <v>0.06</v>
      </c>
      <c r="X659" s="6" t="s">
        <v>2278</v>
      </c>
      <c r="Y659" s="6">
        <v>11950310.74</v>
      </c>
      <c r="Z659" s="6">
        <v>7144275.6900000004</v>
      </c>
      <c r="AA659" s="6">
        <v>90</v>
      </c>
      <c r="AB659" s="6">
        <v>29</v>
      </c>
      <c r="AC659" s="6" t="s">
        <v>342</v>
      </c>
      <c r="AD659" s="6" t="s">
        <v>320</v>
      </c>
      <c r="AE659" s="6">
        <v>0.35</v>
      </c>
      <c r="AF659" s="6" t="s">
        <v>159</v>
      </c>
      <c r="AG659" s="6">
        <v>0.05</v>
      </c>
      <c r="AH659" s="6">
        <v>0.05</v>
      </c>
      <c r="AI659" s="6">
        <v>11</v>
      </c>
      <c r="AJ659" s="6">
        <v>1654</v>
      </c>
      <c r="AK659" s="6">
        <v>5026791.97</v>
      </c>
      <c r="AL659" s="6">
        <v>6728180.5599999996</v>
      </c>
      <c r="AM659" s="6" t="s">
        <v>321</v>
      </c>
      <c r="AN659" s="6"/>
      <c r="AO659" s="6">
        <v>79.400000000000006</v>
      </c>
      <c r="AP659" s="6">
        <v>24</v>
      </c>
      <c r="AQ659" s="6" t="s">
        <v>337</v>
      </c>
      <c r="AR659" s="6" t="s">
        <v>192</v>
      </c>
      <c r="AS659" s="6"/>
    </row>
    <row r="660" spans="1:45" x14ac:dyDescent="0.3">
      <c r="A660" s="7" t="s">
        <v>2279</v>
      </c>
      <c r="B660" s="7" t="s">
        <v>4502</v>
      </c>
      <c r="C660" s="7" t="s">
        <v>285</v>
      </c>
      <c r="D660" s="7" t="s">
        <v>180</v>
      </c>
      <c r="E660" s="7" t="s">
        <v>4265</v>
      </c>
      <c r="F660" s="7" t="s">
        <v>350</v>
      </c>
      <c r="G660" s="7" t="s">
        <v>70</v>
      </c>
      <c r="H660" s="7" t="s">
        <v>4275</v>
      </c>
      <c r="I660" s="7" t="s">
        <v>233</v>
      </c>
      <c r="J660" s="6" t="s">
        <v>130</v>
      </c>
      <c r="K660" s="7" t="s">
        <v>199</v>
      </c>
      <c r="L660" s="7" t="s">
        <v>2280</v>
      </c>
      <c r="M660" s="7" t="s">
        <v>3425</v>
      </c>
      <c r="N660" s="7"/>
      <c r="O660" s="7" t="s">
        <v>5023</v>
      </c>
      <c r="P660" s="7" t="s">
        <v>4275</v>
      </c>
      <c r="Q660" s="7">
        <v>4638402</v>
      </c>
      <c r="R660" s="7">
        <v>0.22</v>
      </c>
      <c r="S660" s="7">
        <v>7.0000000000000007E-2</v>
      </c>
      <c r="T660" s="7">
        <v>3871210.31</v>
      </c>
      <c r="U660" s="7">
        <v>3020810.8</v>
      </c>
      <c r="V660" s="7">
        <v>0.14000000000000001</v>
      </c>
      <c r="W660" s="7">
        <v>0.12</v>
      </c>
      <c r="X660" s="7" t="s">
        <v>2281</v>
      </c>
      <c r="Y660" s="7">
        <v>2456515.56</v>
      </c>
      <c r="Z660" s="7">
        <v>957055.51</v>
      </c>
      <c r="AA660" s="7">
        <v>60</v>
      </c>
      <c r="AB660" s="7">
        <v>107</v>
      </c>
      <c r="AC660" s="7" t="s">
        <v>347</v>
      </c>
      <c r="AD660" s="7" t="s">
        <v>406</v>
      </c>
      <c r="AE660" s="7" t="s">
        <v>4467</v>
      </c>
      <c r="AF660" s="7" t="s">
        <v>4276</v>
      </c>
      <c r="AG660" s="7">
        <v>0.1</v>
      </c>
      <c r="AH660" s="7">
        <v>0.03</v>
      </c>
      <c r="AI660" s="7">
        <v>12</v>
      </c>
      <c r="AJ660" s="7">
        <v>3301</v>
      </c>
      <c r="AK660" s="7">
        <v>511513.52</v>
      </c>
      <c r="AL660" s="7">
        <v>773837.99</v>
      </c>
      <c r="AM660" s="7"/>
      <c r="AN660" s="7"/>
      <c r="AO660" s="7">
        <v>77.7</v>
      </c>
      <c r="AP660" s="7">
        <v>60</v>
      </c>
      <c r="AQ660" s="7" t="s">
        <v>4275</v>
      </c>
      <c r="AR660" s="7" t="s">
        <v>206</v>
      </c>
      <c r="AS660" s="7" t="s">
        <v>324</v>
      </c>
    </row>
    <row r="661" spans="1:45" x14ac:dyDescent="0.3">
      <c r="A661" s="6" t="s">
        <v>2282</v>
      </c>
      <c r="B661" s="6" t="s">
        <v>4866</v>
      </c>
      <c r="C661" s="6" t="s">
        <v>271</v>
      </c>
      <c r="D661" s="6" t="s">
        <v>248</v>
      </c>
      <c r="E661" s="6" t="s">
        <v>4306</v>
      </c>
      <c r="F661" s="6"/>
      <c r="G661" s="6" t="s">
        <v>16</v>
      </c>
      <c r="H661" s="6" t="s">
        <v>197</v>
      </c>
      <c r="I661" s="6" t="s">
        <v>233</v>
      </c>
      <c r="J661" s="7" t="s">
        <v>119</v>
      </c>
      <c r="K661" s="6" t="s">
        <v>210</v>
      </c>
      <c r="L661" s="6" t="s">
        <v>2283</v>
      </c>
      <c r="M661" s="6" t="s">
        <v>4098</v>
      </c>
      <c r="N661" s="6" t="s">
        <v>4848</v>
      </c>
      <c r="O661" s="6" t="s">
        <v>3548</v>
      </c>
      <c r="P661" s="6">
        <v>59</v>
      </c>
      <c r="Q661" s="6">
        <v>36875399</v>
      </c>
      <c r="R661" s="6">
        <v>0.05</v>
      </c>
      <c r="S661" s="6">
        <v>-0.05</v>
      </c>
      <c r="T661" s="6">
        <v>33280047.600000001</v>
      </c>
      <c r="U661" s="6">
        <v>24262797.079999998</v>
      </c>
      <c r="V661" s="6">
        <v>0.2</v>
      </c>
      <c r="W661" s="6">
        <v>0.09</v>
      </c>
      <c r="X661" s="6" t="s">
        <v>2284</v>
      </c>
      <c r="Y661" s="6">
        <v>7792051.5199999996</v>
      </c>
      <c r="Z661" s="6">
        <v>6778451.3099999996</v>
      </c>
      <c r="AA661" s="6">
        <v>30</v>
      </c>
      <c r="AB661" s="6">
        <v>88</v>
      </c>
      <c r="AC661" s="6" t="s">
        <v>353</v>
      </c>
      <c r="AD661" s="6" t="s">
        <v>354</v>
      </c>
      <c r="AE661" s="6">
        <v>0.98</v>
      </c>
      <c r="AF661" s="6"/>
      <c r="AG661" s="6">
        <v>0.15</v>
      </c>
      <c r="AH661" s="6">
        <v>0.09</v>
      </c>
      <c r="AI661" s="6">
        <v>3</v>
      </c>
      <c r="AJ661" s="6">
        <v>1567</v>
      </c>
      <c r="AK661" s="6">
        <v>1880299.43</v>
      </c>
      <c r="AL661" s="6">
        <v>14093777.49</v>
      </c>
      <c r="AM661" s="6" t="s">
        <v>73</v>
      </c>
      <c r="AN661" s="6" t="s">
        <v>348</v>
      </c>
      <c r="AO661" s="6">
        <v>85.3</v>
      </c>
      <c r="AP661" s="6">
        <v>60</v>
      </c>
      <c r="AQ661" s="6" t="s">
        <v>4275</v>
      </c>
      <c r="AR661" s="6" t="s">
        <v>192</v>
      </c>
      <c r="AS661" s="6"/>
    </row>
    <row r="662" spans="1:45" x14ac:dyDescent="0.3">
      <c r="A662" s="7" t="s">
        <v>2285</v>
      </c>
      <c r="B662" s="7" t="s">
        <v>3942</v>
      </c>
      <c r="C662" s="7" t="s">
        <v>273</v>
      </c>
      <c r="D662" s="7" t="s">
        <v>394</v>
      </c>
      <c r="E662" s="7"/>
      <c r="F662" s="7" t="s">
        <v>363</v>
      </c>
      <c r="G662" s="7" t="s">
        <v>46</v>
      </c>
      <c r="H662" s="7" t="s">
        <v>4340</v>
      </c>
      <c r="I662" s="7"/>
      <c r="J662" s="7" t="s">
        <v>99</v>
      </c>
      <c r="K662" s="7" t="s">
        <v>326</v>
      </c>
      <c r="L662" s="7" t="s">
        <v>2286</v>
      </c>
      <c r="M662" s="7" t="s">
        <v>3385</v>
      </c>
      <c r="N662" s="7" t="s">
        <v>5035</v>
      </c>
      <c r="O662" s="7" t="s">
        <v>5241</v>
      </c>
      <c r="P662" s="7">
        <v>59</v>
      </c>
      <c r="Q662" s="7">
        <v>10174756</v>
      </c>
      <c r="R662" s="7">
        <v>0.01</v>
      </c>
      <c r="S662" s="7">
        <v>0.01</v>
      </c>
      <c r="T662" s="7">
        <v>10173738.52</v>
      </c>
      <c r="U662" s="7">
        <v>6492101.0800000001</v>
      </c>
      <c r="V662" s="7">
        <v>0.22</v>
      </c>
      <c r="W662" s="7">
        <v>7.0000000000000007E-2</v>
      </c>
      <c r="X662" s="7" t="s">
        <v>2287</v>
      </c>
      <c r="Y662" s="7">
        <v>6769551.2800000003</v>
      </c>
      <c r="Z662" s="7">
        <v>3437397.13</v>
      </c>
      <c r="AA662" s="7">
        <v>90</v>
      </c>
      <c r="AB662" s="7">
        <v>95</v>
      </c>
      <c r="AC662" s="7" t="s">
        <v>342</v>
      </c>
      <c r="AD662" s="7" t="s">
        <v>381</v>
      </c>
      <c r="AE662" s="7">
        <v>0.44</v>
      </c>
      <c r="AF662" s="7" t="s">
        <v>4319</v>
      </c>
      <c r="AG662" s="7">
        <v>0.15</v>
      </c>
      <c r="AH662" s="7">
        <v>0.04</v>
      </c>
      <c r="AI662" s="7">
        <v>3</v>
      </c>
      <c r="AJ662" s="7">
        <v>1536</v>
      </c>
      <c r="AK662" s="7">
        <v>2292123.89</v>
      </c>
      <c r="AL662" s="7">
        <v>3330924.41</v>
      </c>
      <c r="AM662" s="7" t="s">
        <v>391</v>
      </c>
      <c r="AN662" s="7" t="s">
        <v>386</v>
      </c>
      <c r="AO662" s="7">
        <v>98.9</v>
      </c>
      <c r="AP662" s="7">
        <v>36</v>
      </c>
      <c r="AQ662" s="7" t="s">
        <v>387</v>
      </c>
      <c r="AR662" s="7" t="s">
        <v>192</v>
      </c>
      <c r="AS662" s="7"/>
    </row>
    <row r="663" spans="1:45" x14ac:dyDescent="0.3">
      <c r="A663" s="6" t="s">
        <v>2288</v>
      </c>
      <c r="B663" s="6" t="s">
        <v>4481</v>
      </c>
      <c r="C663" s="6" t="s">
        <v>271</v>
      </c>
      <c r="D663" s="6" t="s">
        <v>255</v>
      </c>
      <c r="E663" s="6"/>
      <c r="F663" s="6"/>
      <c r="G663" s="6" t="s">
        <v>66</v>
      </c>
      <c r="H663" s="6" t="s">
        <v>4340</v>
      </c>
      <c r="I663" s="6" t="s">
        <v>4291</v>
      </c>
      <c r="J663" s="6" t="s">
        <v>99</v>
      </c>
      <c r="K663" s="6" t="s">
        <v>223</v>
      </c>
      <c r="L663" s="6" t="s">
        <v>2289</v>
      </c>
      <c r="M663" s="6" t="s">
        <v>3793</v>
      </c>
      <c r="N663" s="6" t="s">
        <v>2290</v>
      </c>
      <c r="O663" s="6" t="s">
        <v>3668</v>
      </c>
      <c r="P663" s="6">
        <v>37</v>
      </c>
      <c r="Q663" s="6">
        <v>21870258</v>
      </c>
      <c r="R663" s="6">
        <v>0.3</v>
      </c>
      <c r="S663" s="6">
        <v>0</v>
      </c>
      <c r="T663" s="6">
        <v>15309180.6</v>
      </c>
      <c r="U663" s="6">
        <v>12888189</v>
      </c>
      <c r="V663" s="6">
        <v>0.13</v>
      </c>
      <c r="W663" s="6">
        <v>0.09</v>
      </c>
      <c r="X663" s="6"/>
      <c r="Y663" s="6">
        <v>3958803.23</v>
      </c>
      <c r="Z663" s="6">
        <v>3988929.03</v>
      </c>
      <c r="AA663" s="6">
        <v>30</v>
      </c>
      <c r="AB663" s="6">
        <v>133</v>
      </c>
      <c r="AC663" s="6" t="s">
        <v>376</v>
      </c>
      <c r="AD663" s="6" t="s">
        <v>381</v>
      </c>
      <c r="AE663" s="6">
        <v>0.26</v>
      </c>
      <c r="AF663" s="6" t="s">
        <v>4319</v>
      </c>
      <c r="AG663" s="6">
        <v>0.1</v>
      </c>
      <c r="AH663" s="6">
        <v>7.0000000000000007E-2</v>
      </c>
      <c r="AI663" s="6">
        <v>8</v>
      </c>
      <c r="AJ663" s="6">
        <v>3862</v>
      </c>
      <c r="AK663" s="6">
        <v>3197688.65</v>
      </c>
      <c r="AL663" s="6">
        <v>1731260.85</v>
      </c>
      <c r="AM663" s="6" t="s">
        <v>355</v>
      </c>
      <c r="AN663" s="6" t="s">
        <v>348</v>
      </c>
      <c r="AO663" s="6">
        <v>87</v>
      </c>
      <c r="AP663" s="6">
        <v>24</v>
      </c>
      <c r="AQ663" s="6" t="s">
        <v>387</v>
      </c>
      <c r="AR663" s="6" t="s">
        <v>192</v>
      </c>
      <c r="AS663" s="6" t="s">
        <v>377</v>
      </c>
    </row>
    <row r="664" spans="1:45" x14ac:dyDescent="0.3">
      <c r="A664" s="7" t="s">
        <v>2291</v>
      </c>
      <c r="B664" s="7" t="s">
        <v>4915</v>
      </c>
      <c r="C664" s="7" t="s">
        <v>283</v>
      </c>
      <c r="D664" s="7" t="s">
        <v>265</v>
      </c>
      <c r="E664" s="7"/>
      <c r="F664" s="7" t="s">
        <v>228</v>
      </c>
      <c r="G664" s="7" t="s">
        <v>33</v>
      </c>
      <c r="H664" s="7" t="s">
        <v>212</v>
      </c>
      <c r="I664" s="7" t="s">
        <v>203</v>
      </c>
      <c r="J664" s="7" t="s">
        <v>99</v>
      </c>
      <c r="K664" s="7" t="s">
        <v>326</v>
      </c>
      <c r="L664" s="7" t="s">
        <v>2292</v>
      </c>
      <c r="M664" s="7" t="s">
        <v>5242</v>
      </c>
      <c r="N664" s="7" t="s">
        <v>2293</v>
      </c>
      <c r="O664" s="7" t="s">
        <v>3569</v>
      </c>
      <c r="P664" s="7">
        <v>43</v>
      </c>
      <c r="Q664" s="7">
        <v>8920404</v>
      </c>
      <c r="R664" s="7">
        <v>0.2</v>
      </c>
      <c r="S664" s="7">
        <v>0.04</v>
      </c>
      <c r="T664" s="7">
        <v>7421776.1299999999</v>
      </c>
      <c r="U664" s="7">
        <v>4568266.66</v>
      </c>
      <c r="V664" s="7">
        <v>0.08</v>
      </c>
      <c r="W664" s="7">
        <v>0.18</v>
      </c>
      <c r="X664" s="7" t="s">
        <v>2294</v>
      </c>
      <c r="Y664" s="7">
        <v>6138164.3499999996</v>
      </c>
      <c r="Z664" s="7">
        <v>2497101.2599999998</v>
      </c>
      <c r="AA664" s="7">
        <v>90</v>
      </c>
      <c r="AB664" s="7">
        <v>170</v>
      </c>
      <c r="AC664" s="7" t="s">
        <v>376</v>
      </c>
      <c r="AD664" s="7" t="s">
        <v>381</v>
      </c>
      <c r="AE664" s="7">
        <v>0.76</v>
      </c>
      <c r="AF664" s="7" t="s">
        <v>4361</v>
      </c>
      <c r="AG664" s="7">
        <v>0.1</v>
      </c>
      <c r="AH664" s="7">
        <v>0.03</v>
      </c>
      <c r="AI664" s="7">
        <v>7</v>
      </c>
      <c r="AJ664" s="7">
        <v>3846</v>
      </c>
      <c r="AK664" s="7">
        <v>444459.81</v>
      </c>
      <c r="AL664" s="7"/>
      <c r="AM664" s="7" t="s">
        <v>355</v>
      </c>
      <c r="AN664" s="7" t="s">
        <v>386</v>
      </c>
      <c r="AO664" s="7"/>
      <c r="AP664" s="7" t="s">
        <v>4275</v>
      </c>
      <c r="AQ664" s="7" t="s">
        <v>4275</v>
      </c>
      <c r="AR664" s="7" t="s">
        <v>224</v>
      </c>
      <c r="AS664" s="7"/>
    </row>
    <row r="665" spans="1:45" x14ac:dyDescent="0.3">
      <c r="A665" s="6" t="s">
        <v>2295</v>
      </c>
      <c r="B665" s="6" t="s">
        <v>4699</v>
      </c>
      <c r="C665" s="6" t="s">
        <v>214</v>
      </c>
      <c r="D665" s="6" t="s">
        <v>209</v>
      </c>
      <c r="E665" s="6" t="s">
        <v>4265</v>
      </c>
      <c r="F665" s="6" t="s">
        <v>350</v>
      </c>
      <c r="G665" s="6" t="s">
        <v>28</v>
      </c>
      <c r="H665" s="6" t="s">
        <v>4340</v>
      </c>
      <c r="I665" s="6" t="s">
        <v>246</v>
      </c>
      <c r="J665" s="6" t="s">
        <v>105</v>
      </c>
      <c r="K665" s="6" t="s">
        <v>199</v>
      </c>
      <c r="L665" s="6" t="s">
        <v>2296</v>
      </c>
      <c r="M665" s="6" t="s">
        <v>4759</v>
      </c>
      <c r="N665" s="6" t="s">
        <v>4476</v>
      </c>
      <c r="O665" s="6" t="s">
        <v>5243</v>
      </c>
      <c r="P665" s="6">
        <v>28</v>
      </c>
      <c r="Q665" s="6">
        <v>19158342</v>
      </c>
      <c r="R665" s="6">
        <v>0.06</v>
      </c>
      <c r="S665" s="6">
        <v>0.03</v>
      </c>
      <c r="T665" s="6">
        <v>18549106.719999999</v>
      </c>
      <c r="U665" s="6">
        <v>14102312.380000001</v>
      </c>
      <c r="V665" s="6">
        <v>0.23</v>
      </c>
      <c r="W665" s="6">
        <v>0.09</v>
      </c>
      <c r="X665" s="6" t="s">
        <v>2297</v>
      </c>
      <c r="Y665" s="6">
        <v>10253054.41</v>
      </c>
      <c r="Z665" s="6">
        <v>10795857.619999999</v>
      </c>
      <c r="AA665" s="6">
        <v>45</v>
      </c>
      <c r="AB665" s="6">
        <v>35</v>
      </c>
      <c r="AC665" s="6" t="s">
        <v>347</v>
      </c>
      <c r="AD665" s="6" t="s">
        <v>381</v>
      </c>
      <c r="AE665" s="6">
        <v>0.3</v>
      </c>
      <c r="AF665" s="6" t="s">
        <v>155</v>
      </c>
      <c r="AG665" s="6">
        <v>0.1</v>
      </c>
      <c r="AH665" s="6">
        <v>0.09</v>
      </c>
      <c r="AI665" s="6">
        <v>15</v>
      </c>
      <c r="AJ665" s="6">
        <v>4825</v>
      </c>
      <c r="AK665" s="6">
        <v>1422982.56</v>
      </c>
      <c r="AL665" s="6">
        <v>7728267.7699999996</v>
      </c>
      <c r="AM665" s="6" t="s">
        <v>391</v>
      </c>
      <c r="AN665" s="6"/>
      <c r="AO665" s="6">
        <v>87.9</v>
      </c>
      <c r="AP665" s="6">
        <v>48</v>
      </c>
      <c r="AQ665" s="6"/>
      <c r="AR665" s="6" t="s">
        <v>206</v>
      </c>
      <c r="AS665" s="6" t="s">
        <v>188</v>
      </c>
    </row>
    <row r="666" spans="1:45" x14ac:dyDescent="0.3">
      <c r="A666" s="7" t="s">
        <v>2298</v>
      </c>
      <c r="B666" s="7" t="s">
        <v>3567</v>
      </c>
      <c r="C666" s="7" t="s">
        <v>284</v>
      </c>
      <c r="D666" s="7" t="s">
        <v>253</v>
      </c>
      <c r="E666" s="7" t="s">
        <v>4270</v>
      </c>
      <c r="F666" s="7" t="s">
        <v>367</v>
      </c>
      <c r="G666" s="7" t="s">
        <v>50</v>
      </c>
      <c r="H666" s="7"/>
      <c r="I666" s="7" t="s">
        <v>246</v>
      </c>
      <c r="J666" s="7" t="s">
        <v>111</v>
      </c>
      <c r="K666" s="7" t="s">
        <v>221</v>
      </c>
      <c r="L666" s="7" t="s">
        <v>2299</v>
      </c>
      <c r="M666" s="7" t="s">
        <v>5244</v>
      </c>
      <c r="N666" s="7" t="s">
        <v>5245</v>
      </c>
      <c r="O666" s="7" t="s">
        <v>4099</v>
      </c>
      <c r="P666" s="7">
        <v>7</v>
      </c>
      <c r="Q666" s="7">
        <v>35514329</v>
      </c>
      <c r="R666" s="7">
        <v>0.13</v>
      </c>
      <c r="S666" s="7">
        <v>-0.02</v>
      </c>
      <c r="T666" s="7">
        <v>30279516.91</v>
      </c>
      <c r="U666" s="7">
        <v>23257168.52</v>
      </c>
      <c r="V666" s="7">
        <v>0.11</v>
      </c>
      <c r="W666" s="7">
        <v>0.19</v>
      </c>
      <c r="X666" s="7" t="s">
        <v>2300</v>
      </c>
      <c r="Y666" s="7">
        <v>17959495.02</v>
      </c>
      <c r="Z666" s="7">
        <v>7546054.5700000003</v>
      </c>
      <c r="AA666" s="7">
        <v>60</v>
      </c>
      <c r="AB666" s="7">
        <v>80</v>
      </c>
      <c r="AC666" s="7" t="s">
        <v>353</v>
      </c>
      <c r="AD666" s="7" t="s">
        <v>320</v>
      </c>
      <c r="AE666" s="7">
        <v>0.43</v>
      </c>
      <c r="AF666" s="7" t="s">
        <v>4361</v>
      </c>
      <c r="AG666" s="7">
        <v>0.1</v>
      </c>
      <c r="AH666" s="7">
        <v>7.0000000000000007E-2</v>
      </c>
      <c r="AI666" s="7">
        <v>15</v>
      </c>
      <c r="AJ666" s="7">
        <v>4002</v>
      </c>
      <c r="AK666" s="7">
        <v>1564150.62</v>
      </c>
      <c r="AL666" s="7">
        <v>9146613.0999999996</v>
      </c>
      <c r="AM666" s="7" t="s">
        <v>391</v>
      </c>
      <c r="AN666" s="7" t="s">
        <v>386</v>
      </c>
      <c r="AO666" s="7">
        <v>52.6</v>
      </c>
      <c r="AP666" s="7">
        <v>48</v>
      </c>
      <c r="AQ666" s="7" t="s">
        <v>4275</v>
      </c>
      <c r="AR666" s="7" t="s">
        <v>192</v>
      </c>
      <c r="AS666" s="7" t="s">
        <v>377</v>
      </c>
    </row>
    <row r="667" spans="1:45" x14ac:dyDescent="0.3">
      <c r="A667" s="6" t="s">
        <v>2301</v>
      </c>
      <c r="B667" s="6" t="s">
        <v>4100</v>
      </c>
      <c r="C667" s="6" t="s">
        <v>211</v>
      </c>
      <c r="D667" s="6" t="s">
        <v>215</v>
      </c>
      <c r="E667" s="6" t="s">
        <v>4265</v>
      </c>
      <c r="F667" s="6" t="s">
        <v>350</v>
      </c>
      <c r="G667" s="6" t="s">
        <v>28</v>
      </c>
      <c r="H667" s="6" t="s">
        <v>4266</v>
      </c>
      <c r="I667" s="6"/>
      <c r="J667" s="6" t="s">
        <v>105</v>
      </c>
      <c r="K667" s="6" t="s">
        <v>184</v>
      </c>
      <c r="L667" s="6" t="s">
        <v>2302</v>
      </c>
      <c r="M667" s="6" t="s">
        <v>4101</v>
      </c>
      <c r="N667" s="6" t="s">
        <v>4651</v>
      </c>
      <c r="O667" s="6" t="s">
        <v>5226</v>
      </c>
      <c r="P667" s="6">
        <v>43</v>
      </c>
      <c r="Q667" s="6">
        <v>32324395</v>
      </c>
      <c r="R667" s="6">
        <v>0.2</v>
      </c>
      <c r="S667" s="6">
        <v>0.11</v>
      </c>
      <c r="T667" s="6">
        <v>28704062.760000002</v>
      </c>
      <c r="U667" s="6">
        <v>21655875.260000002</v>
      </c>
      <c r="V667" s="6">
        <v>0.11</v>
      </c>
      <c r="W667" s="6">
        <v>7.0000000000000007E-2</v>
      </c>
      <c r="X667" s="6" t="s">
        <v>2303</v>
      </c>
      <c r="Y667" s="6">
        <v>21200165.219999999</v>
      </c>
      <c r="Z667" s="6">
        <v>19831444.239999998</v>
      </c>
      <c r="AA667" s="6">
        <v>30</v>
      </c>
      <c r="AB667" s="6">
        <v>12</v>
      </c>
      <c r="AC667" s="6" t="s">
        <v>353</v>
      </c>
      <c r="AD667" s="6" t="s">
        <v>381</v>
      </c>
      <c r="AE667" s="6">
        <v>0.56999999999999995</v>
      </c>
      <c r="AF667" s="6" t="s">
        <v>4303</v>
      </c>
      <c r="AG667" s="6">
        <v>0.15</v>
      </c>
      <c r="AH667" s="6">
        <v>0.02</v>
      </c>
      <c r="AI667" s="6">
        <v>0</v>
      </c>
      <c r="AJ667" s="6">
        <v>3238</v>
      </c>
      <c r="AK667" s="6">
        <v>5220327.5199999996</v>
      </c>
      <c r="AL667" s="6">
        <v>6285167.8899999997</v>
      </c>
      <c r="AM667" s="6" t="s">
        <v>385</v>
      </c>
      <c r="AN667" s="6" t="s">
        <v>322</v>
      </c>
      <c r="AO667" s="6">
        <v>83.7</v>
      </c>
      <c r="AP667" s="6">
        <v>12</v>
      </c>
      <c r="AQ667" s="6" t="s">
        <v>4275</v>
      </c>
      <c r="AR667" s="6" t="s">
        <v>186</v>
      </c>
      <c r="AS667" s="6" t="s">
        <v>377</v>
      </c>
    </row>
    <row r="668" spans="1:45" x14ac:dyDescent="0.3">
      <c r="A668" s="7" t="s">
        <v>2304</v>
      </c>
      <c r="B668" s="7" t="s">
        <v>4102</v>
      </c>
      <c r="C668" s="7" t="s">
        <v>268</v>
      </c>
      <c r="D668" s="7" t="s">
        <v>215</v>
      </c>
      <c r="E668" s="7" t="s">
        <v>113</v>
      </c>
      <c r="F668" s="7" t="s">
        <v>367</v>
      </c>
      <c r="G668" s="7" t="s">
        <v>54</v>
      </c>
      <c r="H668" s="7" t="s">
        <v>216</v>
      </c>
      <c r="I668" s="7" t="s">
        <v>240</v>
      </c>
      <c r="J668" s="7" t="s">
        <v>111</v>
      </c>
      <c r="K668" s="7" t="s">
        <v>333</v>
      </c>
      <c r="L668" s="7" t="s">
        <v>2305</v>
      </c>
      <c r="M668" s="7" t="s">
        <v>4065</v>
      </c>
      <c r="N668" s="7"/>
      <c r="O668" s="7" t="s">
        <v>3600</v>
      </c>
      <c r="P668" s="7">
        <v>46</v>
      </c>
      <c r="Q668" s="7">
        <v>12282373</v>
      </c>
      <c r="R668" s="7">
        <v>0.23</v>
      </c>
      <c r="S668" s="7">
        <v>0.17</v>
      </c>
      <c r="T668" s="7">
        <v>11065189.84</v>
      </c>
      <c r="U668" s="7">
        <v>9518668.1899999995</v>
      </c>
      <c r="V668" s="7" t="s">
        <v>4374</v>
      </c>
      <c r="W668" s="7">
        <v>0.17</v>
      </c>
      <c r="X668" s="7" t="s">
        <v>2306</v>
      </c>
      <c r="Y668" s="7">
        <v>2961224.18</v>
      </c>
      <c r="Z668" s="7">
        <v>2686111.27</v>
      </c>
      <c r="AA668" s="7">
        <v>45</v>
      </c>
      <c r="AB668" s="7">
        <v>84</v>
      </c>
      <c r="AC668" s="7" t="s">
        <v>342</v>
      </c>
      <c r="AD668" s="7" t="s">
        <v>406</v>
      </c>
      <c r="AE668" s="7">
        <v>0.27</v>
      </c>
      <c r="AF668" s="7"/>
      <c r="AG668" s="7">
        <v>0.1</v>
      </c>
      <c r="AH668" s="7">
        <v>0.05</v>
      </c>
      <c r="AI668" s="7">
        <v>14</v>
      </c>
      <c r="AJ668" s="7">
        <v>3240</v>
      </c>
      <c r="AK668" s="7">
        <v>2023113.66</v>
      </c>
      <c r="AL668" s="7">
        <v>4483373.63</v>
      </c>
      <c r="AM668" s="7" t="s">
        <v>391</v>
      </c>
      <c r="AN668" s="7" t="s">
        <v>321</v>
      </c>
      <c r="AO668" s="7">
        <v>99.6</v>
      </c>
      <c r="AP668" s="7">
        <v>36</v>
      </c>
      <c r="AQ668" s="7" t="s">
        <v>387</v>
      </c>
      <c r="AR668" s="7" t="s">
        <v>224</v>
      </c>
      <c r="AS668" s="7"/>
    </row>
    <row r="669" spans="1:45" x14ac:dyDescent="0.3">
      <c r="A669" s="6" t="s">
        <v>2307</v>
      </c>
      <c r="B669" s="6" t="s">
        <v>4103</v>
      </c>
      <c r="C669" s="6" t="s">
        <v>261</v>
      </c>
      <c r="D669" s="6" t="s">
        <v>265</v>
      </c>
      <c r="E669" s="6" t="s">
        <v>4270</v>
      </c>
      <c r="F669" s="6" t="s">
        <v>367</v>
      </c>
      <c r="G669" s="6" t="s">
        <v>46</v>
      </c>
      <c r="H669" s="6" t="s">
        <v>197</v>
      </c>
      <c r="I669" s="6" t="s">
        <v>4291</v>
      </c>
      <c r="J669" s="6" t="s">
        <v>111</v>
      </c>
      <c r="K669" s="6" t="s">
        <v>221</v>
      </c>
      <c r="L669" s="6" t="s">
        <v>2308</v>
      </c>
      <c r="M669" s="6" t="s">
        <v>5246</v>
      </c>
      <c r="N669" s="6" t="s">
        <v>4105</v>
      </c>
      <c r="O669" s="6" t="s">
        <v>4106</v>
      </c>
      <c r="P669" s="6">
        <v>27</v>
      </c>
      <c r="Q669" s="6">
        <v>26375691</v>
      </c>
      <c r="R669" s="6">
        <v>0.15</v>
      </c>
      <c r="S669" s="6">
        <v>0.11</v>
      </c>
      <c r="T669" s="6">
        <v>24885464.460000001</v>
      </c>
      <c r="U669" s="6">
        <v>19480788.52</v>
      </c>
      <c r="V669" s="6">
        <v>0.26</v>
      </c>
      <c r="W669" s="6">
        <v>0.15</v>
      </c>
      <c r="X669" s="6" t="s">
        <v>2309</v>
      </c>
      <c r="Y669" s="6">
        <v>6426245.5899999999</v>
      </c>
      <c r="Z669" s="6">
        <v>7015246.29</v>
      </c>
      <c r="AA669" s="6">
        <v>30</v>
      </c>
      <c r="AB669" s="6">
        <v>56</v>
      </c>
      <c r="AC669" s="6" t="s">
        <v>353</v>
      </c>
      <c r="AD669" s="6" t="s">
        <v>336</v>
      </c>
      <c r="AE669" s="6">
        <v>0.19</v>
      </c>
      <c r="AF669" s="6" t="s">
        <v>4294</v>
      </c>
      <c r="AG669" s="6">
        <v>0.05</v>
      </c>
      <c r="AH669" s="6">
        <v>0.04</v>
      </c>
      <c r="AI669" s="6">
        <v>11</v>
      </c>
      <c r="AJ669" s="6">
        <v>3625</v>
      </c>
      <c r="AK669" s="6">
        <v>4493026.28</v>
      </c>
      <c r="AL669" s="6">
        <v>8262913.0199999996</v>
      </c>
      <c r="AM669" s="6" t="s">
        <v>343</v>
      </c>
      <c r="AN669" s="6" t="s">
        <v>356</v>
      </c>
      <c r="AO669" s="6">
        <v>55.4</v>
      </c>
      <c r="AP669" s="6">
        <v>60</v>
      </c>
      <c r="AQ669" s="6" t="s">
        <v>337</v>
      </c>
      <c r="AR669" s="6" t="s">
        <v>192</v>
      </c>
      <c r="AS669" s="6" t="s">
        <v>377</v>
      </c>
    </row>
    <row r="670" spans="1:45" x14ac:dyDescent="0.3">
      <c r="A670" s="7" t="s">
        <v>2310</v>
      </c>
      <c r="B670" s="7" t="s">
        <v>4739</v>
      </c>
      <c r="C670" s="7" t="s">
        <v>214</v>
      </c>
      <c r="D670" s="7" t="s">
        <v>253</v>
      </c>
      <c r="E670" s="7" t="s">
        <v>4270</v>
      </c>
      <c r="F670" s="7" t="s">
        <v>367</v>
      </c>
      <c r="G670" s="7" t="s">
        <v>70</v>
      </c>
      <c r="H670" s="7" t="s">
        <v>4275</v>
      </c>
      <c r="I670" s="7" t="s">
        <v>4272</v>
      </c>
      <c r="J670" s="7" t="s">
        <v>123</v>
      </c>
      <c r="K670" s="7" t="s">
        <v>333</v>
      </c>
      <c r="L670" s="7" t="s">
        <v>2311</v>
      </c>
      <c r="M670" s="7" t="s">
        <v>5247</v>
      </c>
      <c r="N670" s="7" t="s">
        <v>4107</v>
      </c>
      <c r="O670" s="7" t="s">
        <v>3698</v>
      </c>
      <c r="P670" s="7">
        <v>41</v>
      </c>
      <c r="Q670" s="7">
        <v>43951330</v>
      </c>
      <c r="R670" s="7">
        <v>0.14000000000000001</v>
      </c>
      <c r="S670" s="7">
        <v>0.05</v>
      </c>
      <c r="T670" s="7">
        <v>39688050.990000002</v>
      </c>
      <c r="U670" s="7">
        <v>32734297.02</v>
      </c>
      <c r="V670" s="7">
        <v>0.21</v>
      </c>
      <c r="W670" s="7">
        <v>0.15</v>
      </c>
      <c r="X670" s="7" t="s">
        <v>2312</v>
      </c>
      <c r="Y670" s="7">
        <v>25970093.41</v>
      </c>
      <c r="Z670" s="7">
        <v>10245102.73</v>
      </c>
      <c r="AA670" s="7">
        <v>30</v>
      </c>
      <c r="AB670" s="7">
        <v>92</v>
      </c>
      <c r="AC670" s="7" t="s">
        <v>353</v>
      </c>
      <c r="AD670" s="7" t="s">
        <v>381</v>
      </c>
      <c r="AE670" s="7">
        <v>0.69</v>
      </c>
      <c r="AF670" s="7" t="s">
        <v>4361</v>
      </c>
      <c r="AG670" s="7">
        <v>0.1</v>
      </c>
      <c r="AH670" s="7">
        <v>0.03</v>
      </c>
      <c r="AI670" s="7">
        <v>14</v>
      </c>
      <c r="AJ670" s="7">
        <v>1502</v>
      </c>
      <c r="AK670" s="7">
        <v>9191146.3499999996</v>
      </c>
      <c r="AL670" s="7">
        <v>16122534.609999999</v>
      </c>
      <c r="AM670" s="7" t="s">
        <v>391</v>
      </c>
      <c r="AN670" s="7" t="s">
        <v>386</v>
      </c>
      <c r="AO670" s="7">
        <v>75.8</v>
      </c>
      <c r="AP670" s="7">
        <v>36</v>
      </c>
      <c r="AQ670" s="7" t="s">
        <v>387</v>
      </c>
      <c r="AR670" s="7" t="s">
        <v>224</v>
      </c>
      <c r="AS670" s="7"/>
    </row>
    <row r="671" spans="1:45" x14ac:dyDescent="0.3">
      <c r="A671" s="6" t="s">
        <v>2313</v>
      </c>
      <c r="B671" s="6" t="s">
        <v>4339</v>
      </c>
      <c r="C671" s="6" t="s">
        <v>279</v>
      </c>
      <c r="D671" s="6" t="s">
        <v>238</v>
      </c>
      <c r="E671" s="6" t="s">
        <v>52</v>
      </c>
      <c r="F671" s="6" t="s">
        <v>75</v>
      </c>
      <c r="G671" s="6" t="s">
        <v>33</v>
      </c>
      <c r="H671" s="6" t="s">
        <v>4280</v>
      </c>
      <c r="I671" s="6" t="s">
        <v>4289</v>
      </c>
      <c r="J671" s="7" t="s">
        <v>119</v>
      </c>
      <c r="K671" s="6" t="s">
        <v>223</v>
      </c>
      <c r="L671" s="6" t="s">
        <v>2314</v>
      </c>
      <c r="M671" s="6" t="s">
        <v>4381</v>
      </c>
      <c r="N671" s="6" t="s">
        <v>4021</v>
      </c>
      <c r="O671" s="6" t="s">
        <v>5248</v>
      </c>
      <c r="P671" s="6">
        <v>41</v>
      </c>
      <c r="Q671" s="6">
        <v>16795159</v>
      </c>
      <c r="R671" s="6">
        <v>0.08</v>
      </c>
      <c r="S671" s="6">
        <v>0.12</v>
      </c>
      <c r="T671" s="6">
        <v>17305731.829999998</v>
      </c>
      <c r="U671" s="6">
        <v>11526212.029999999</v>
      </c>
      <c r="V671" s="6">
        <v>0.36</v>
      </c>
      <c r="W671" s="6">
        <v>0.15</v>
      </c>
      <c r="X671" s="6" t="s">
        <v>2315</v>
      </c>
      <c r="Y671" s="6">
        <v>2407899.48</v>
      </c>
      <c r="Z671" s="6">
        <v>2611336.98</v>
      </c>
      <c r="AA671" s="6">
        <v>90</v>
      </c>
      <c r="AB671" s="6">
        <v>131</v>
      </c>
      <c r="AC671" s="6" t="s">
        <v>353</v>
      </c>
      <c r="AD671" s="6" t="s">
        <v>354</v>
      </c>
      <c r="AE671" s="6">
        <v>0.59</v>
      </c>
      <c r="AF671" s="6" t="s">
        <v>4319</v>
      </c>
      <c r="AG671" s="6">
        <v>0.1</v>
      </c>
      <c r="AH671" s="6">
        <v>0.08</v>
      </c>
      <c r="AI671" s="6">
        <v>13</v>
      </c>
      <c r="AJ671" s="6">
        <v>1249</v>
      </c>
      <c r="AK671" s="6">
        <v>2523101.89</v>
      </c>
      <c r="AL671" s="6">
        <v>2958143.89</v>
      </c>
      <c r="AM671" s="6" t="s">
        <v>321</v>
      </c>
      <c r="AN671" s="6" t="s">
        <v>386</v>
      </c>
      <c r="AO671" s="6">
        <v>83.4</v>
      </c>
      <c r="AP671" s="6">
        <v>24</v>
      </c>
      <c r="AQ671" s="6" t="s">
        <v>387</v>
      </c>
      <c r="AR671" s="6" t="s">
        <v>192</v>
      </c>
      <c r="AS671" s="6" t="s">
        <v>324</v>
      </c>
    </row>
    <row r="672" spans="1:45" x14ac:dyDescent="0.3">
      <c r="A672" s="7" t="s">
        <v>2316</v>
      </c>
      <c r="B672" s="7" t="s">
        <v>5249</v>
      </c>
      <c r="C672" s="7" t="s">
        <v>267</v>
      </c>
      <c r="D672" s="7" t="s">
        <v>281</v>
      </c>
      <c r="E672" s="7"/>
      <c r="F672" s="7" t="s">
        <v>350</v>
      </c>
      <c r="G672" s="7" t="s">
        <v>38</v>
      </c>
      <c r="H672" s="7" t="s">
        <v>4280</v>
      </c>
      <c r="I672" s="7" t="s">
        <v>240</v>
      </c>
      <c r="J672" s="7" t="s">
        <v>99</v>
      </c>
      <c r="K672" s="7" t="s">
        <v>223</v>
      </c>
      <c r="L672" s="7" t="s">
        <v>2317</v>
      </c>
      <c r="M672" s="7" t="s">
        <v>5250</v>
      </c>
      <c r="N672" s="7" t="s">
        <v>5251</v>
      </c>
      <c r="O672" s="7" t="s">
        <v>4746</v>
      </c>
      <c r="P672" s="7">
        <v>50</v>
      </c>
      <c r="Q672" s="7">
        <v>48934434</v>
      </c>
      <c r="R672" s="7">
        <v>0.31</v>
      </c>
      <c r="S672" s="7">
        <v>0.04</v>
      </c>
      <c r="T672" s="7">
        <v>35115349.840000004</v>
      </c>
      <c r="U672" s="7">
        <v>26788832.440000001</v>
      </c>
      <c r="V672" s="7">
        <v>0.16</v>
      </c>
      <c r="W672" s="7">
        <v>0.05</v>
      </c>
      <c r="X672" s="7" t="s">
        <v>2318</v>
      </c>
      <c r="Y672" s="7">
        <v>28781688.600000001</v>
      </c>
      <c r="Z672" s="7">
        <v>23576078.219999999</v>
      </c>
      <c r="AA672" s="7">
        <v>60</v>
      </c>
      <c r="AB672" s="7">
        <v>125</v>
      </c>
      <c r="AC672" s="7" t="s">
        <v>342</v>
      </c>
      <c r="AD672" s="7" t="s">
        <v>226</v>
      </c>
      <c r="AE672" s="7">
        <v>0.94</v>
      </c>
      <c r="AF672" s="7" t="s">
        <v>4361</v>
      </c>
      <c r="AG672" s="7">
        <v>0.1</v>
      </c>
      <c r="AH672" s="7">
        <v>0.06</v>
      </c>
      <c r="AI672" s="7">
        <v>9</v>
      </c>
      <c r="AJ672" s="7">
        <v>2139</v>
      </c>
      <c r="AK672" s="7">
        <v>4217550.57</v>
      </c>
      <c r="AL672" s="7">
        <v>9783652.2899999991</v>
      </c>
      <c r="AM672" s="7" t="s">
        <v>391</v>
      </c>
      <c r="AN672" s="7" t="s">
        <v>321</v>
      </c>
      <c r="AO672" s="7">
        <v>82.1</v>
      </c>
      <c r="AP672" s="7">
        <v>60</v>
      </c>
      <c r="AQ672" s="7"/>
      <c r="AR672" s="7" t="s">
        <v>186</v>
      </c>
      <c r="AS672" s="7" t="s">
        <v>361</v>
      </c>
    </row>
    <row r="673" spans="1:45" x14ac:dyDescent="0.3">
      <c r="A673" s="6" t="s">
        <v>2319</v>
      </c>
      <c r="B673" s="6" t="s">
        <v>3377</v>
      </c>
      <c r="C673" s="6" t="s">
        <v>227</v>
      </c>
      <c r="D673" s="6" t="s">
        <v>265</v>
      </c>
      <c r="E673" s="6" t="s">
        <v>4376</v>
      </c>
      <c r="F673" s="6" t="s">
        <v>35</v>
      </c>
      <c r="G673" s="6" t="s">
        <v>80</v>
      </c>
      <c r="H673" s="6"/>
      <c r="I673" s="6" t="s">
        <v>233</v>
      </c>
      <c r="J673" s="6" t="s">
        <v>136</v>
      </c>
      <c r="K673" s="6" t="s">
        <v>223</v>
      </c>
      <c r="L673" s="6" t="s">
        <v>2320</v>
      </c>
      <c r="M673" s="6" t="s">
        <v>5245</v>
      </c>
      <c r="N673" s="6" t="s">
        <v>4646</v>
      </c>
      <c r="O673" s="6" t="s">
        <v>4274</v>
      </c>
      <c r="P673" s="6">
        <v>3</v>
      </c>
      <c r="Q673" s="6">
        <v>14914154</v>
      </c>
      <c r="R673" s="6">
        <v>0.09</v>
      </c>
      <c r="S673" s="6">
        <v>0.15</v>
      </c>
      <c r="T673" s="6">
        <v>15607662.16</v>
      </c>
      <c r="U673" s="6">
        <v>9975938.2699999996</v>
      </c>
      <c r="V673" s="6">
        <v>0.27</v>
      </c>
      <c r="W673" s="6">
        <v>0.18</v>
      </c>
      <c r="X673" s="6" t="s">
        <v>2321</v>
      </c>
      <c r="Y673" s="6">
        <v>6653280.25</v>
      </c>
      <c r="Z673" s="6">
        <v>5954702.6900000004</v>
      </c>
      <c r="AA673" s="6">
        <v>90</v>
      </c>
      <c r="AB673" s="6">
        <v>59</v>
      </c>
      <c r="AC673" s="6" t="s">
        <v>376</v>
      </c>
      <c r="AD673" s="6" t="s">
        <v>354</v>
      </c>
      <c r="AE673" s="6">
        <v>0.24</v>
      </c>
      <c r="AF673" s="6" t="s">
        <v>159</v>
      </c>
      <c r="AG673" s="6">
        <v>0.1</v>
      </c>
      <c r="AH673" s="6">
        <v>0.06</v>
      </c>
      <c r="AI673" s="6">
        <v>4</v>
      </c>
      <c r="AJ673" s="6">
        <v>3997</v>
      </c>
      <c r="AK673" s="6">
        <v>3817580.08</v>
      </c>
      <c r="AL673" s="6">
        <v>1661121.74</v>
      </c>
      <c r="AM673" s="6" t="s">
        <v>355</v>
      </c>
      <c r="AN673" s="6" t="s">
        <v>356</v>
      </c>
      <c r="AO673" s="6">
        <v>58.2</v>
      </c>
      <c r="AP673" s="6">
        <v>36</v>
      </c>
      <c r="AQ673" s="6" t="s">
        <v>323</v>
      </c>
      <c r="AR673" s="6" t="s">
        <v>224</v>
      </c>
      <c r="AS673" s="6" t="s">
        <v>377</v>
      </c>
    </row>
    <row r="674" spans="1:45" x14ac:dyDescent="0.3">
      <c r="A674" s="7" t="s">
        <v>2322</v>
      </c>
      <c r="B674" s="7" t="s">
        <v>5252</v>
      </c>
      <c r="C674" s="7" t="s">
        <v>252</v>
      </c>
      <c r="D674" s="7" t="s">
        <v>250</v>
      </c>
      <c r="E674" s="7" t="s">
        <v>41</v>
      </c>
      <c r="F674" s="7" t="s">
        <v>363</v>
      </c>
      <c r="G674" s="7" t="s">
        <v>54</v>
      </c>
      <c r="H674" s="7" t="s">
        <v>263</v>
      </c>
      <c r="I674" s="7" t="s">
        <v>183</v>
      </c>
      <c r="J674" s="6" t="s">
        <v>105</v>
      </c>
      <c r="K674" s="7" t="s">
        <v>199</v>
      </c>
      <c r="L674" s="7" t="s">
        <v>2323</v>
      </c>
      <c r="M674" s="7" t="s">
        <v>5253</v>
      </c>
      <c r="N674" s="7" t="s">
        <v>4109</v>
      </c>
      <c r="O674" s="7" t="s">
        <v>4087</v>
      </c>
      <c r="P674" s="7">
        <v>20</v>
      </c>
      <c r="Q674" s="7">
        <v>29448533</v>
      </c>
      <c r="R674" s="7">
        <v>0.13</v>
      </c>
      <c r="S674" s="7">
        <v>0.1</v>
      </c>
      <c r="T674" s="7">
        <v>28182246.079999998</v>
      </c>
      <c r="U674" s="7">
        <v>20666398.02</v>
      </c>
      <c r="V674" s="7">
        <v>0.34</v>
      </c>
      <c r="W674" s="7">
        <v>0.17</v>
      </c>
      <c r="X674" s="7"/>
      <c r="Y674" s="7">
        <v>16873063.670000002</v>
      </c>
      <c r="Z674" s="7">
        <v>12177670.460000001</v>
      </c>
      <c r="AA674" s="7">
        <v>120</v>
      </c>
      <c r="AB674" s="7">
        <v>116</v>
      </c>
      <c r="AC674" s="7" t="s">
        <v>376</v>
      </c>
      <c r="AD674" s="7" t="s">
        <v>320</v>
      </c>
      <c r="AE674" s="7">
        <v>0.81</v>
      </c>
      <c r="AF674" s="7" t="s">
        <v>152</v>
      </c>
      <c r="AG674" s="7">
        <v>0.15</v>
      </c>
      <c r="AH674" s="7">
        <v>0.08</v>
      </c>
      <c r="AI674" s="7">
        <v>11</v>
      </c>
      <c r="AJ674" s="7">
        <v>2730</v>
      </c>
      <c r="AK674" s="7">
        <v>4405006.29</v>
      </c>
      <c r="AL674" s="7">
        <v>12381517.65</v>
      </c>
      <c r="AM674" s="7"/>
      <c r="AN674" s="7" t="s">
        <v>348</v>
      </c>
      <c r="AO674" s="7"/>
      <c r="AP674" s="7">
        <v>24</v>
      </c>
      <c r="AQ674" s="7" t="s">
        <v>323</v>
      </c>
      <c r="AR674" s="7" t="s">
        <v>192</v>
      </c>
      <c r="AS674" s="7"/>
    </row>
    <row r="675" spans="1:45" x14ac:dyDescent="0.3">
      <c r="A675" s="6" t="s">
        <v>2324</v>
      </c>
      <c r="B675" s="6" t="s">
        <v>5179</v>
      </c>
      <c r="C675" s="6" t="s">
        <v>234</v>
      </c>
      <c r="D675" s="6" t="s">
        <v>250</v>
      </c>
      <c r="E675" s="6" t="s">
        <v>4306</v>
      </c>
      <c r="F675" s="6" t="s">
        <v>75</v>
      </c>
      <c r="G675" s="6" t="s">
        <v>28</v>
      </c>
      <c r="H675" s="6" t="s">
        <v>212</v>
      </c>
      <c r="I675" s="6" t="s">
        <v>233</v>
      </c>
      <c r="J675" s="7" t="s">
        <v>133</v>
      </c>
      <c r="K675" s="6" t="s">
        <v>221</v>
      </c>
      <c r="L675" s="6" t="s">
        <v>2325</v>
      </c>
      <c r="M675" s="6" t="s">
        <v>5254</v>
      </c>
      <c r="N675" s="6" t="s">
        <v>5255</v>
      </c>
      <c r="O675" s="6" t="s">
        <v>5256</v>
      </c>
      <c r="P675" s="6">
        <v>55</v>
      </c>
      <c r="Q675" s="6">
        <v>19436928</v>
      </c>
      <c r="R675" s="6">
        <v>0.13</v>
      </c>
      <c r="S675" s="6">
        <v>-0.02</v>
      </c>
      <c r="T675" s="6">
        <v>16571924.810000001</v>
      </c>
      <c r="U675" s="6">
        <v>12636269.49</v>
      </c>
      <c r="V675" s="6">
        <v>0.4</v>
      </c>
      <c r="W675" s="6">
        <v>7.0000000000000007E-2</v>
      </c>
      <c r="X675" s="6" t="s">
        <v>2326</v>
      </c>
      <c r="Y675" s="6">
        <v>4070023.66</v>
      </c>
      <c r="Z675" s="6">
        <v>2269720.2200000002</v>
      </c>
      <c r="AA675" s="6">
        <v>60</v>
      </c>
      <c r="AB675" s="6">
        <v>73</v>
      </c>
      <c r="AC675" s="6" t="s">
        <v>329</v>
      </c>
      <c r="AD675" s="6" t="s">
        <v>354</v>
      </c>
      <c r="AE675" s="6">
        <v>0.08</v>
      </c>
      <c r="AF675" s="6" t="s">
        <v>159</v>
      </c>
      <c r="AG675" s="6">
        <v>0.15</v>
      </c>
      <c r="AH675" s="6">
        <v>0.06</v>
      </c>
      <c r="AI675" s="6">
        <v>7</v>
      </c>
      <c r="AJ675" s="6">
        <v>4014</v>
      </c>
      <c r="AK675" s="6">
        <v>1571015.16</v>
      </c>
      <c r="AL675" s="6">
        <v>5976768.3899999997</v>
      </c>
      <c r="AM675" s="6" t="s">
        <v>73</v>
      </c>
      <c r="AN675" s="6" t="s">
        <v>322</v>
      </c>
      <c r="AO675" s="6">
        <v>56</v>
      </c>
      <c r="AP675" s="6">
        <v>48</v>
      </c>
      <c r="AQ675" s="6" t="s">
        <v>392</v>
      </c>
      <c r="AR675" s="6" t="s">
        <v>229</v>
      </c>
      <c r="AS675" s="6"/>
    </row>
    <row r="676" spans="1:45" x14ac:dyDescent="0.3">
      <c r="A676" s="7" t="s">
        <v>2327</v>
      </c>
      <c r="B676" s="7" t="s">
        <v>4712</v>
      </c>
      <c r="C676" s="7" t="s">
        <v>258</v>
      </c>
      <c r="D676" s="7" t="s">
        <v>562</v>
      </c>
      <c r="E676" s="7" t="s">
        <v>4306</v>
      </c>
      <c r="F676" s="7" t="s">
        <v>75</v>
      </c>
      <c r="G676" s="7" t="s">
        <v>80</v>
      </c>
      <c r="H676" s="7" t="s">
        <v>197</v>
      </c>
      <c r="I676" s="7" t="s">
        <v>198</v>
      </c>
      <c r="J676" s="7" t="s">
        <v>133</v>
      </c>
      <c r="K676" s="7" t="s">
        <v>184</v>
      </c>
      <c r="L676" s="7" t="s">
        <v>2328</v>
      </c>
      <c r="M676" s="7" t="s">
        <v>5257</v>
      </c>
      <c r="N676" s="7" t="s">
        <v>4436</v>
      </c>
      <c r="O676" s="7" t="s">
        <v>3515</v>
      </c>
      <c r="P676" s="7">
        <v>12</v>
      </c>
      <c r="Q676" s="7">
        <v>39193226</v>
      </c>
      <c r="R676" s="7">
        <v>0.23</v>
      </c>
      <c r="S676" s="7">
        <v>0.08</v>
      </c>
      <c r="T676" s="7">
        <v>32593086.739999998</v>
      </c>
      <c r="U676" s="7">
        <v>21104075.390000001</v>
      </c>
      <c r="V676" s="7">
        <v>0.13</v>
      </c>
      <c r="W676" s="7">
        <v>0.1</v>
      </c>
      <c r="X676" s="7" t="s">
        <v>2329</v>
      </c>
      <c r="Y676" s="7">
        <v>8479751.6999999993</v>
      </c>
      <c r="Z676" s="7">
        <v>5510785.3300000001</v>
      </c>
      <c r="AA676" s="7">
        <v>90</v>
      </c>
      <c r="AB676" s="7">
        <v>106</v>
      </c>
      <c r="AC676" s="7" t="s">
        <v>329</v>
      </c>
      <c r="AD676" s="7" t="s">
        <v>381</v>
      </c>
      <c r="AE676" s="7">
        <v>0.08</v>
      </c>
      <c r="AF676" s="7" t="s">
        <v>153</v>
      </c>
      <c r="AG676" s="7">
        <v>0.1</v>
      </c>
      <c r="AH676" s="7">
        <v>7.0000000000000007E-2</v>
      </c>
      <c r="AI676" s="7">
        <v>15</v>
      </c>
      <c r="AJ676" s="7">
        <v>3631</v>
      </c>
      <c r="AK676" s="7">
        <v>5030167.59</v>
      </c>
      <c r="AL676" s="7">
        <v>15739088.189999999</v>
      </c>
      <c r="AM676" s="7" t="s">
        <v>321</v>
      </c>
      <c r="AN676" s="7" t="s">
        <v>386</v>
      </c>
      <c r="AO676" s="7">
        <v>86.9</v>
      </c>
      <c r="AP676" s="7">
        <v>48</v>
      </c>
      <c r="AQ676" s="7" t="s">
        <v>337</v>
      </c>
      <c r="AR676" s="7" t="s">
        <v>206</v>
      </c>
      <c r="AS676" s="7" t="s">
        <v>324</v>
      </c>
    </row>
    <row r="677" spans="1:45" x14ac:dyDescent="0.3">
      <c r="A677" s="6" t="s">
        <v>2330</v>
      </c>
      <c r="B677" s="6" t="s">
        <v>5258</v>
      </c>
      <c r="C677" s="6" t="s">
        <v>251</v>
      </c>
      <c r="D677" s="6" t="s">
        <v>250</v>
      </c>
      <c r="E677" s="6" t="s">
        <v>36</v>
      </c>
      <c r="F677" s="6" t="s">
        <v>19</v>
      </c>
      <c r="G677" s="6" t="s">
        <v>50</v>
      </c>
      <c r="H677" s="6" t="s">
        <v>197</v>
      </c>
      <c r="I677" s="6" t="s">
        <v>4307</v>
      </c>
      <c r="J677" s="6" t="s">
        <v>115</v>
      </c>
      <c r="K677" s="6" t="s">
        <v>221</v>
      </c>
      <c r="L677" s="6" t="s">
        <v>2331</v>
      </c>
      <c r="M677" s="6" t="s">
        <v>3654</v>
      </c>
      <c r="N677" s="6" t="s">
        <v>4110</v>
      </c>
      <c r="O677" s="6" t="s">
        <v>4274</v>
      </c>
      <c r="P677" s="6">
        <v>9</v>
      </c>
      <c r="Q677" s="6">
        <v>37315755</v>
      </c>
      <c r="R677" s="6">
        <v>0.17</v>
      </c>
      <c r="S677" s="6">
        <v>-0.04</v>
      </c>
      <c r="T677" s="6">
        <v>29733193.579999998</v>
      </c>
      <c r="U677" s="6">
        <v>22723677.210000001</v>
      </c>
      <c r="V677" s="6">
        <v>0.32</v>
      </c>
      <c r="W677" s="6">
        <v>0.17</v>
      </c>
      <c r="X677" s="6" t="s">
        <v>2332</v>
      </c>
      <c r="Y677" s="6">
        <v>14275429.960000001</v>
      </c>
      <c r="Z677" s="6">
        <v>10002100.199999999</v>
      </c>
      <c r="AA677" s="6">
        <v>30</v>
      </c>
      <c r="AB677" s="6">
        <v>127</v>
      </c>
      <c r="AC677" s="6" t="s">
        <v>329</v>
      </c>
      <c r="AD677" s="6" t="s">
        <v>381</v>
      </c>
      <c r="AE677" s="6">
        <v>0.36</v>
      </c>
      <c r="AF677" s="6" t="s">
        <v>4361</v>
      </c>
      <c r="AG677" s="6">
        <v>0.1</v>
      </c>
      <c r="AH677" s="6">
        <v>0.08</v>
      </c>
      <c r="AI677" s="6">
        <v>0</v>
      </c>
      <c r="AJ677" s="6">
        <v>4570</v>
      </c>
      <c r="AK677" s="6">
        <v>1358122.82</v>
      </c>
      <c r="AL677" s="6">
        <v>11596485.029999999</v>
      </c>
      <c r="AM677" s="6" t="s">
        <v>391</v>
      </c>
      <c r="AN677" s="6" t="s">
        <v>322</v>
      </c>
      <c r="AO677" s="6">
        <v>97.2</v>
      </c>
      <c r="AP677" s="6">
        <v>12</v>
      </c>
      <c r="AQ677" s="6" t="s">
        <v>392</v>
      </c>
      <c r="AR677" s="6" t="s">
        <v>224</v>
      </c>
      <c r="AS677" s="6"/>
    </row>
    <row r="678" spans="1:45" x14ac:dyDescent="0.3">
      <c r="A678" s="7" t="s">
        <v>2333</v>
      </c>
      <c r="B678" s="7" t="s">
        <v>3653</v>
      </c>
      <c r="C678" s="7" t="s">
        <v>277</v>
      </c>
      <c r="D678" s="7" t="s">
        <v>215</v>
      </c>
      <c r="E678" s="7"/>
      <c r="F678" s="7"/>
      <c r="G678" s="7" t="s">
        <v>57</v>
      </c>
      <c r="H678" s="7" t="s">
        <v>263</v>
      </c>
      <c r="I678" s="7" t="s">
        <v>233</v>
      </c>
      <c r="J678" s="7" t="s">
        <v>99</v>
      </c>
      <c r="K678" s="7" t="s">
        <v>223</v>
      </c>
      <c r="L678" s="7" t="s">
        <v>2334</v>
      </c>
      <c r="M678" s="7" t="s">
        <v>4341</v>
      </c>
      <c r="N678" s="7" t="s">
        <v>5259</v>
      </c>
      <c r="O678" s="7" t="s">
        <v>5235</v>
      </c>
      <c r="P678" s="7">
        <v>51</v>
      </c>
      <c r="Q678" s="7">
        <v>2571642</v>
      </c>
      <c r="R678" s="7">
        <v>0.28999999999999998</v>
      </c>
      <c r="S678" s="7">
        <v>0.08</v>
      </c>
      <c r="T678" s="7">
        <v>1971935.09</v>
      </c>
      <c r="U678" s="7">
        <v>1708683.88</v>
      </c>
      <c r="V678" s="7">
        <v>0.28000000000000003</v>
      </c>
      <c r="W678" s="7">
        <v>0.1</v>
      </c>
      <c r="X678" s="7" t="s">
        <v>2335</v>
      </c>
      <c r="Y678" s="7">
        <v>988118.25</v>
      </c>
      <c r="Z678" s="7">
        <v>322789.87</v>
      </c>
      <c r="AA678" s="7">
        <v>120</v>
      </c>
      <c r="AB678" s="7">
        <v>67</v>
      </c>
      <c r="AC678" s="7" t="s">
        <v>329</v>
      </c>
      <c r="AD678" s="7" t="s">
        <v>226</v>
      </c>
      <c r="AE678" s="7">
        <v>0.69</v>
      </c>
      <c r="AF678" s="7" t="s">
        <v>4294</v>
      </c>
      <c r="AG678" s="7">
        <v>0.15</v>
      </c>
      <c r="AH678" s="7">
        <v>0.03</v>
      </c>
      <c r="AI678" s="7">
        <v>13</v>
      </c>
      <c r="AJ678" s="7">
        <v>4123</v>
      </c>
      <c r="AK678" s="7">
        <v>51136.06</v>
      </c>
      <c r="AL678" s="7">
        <v>449724.87</v>
      </c>
      <c r="AM678" s="7" t="s">
        <v>385</v>
      </c>
      <c r="AN678" s="7" t="s">
        <v>321</v>
      </c>
      <c r="AO678" s="7">
        <v>58.9</v>
      </c>
      <c r="AP678" s="7">
        <v>48</v>
      </c>
      <c r="AQ678" s="7" t="s">
        <v>4275</v>
      </c>
      <c r="AR678" s="7" t="s">
        <v>229</v>
      </c>
      <c r="AS678" s="7" t="s">
        <v>361</v>
      </c>
    </row>
    <row r="679" spans="1:45" x14ac:dyDescent="0.3">
      <c r="A679" s="6" t="s">
        <v>2336</v>
      </c>
      <c r="B679" s="6" t="s">
        <v>3678</v>
      </c>
      <c r="C679" s="6" t="s">
        <v>211</v>
      </c>
      <c r="D679" s="6" t="s">
        <v>255</v>
      </c>
      <c r="E679" s="6" t="s">
        <v>52</v>
      </c>
      <c r="F679" s="6" t="s">
        <v>75</v>
      </c>
      <c r="G679" s="6" t="s">
        <v>50</v>
      </c>
      <c r="H679" s="6" t="s">
        <v>4280</v>
      </c>
      <c r="I679" s="6" t="s">
        <v>198</v>
      </c>
      <c r="J679" s="7" t="s">
        <v>119</v>
      </c>
      <c r="K679" s="6" t="s">
        <v>199</v>
      </c>
      <c r="L679" s="6" t="s">
        <v>2337</v>
      </c>
      <c r="M679" s="6" t="s">
        <v>4708</v>
      </c>
      <c r="N679" s="6" t="s">
        <v>4913</v>
      </c>
      <c r="O679" s="6" t="s">
        <v>4274</v>
      </c>
      <c r="P679" s="6" t="s">
        <v>4275</v>
      </c>
      <c r="Q679" s="6">
        <v>10197800</v>
      </c>
      <c r="R679" s="6">
        <v>0.03</v>
      </c>
      <c r="S679" s="6">
        <v>-0.04</v>
      </c>
      <c r="T679" s="6">
        <v>9496191.3599999994</v>
      </c>
      <c r="U679" s="6">
        <v>6654119.4299999997</v>
      </c>
      <c r="V679" s="6">
        <v>0.38</v>
      </c>
      <c r="W679" s="6">
        <v>0.13</v>
      </c>
      <c r="X679" s="6" t="s">
        <v>2338</v>
      </c>
      <c r="Y679" s="6">
        <v>2800526.9</v>
      </c>
      <c r="Z679" s="6">
        <v>1095882.95</v>
      </c>
      <c r="AA679" s="6">
        <v>60</v>
      </c>
      <c r="AB679" s="6">
        <v>22</v>
      </c>
      <c r="AC679" s="6" t="s">
        <v>347</v>
      </c>
      <c r="AD679" s="6" t="s">
        <v>320</v>
      </c>
      <c r="AE679" s="6">
        <v>0.4</v>
      </c>
      <c r="AF679" s="6" t="s">
        <v>4319</v>
      </c>
      <c r="AG679" s="6">
        <v>0.1</v>
      </c>
      <c r="AH679" s="6">
        <v>0.08</v>
      </c>
      <c r="AI679" s="6">
        <v>9</v>
      </c>
      <c r="AJ679" s="6">
        <v>3159</v>
      </c>
      <c r="AK679" s="6">
        <v>1914580.11</v>
      </c>
      <c r="AL679" s="6">
        <v>2210840.81</v>
      </c>
      <c r="AM679" s="6" t="s">
        <v>73</v>
      </c>
      <c r="AN679" s="6" t="s">
        <v>322</v>
      </c>
      <c r="AO679" s="6">
        <v>73.900000000000006</v>
      </c>
      <c r="AP679" s="6">
        <v>60</v>
      </c>
      <c r="AQ679" s="6"/>
      <c r="AR679" s="6" t="s">
        <v>224</v>
      </c>
      <c r="AS679" s="6" t="s">
        <v>377</v>
      </c>
    </row>
    <row r="680" spans="1:45" x14ac:dyDescent="0.3">
      <c r="A680" s="7" t="s">
        <v>2339</v>
      </c>
      <c r="B680" s="7" t="s">
        <v>4111</v>
      </c>
      <c r="C680" s="7" t="s">
        <v>275</v>
      </c>
      <c r="D680" s="7" t="s">
        <v>250</v>
      </c>
      <c r="E680" s="7" t="s">
        <v>4270</v>
      </c>
      <c r="F680" s="7" t="s">
        <v>367</v>
      </c>
      <c r="G680" s="7" t="s">
        <v>73</v>
      </c>
      <c r="H680" s="7" t="s">
        <v>4275</v>
      </c>
      <c r="I680" s="7" t="s">
        <v>240</v>
      </c>
      <c r="J680" s="7" t="s">
        <v>111</v>
      </c>
      <c r="K680" s="7" t="s">
        <v>184</v>
      </c>
      <c r="L680" s="7" t="s">
        <v>2340</v>
      </c>
      <c r="M680" s="7" t="s">
        <v>5260</v>
      </c>
      <c r="N680" s="7" t="s">
        <v>5003</v>
      </c>
      <c r="O680" s="7" t="s">
        <v>3428</v>
      </c>
      <c r="P680" s="7">
        <v>13</v>
      </c>
      <c r="Q680" s="7">
        <v>19854930</v>
      </c>
      <c r="R680" s="7">
        <v>0.18</v>
      </c>
      <c r="S680" s="7">
        <v>0.17</v>
      </c>
      <c r="T680" s="7">
        <v>19048819.84</v>
      </c>
      <c r="U680" s="7">
        <v>12026414.02</v>
      </c>
      <c r="V680" s="7" t="s">
        <v>4374</v>
      </c>
      <c r="W680" s="7">
        <v>0.14000000000000001</v>
      </c>
      <c r="X680" s="7" t="s">
        <v>2341</v>
      </c>
      <c r="Y680" s="7">
        <v>5881154.71</v>
      </c>
      <c r="Z680" s="7">
        <v>3294422.66</v>
      </c>
      <c r="AA680" s="7">
        <v>120</v>
      </c>
      <c r="AB680" s="7">
        <v>25</v>
      </c>
      <c r="AC680" s="7" t="s">
        <v>376</v>
      </c>
      <c r="AD680" s="7" t="s">
        <v>226</v>
      </c>
      <c r="AE680" s="7">
        <v>0.51</v>
      </c>
      <c r="AF680" s="7" t="s">
        <v>4361</v>
      </c>
      <c r="AG680" s="7">
        <v>0.15</v>
      </c>
      <c r="AH680" s="7">
        <v>0.08</v>
      </c>
      <c r="AI680" s="7">
        <v>7</v>
      </c>
      <c r="AJ680" s="7">
        <v>4088</v>
      </c>
      <c r="AK680" s="7">
        <v>4553694.8600000003</v>
      </c>
      <c r="AL680" s="7">
        <v>2786508.98</v>
      </c>
      <c r="AM680" s="7" t="s">
        <v>391</v>
      </c>
      <c r="AN680" s="7" t="s">
        <v>321</v>
      </c>
      <c r="AO680" s="7">
        <v>52.5</v>
      </c>
      <c r="AP680" s="7">
        <v>48</v>
      </c>
      <c r="AQ680" s="7" t="s">
        <v>392</v>
      </c>
      <c r="AR680" s="7" t="s">
        <v>206</v>
      </c>
      <c r="AS680" s="7"/>
    </row>
    <row r="681" spans="1:45" x14ac:dyDescent="0.3">
      <c r="A681" s="6" t="s">
        <v>2342</v>
      </c>
      <c r="B681" s="6" t="s">
        <v>5243</v>
      </c>
      <c r="C681" s="6" t="s">
        <v>271</v>
      </c>
      <c r="D681" s="6" t="s">
        <v>245</v>
      </c>
      <c r="E681" s="6" t="s">
        <v>4270</v>
      </c>
      <c r="F681" s="6" t="s">
        <v>181</v>
      </c>
      <c r="G681" s="6" t="s">
        <v>33</v>
      </c>
      <c r="H681" s="6" t="s">
        <v>263</v>
      </c>
      <c r="I681" s="6" t="s">
        <v>191</v>
      </c>
      <c r="J681" s="6" t="s">
        <v>127</v>
      </c>
      <c r="K681" s="6" t="s">
        <v>223</v>
      </c>
      <c r="L681" s="6" t="s">
        <v>2343</v>
      </c>
      <c r="M681" s="6" t="s">
        <v>4384</v>
      </c>
      <c r="N681" s="6" t="s">
        <v>5064</v>
      </c>
      <c r="O681" s="6" t="s">
        <v>5261</v>
      </c>
      <c r="P681" s="6">
        <v>60</v>
      </c>
      <c r="Q681" s="6">
        <v>25683104</v>
      </c>
      <c r="R681" s="6">
        <v>0.21</v>
      </c>
      <c r="S681" s="6">
        <v>0.12</v>
      </c>
      <c r="T681" s="6">
        <v>22724410.420000002</v>
      </c>
      <c r="U681" s="6">
        <v>15137667.51</v>
      </c>
      <c r="V681" s="6">
        <v>0.32</v>
      </c>
      <c r="W681" s="6">
        <v>0.06</v>
      </c>
      <c r="X681" s="6" t="s">
        <v>2344</v>
      </c>
      <c r="Y681" s="6">
        <v>11750531.57</v>
      </c>
      <c r="Z681" s="6">
        <v>6954757.96</v>
      </c>
      <c r="AA681" s="6">
        <v>30</v>
      </c>
      <c r="AB681" s="6">
        <v>98</v>
      </c>
      <c r="AC681" s="6" t="s">
        <v>353</v>
      </c>
      <c r="AD681" s="6" t="s">
        <v>406</v>
      </c>
      <c r="AE681" s="6">
        <v>0.28999999999999998</v>
      </c>
      <c r="AF681" s="6" t="s">
        <v>4276</v>
      </c>
      <c r="AG681" s="6">
        <v>0.1</v>
      </c>
      <c r="AH681" s="6">
        <v>0.09</v>
      </c>
      <c r="AI681" s="6">
        <v>12</v>
      </c>
      <c r="AJ681" s="6">
        <v>685</v>
      </c>
      <c r="AK681" s="6">
        <v>5201461.8</v>
      </c>
      <c r="AL681" s="6">
        <v>3068372.39</v>
      </c>
      <c r="AM681" s="6" t="s">
        <v>391</v>
      </c>
      <c r="AN681" s="6" t="s">
        <v>330</v>
      </c>
      <c r="AO681" s="6"/>
      <c r="AP681" s="6">
        <v>12</v>
      </c>
      <c r="AQ681" s="6" t="s">
        <v>337</v>
      </c>
      <c r="AR681" s="6" t="s">
        <v>186</v>
      </c>
      <c r="AS681" s="6" t="s">
        <v>357</v>
      </c>
    </row>
    <row r="682" spans="1:45" x14ac:dyDescent="0.3">
      <c r="A682" s="7" t="s">
        <v>2345</v>
      </c>
      <c r="B682" s="7" t="s">
        <v>5262</v>
      </c>
      <c r="C682" s="7" t="s">
        <v>219</v>
      </c>
      <c r="D682" s="7" t="s">
        <v>248</v>
      </c>
      <c r="E682" s="7"/>
      <c r="F682" s="7" t="s">
        <v>19</v>
      </c>
      <c r="G682" s="7" t="s">
        <v>70</v>
      </c>
      <c r="H682" s="7" t="s">
        <v>212</v>
      </c>
      <c r="I682" s="7" t="s">
        <v>246</v>
      </c>
      <c r="J682" s="7" t="s">
        <v>99</v>
      </c>
      <c r="K682" s="7" t="s">
        <v>326</v>
      </c>
      <c r="L682" s="7" t="s">
        <v>2346</v>
      </c>
      <c r="M682" s="7" t="s">
        <v>4112</v>
      </c>
      <c r="N682" s="7" t="s">
        <v>4113</v>
      </c>
      <c r="O682" s="7" t="s">
        <v>5263</v>
      </c>
      <c r="P682" s="7">
        <v>46</v>
      </c>
      <c r="Q682" s="7">
        <v>45980804</v>
      </c>
      <c r="R682" s="7">
        <v>0.23</v>
      </c>
      <c r="S682" s="7">
        <v>0.13</v>
      </c>
      <c r="T682" s="7">
        <v>40007897.560000002</v>
      </c>
      <c r="U682" s="7">
        <v>29244471.75</v>
      </c>
      <c r="V682" s="7">
        <v>0.36</v>
      </c>
      <c r="W682" s="7">
        <v>0.05</v>
      </c>
      <c r="X682" s="7" t="s">
        <v>2347</v>
      </c>
      <c r="Y682" s="7">
        <v>6878125.9000000004</v>
      </c>
      <c r="Z682" s="7">
        <v>7031788.96</v>
      </c>
      <c r="AA682" s="7">
        <v>90</v>
      </c>
      <c r="AB682" s="7">
        <v>153</v>
      </c>
      <c r="AC682" s="7" t="s">
        <v>347</v>
      </c>
      <c r="AD682" s="7" t="s">
        <v>406</v>
      </c>
      <c r="AE682" s="7">
        <v>0.32</v>
      </c>
      <c r="AF682" s="7" t="s">
        <v>4319</v>
      </c>
      <c r="AG682" s="7">
        <v>0.1</v>
      </c>
      <c r="AH682" s="7">
        <v>0.03</v>
      </c>
      <c r="AI682" s="7">
        <v>3</v>
      </c>
      <c r="AJ682" s="7">
        <v>2903</v>
      </c>
      <c r="AK682" s="7">
        <v>1594397.13</v>
      </c>
      <c r="AL682" s="7">
        <v>17079453.710000001</v>
      </c>
      <c r="AM682" s="7" t="s">
        <v>355</v>
      </c>
      <c r="AN682" s="7" t="s">
        <v>322</v>
      </c>
      <c r="AO682" s="7">
        <v>56.2</v>
      </c>
      <c r="AP682" s="7">
        <v>24</v>
      </c>
      <c r="AQ682" s="7" t="s">
        <v>323</v>
      </c>
      <c r="AR682" s="7" t="s">
        <v>192</v>
      </c>
      <c r="AS682" s="7"/>
    </row>
    <row r="683" spans="1:45" x14ac:dyDescent="0.3">
      <c r="A683" s="6" t="s">
        <v>2348</v>
      </c>
      <c r="B683" s="6" t="s">
        <v>4115</v>
      </c>
      <c r="C683" s="6" t="s">
        <v>208</v>
      </c>
      <c r="D683" s="6" t="s">
        <v>202</v>
      </c>
      <c r="E683" s="6" t="s">
        <v>41</v>
      </c>
      <c r="F683" s="6" t="s">
        <v>363</v>
      </c>
      <c r="G683" s="6" t="s">
        <v>16</v>
      </c>
      <c r="H683" s="6" t="s">
        <v>4266</v>
      </c>
      <c r="I683" s="6" t="s">
        <v>240</v>
      </c>
      <c r="J683" s="6" t="s">
        <v>105</v>
      </c>
      <c r="K683" s="6" t="s">
        <v>221</v>
      </c>
      <c r="L683" s="6" t="s">
        <v>2349</v>
      </c>
      <c r="M683" s="6" t="s">
        <v>4116</v>
      </c>
      <c r="N683" s="6" t="s">
        <v>4117</v>
      </c>
      <c r="O683" s="6" t="s">
        <v>5264</v>
      </c>
      <c r="P683" s="6">
        <v>12</v>
      </c>
      <c r="Q683" s="6">
        <v>38830512</v>
      </c>
      <c r="R683" s="6">
        <v>0.24</v>
      </c>
      <c r="S683" s="6">
        <v>0.02</v>
      </c>
      <c r="T683" s="6">
        <v>30101412.899999999</v>
      </c>
      <c r="U683" s="6">
        <v>19193029.989999998</v>
      </c>
      <c r="V683" s="6">
        <v>0.3</v>
      </c>
      <c r="W683" s="6">
        <v>0.12</v>
      </c>
      <c r="X683" s="6" t="s">
        <v>2350</v>
      </c>
      <c r="Y683" s="6">
        <v>4895856.66</v>
      </c>
      <c r="Z683" s="6">
        <v>5259097.9800000004</v>
      </c>
      <c r="AA683" s="6">
        <v>60</v>
      </c>
      <c r="AB683" s="6">
        <v>37</v>
      </c>
      <c r="AC683" s="6"/>
      <c r="AD683" s="6" t="s">
        <v>320</v>
      </c>
      <c r="AE683" s="6">
        <v>0.86</v>
      </c>
      <c r="AF683" s="6" t="s">
        <v>4361</v>
      </c>
      <c r="AG683" s="6">
        <v>0.1</v>
      </c>
      <c r="AH683" s="6">
        <v>0.01</v>
      </c>
      <c r="AI683" s="6">
        <v>12</v>
      </c>
      <c r="AJ683" s="6">
        <v>2409</v>
      </c>
      <c r="AK683" s="6">
        <v>4322819.5199999996</v>
      </c>
      <c r="AL683" s="6">
        <v>11515386.550000001</v>
      </c>
      <c r="AM683" s="6"/>
      <c r="AN683" s="6" t="s">
        <v>330</v>
      </c>
      <c r="AO683" s="6">
        <v>66.8</v>
      </c>
      <c r="AP683" s="6">
        <v>60</v>
      </c>
      <c r="AQ683" s="6" t="s">
        <v>337</v>
      </c>
      <c r="AR683" s="6" t="s">
        <v>224</v>
      </c>
      <c r="AS683" s="6" t="s">
        <v>361</v>
      </c>
    </row>
    <row r="684" spans="1:45" x14ac:dyDescent="0.3">
      <c r="A684" s="7" t="s">
        <v>2351</v>
      </c>
      <c r="B684" s="7" t="s">
        <v>4358</v>
      </c>
      <c r="C684" s="7" t="s">
        <v>208</v>
      </c>
      <c r="D684" s="7"/>
      <c r="E684" s="7" t="s">
        <v>41</v>
      </c>
      <c r="F684" s="7" t="s">
        <v>363</v>
      </c>
      <c r="G684" s="7" t="s">
        <v>50</v>
      </c>
      <c r="H684" s="7" t="s">
        <v>4326</v>
      </c>
      <c r="I684" s="7" t="s">
        <v>233</v>
      </c>
      <c r="J684" s="6" t="s">
        <v>130</v>
      </c>
      <c r="K684" s="7" t="s">
        <v>333</v>
      </c>
      <c r="L684" s="7" t="s">
        <v>2352</v>
      </c>
      <c r="M684" s="7" t="s">
        <v>4810</v>
      </c>
      <c r="N684" s="7" t="s">
        <v>5265</v>
      </c>
      <c r="O684" s="7" t="s">
        <v>5266</v>
      </c>
      <c r="P684" s="7">
        <v>9</v>
      </c>
      <c r="Q684" s="7">
        <v>5093831</v>
      </c>
      <c r="R684" s="7">
        <v>0.08</v>
      </c>
      <c r="S684" s="7">
        <v>7.0000000000000007E-2</v>
      </c>
      <c r="T684" s="7">
        <v>5014367.24</v>
      </c>
      <c r="U684" s="7">
        <v>4205282.28</v>
      </c>
      <c r="V684" s="7">
        <v>0.36</v>
      </c>
      <c r="W684" s="7">
        <v>0.06</v>
      </c>
      <c r="X684" s="7" t="s">
        <v>2353</v>
      </c>
      <c r="Y684" s="7">
        <v>2966626.61</v>
      </c>
      <c r="Z684" s="7">
        <v>2064545.89</v>
      </c>
      <c r="AA684" s="7">
        <v>90</v>
      </c>
      <c r="AB684" s="7">
        <v>105</v>
      </c>
      <c r="AC684" s="7"/>
      <c r="AD684" s="7" t="s">
        <v>406</v>
      </c>
      <c r="AE684" s="7">
        <v>0.52</v>
      </c>
      <c r="AF684" s="7" t="s">
        <v>4294</v>
      </c>
      <c r="AG684" s="7">
        <v>0.15</v>
      </c>
      <c r="AH684" s="7">
        <v>0.08</v>
      </c>
      <c r="AI684" s="7">
        <v>0</v>
      </c>
      <c r="AJ684" s="7">
        <v>1117</v>
      </c>
      <c r="AK684" s="7">
        <v>1102180.32</v>
      </c>
      <c r="AL684" s="7">
        <v>946876.11</v>
      </c>
      <c r="AM684" s="7" t="s">
        <v>343</v>
      </c>
      <c r="AN684" s="7" t="s">
        <v>321</v>
      </c>
      <c r="AO684" s="7">
        <v>70.099999999999994</v>
      </c>
      <c r="AP684" s="7">
        <v>60</v>
      </c>
      <c r="AQ684" s="7" t="s">
        <v>323</v>
      </c>
      <c r="AR684" s="7" t="s">
        <v>224</v>
      </c>
      <c r="AS684" s="7"/>
    </row>
    <row r="685" spans="1:45" x14ac:dyDescent="0.3">
      <c r="A685" s="6" t="s">
        <v>2354</v>
      </c>
      <c r="B685" s="6" t="s">
        <v>5267</v>
      </c>
      <c r="C685" s="6" t="s">
        <v>254</v>
      </c>
      <c r="D685" s="6" t="s">
        <v>232</v>
      </c>
      <c r="E685" s="6"/>
      <c r="F685" s="6" t="s">
        <v>75</v>
      </c>
      <c r="G685" s="6" t="s">
        <v>57</v>
      </c>
      <c r="H685" s="6" t="s">
        <v>4280</v>
      </c>
      <c r="I685" s="6"/>
      <c r="J685" s="6" t="s">
        <v>99</v>
      </c>
      <c r="K685" s="6" t="s">
        <v>199</v>
      </c>
      <c r="L685" s="6" t="s">
        <v>2355</v>
      </c>
      <c r="M685" s="6" t="s">
        <v>3903</v>
      </c>
      <c r="N685" s="6"/>
      <c r="O685" s="6" t="s">
        <v>3934</v>
      </c>
      <c r="P685" s="6">
        <v>38</v>
      </c>
      <c r="Q685" s="6">
        <v>32682311</v>
      </c>
      <c r="R685" s="6">
        <v>0.2</v>
      </c>
      <c r="S685" s="6">
        <v>-0.03</v>
      </c>
      <c r="T685" s="6">
        <v>25361473.34</v>
      </c>
      <c r="U685" s="6">
        <v>16330888</v>
      </c>
      <c r="V685" s="6">
        <v>0.2</v>
      </c>
      <c r="W685" s="6">
        <v>0.15</v>
      </c>
      <c r="X685" s="6" t="s">
        <v>2356</v>
      </c>
      <c r="Y685" s="6">
        <v>11716598.66</v>
      </c>
      <c r="Z685" s="6">
        <v>5952882.4100000001</v>
      </c>
      <c r="AA685" s="6">
        <v>30</v>
      </c>
      <c r="AB685" s="6">
        <v>82</v>
      </c>
      <c r="AC685" s="6" t="s">
        <v>342</v>
      </c>
      <c r="AD685" s="6" t="s">
        <v>320</v>
      </c>
      <c r="AE685" s="6">
        <v>0.6</v>
      </c>
      <c r="AF685" s="6" t="s">
        <v>159</v>
      </c>
      <c r="AG685" s="6">
        <v>0.05</v>
      </c>
      <c r="AH685" s="6">
        <v>0.01</v>
      </c>
      <c r="AI685" s="6">
        <v>12</v>
      </c>
      <c r="AJ685" s="6">
        <v>2378</v>
      </c>
      <c r="AK685" s="6"/>
      <c r="AL685" s="6">
        <v>7406235.0999999996</v>
      </c>
      <c r="AM685" s="6" t="s">
        <v>321</v>
      </c>
      <c r="AN685" s="6"/>
      <c r="AO685" s="6">
        <v>66.900000000000006</v>
      </c>
      <c r="AP685" s="6">
        <v>60</v>
      </c>
      <c r="AQ685" s="6" t="s">
        <v>387</v>
      </c>
      <c r="AR685" s="6" t="s">
        <v>192</v>
      </c>
      <c r="AS685" s="6" t="s">
        <v>357</v>
      </c>
    </row>
    <row r="686" spans="1:45" x14ac:dyDescent="0.3">
      <c r="A686" s="7" t="s">
        <v>2357</v>
      </c>
      <c r="B686" s="7" t="s">
        <v>4117</v>
      </c>
      <c r="C686" s="7" t="s">
        <v>261</v>
      </c>
      <c r="D686" s="7" t="s">
        <v>274</v>
      </c>
      <c r="E686" s="7" t="s">
        <v>4325</v>
      </c>
      <c r="F686" s="7" t="s">
        <v>339</v>
      </c>
      <c r="G686" s="7" t="s">
        <v>73</v>
      </c>
      <c r="H686" s="7" t="s">
        <v>4280</v>
      </c>
      <c r="I686" s="7" t="s">
        <v>4291</v>
      </c>
      <c r="J686" s="7" t="s">
        <v>115</v>
      </c>
      <c r="K686" s="7" t="s">
        <v>221</v>
      </c>
      <c r="L686" s="7" t="s">
        <v>2358</v>
      </c>
      <c r="M686" s="7" t="s">
        <v>5268</v>
      </c>
      <c r="N686" s="7"/>
      <c r="O686" s="7" t="s">
        <v>4274</v>
      </c>
      <c r="P686" s="7">
        <v>12</v>
      </c>
      <c r="Q686" s="7">
        <v>38071624</v>
      </c>
      <c r="R686" s="7">
        <v>0.35</v>
      </c>
      <c r="S686" s="7">
        <v>7.0000000000000007E-2</v>
      </c>
      <c r="T686" s="7">
        <v>26478814.489999998</v>
      </c>
      <c r="U686" s="7"/>
      <c r="V686" s="7">
        <v>0.35</v>
      </c>
      <c r="W686" s="7">
        <v>0.16</v>
      </c>
      <c r="X686" s="7" t="s">
        <v>2359</v>
      </c>
      <c r="Y686" s="7">
        <v>9287320.25</v>
      </c>
      <c r="Z686" s="7">
        <v>9229803.4299999997</v>
      </c>
      <c r="AA686" s="7">
        <v>90</v>
      </c>
      <c r="AB686" s="7">
        <v>136</v>
      </c>
      <c r="AC686" s="7" t="s">
        <v>376</v>
      </c>
      <c r="AD686" s="7" t="s">
        <v>336</v>
      </c>
      <c r="AE686" s="7">
        <v>0.42</v>
      </c>
      <c r="AF686" s="7" t="s">
        <v>4361</v>
      </c>
      <c r="AG686" s="7">
        <v>0.1</v>
      </c>
      <c r="AH686" s="7">
        <v>0.01</v>
      </c>
      <c r="AI686" s="7">
        <v>6</v>
      </c>
      <c r="AJ686" s="7">
        <v>2340</v>
      </c>
      <c r="AK686" s="7">
        <v>3657867.06</v>
      </c>
      <c r="AL686" s="7">
        <v>9567079.4199999999</v>
      </c>
      <c r="AM686" s="7" t="s">
        <v>385</v>
      </c>
      <c r="AN686" s="7" t="s">
        <v>330</v>
      </c>
      <c r="AO686" s="7">
        <v>89.8</v>
      </c>
      <c r="AP686" s="7">
        <v>60</v>
      </c>
      <c r="AQ686" s="7" t="s">
        <v>392</v>
      </c>
      <c r="AR686" s="7" t="s">
        <v>206</v>
      </c>
      <c r="AS686" s="7" t="s">
        <v>357</v>
      </c>
    </row>
    <row r="687" spans="1:45" x14ac:dyDescent="0.3">
      <c r="A687" s="6" t="s">
        <v>2360</v>
      </c>
      <c r="B687" s="6" t="s">
        <v>5018</v>
      </c>
      <c r="C687" s="6" t="s">
        <v>264</v>
      </c>
      <c r="D687" s="6" t="s">
        <v>232</v>
      </c>
      <c r="E687" s="6" t="s">
        <v>4265</v>
      </c>
      <c r="F687" s="6" t="s">
        <v>350</v>
      </c>
      <c r="G687" s="6"/>
      <c r="H687" s="6" t="s">
        <v>212</v>
      </c>
      <c r="I687" s="6" t="s">
        <v>4307</v>
      </c>
      <c r="J687" s="6" t="s">
        <v>105</v>
      </c>
      <c r="K687" s="6" t="s">
        <v>199</v>
      </c>
      <c r="L687" s="6" t="s">
        <v>2361</v>
      </c>
      <c r="M687" s="6" t="s">
        <v>5269</v>
      </c>
      <c r="N687" s="6" t="s">
        <v>5270</v>
      </c>
      <c r="O687" s="6" t="s">
        <v>3553</v>
      </c>
      <c r="P687" s="6">
        <v>20</v>
      </c>
      <c r="Q687" s="6">
        <v>22357640</v>
      </c>
      <c r="R687" s="6">
        <v>0.33</v>
      </c>
      <c r="S687" s="6">
        <v>-0.01</v>
      </c>
      <c r="T687" s="6">
        <v>14829822.609999999</v>
      </c>
      <c r="U687" s="6">
        <v>9861914.1600000001</v>
      </c>
      <c r="V687" s="6">
        <v>0.26</v>
      </c>
      <c r="W687" s="6">
        <v>0.13</v>
      </c>
      <c r="X687" s="6" t="s">
        <v>2362</v>
      </c>
      <c r="Y687" s="6">
        <v>10632532.68</v>
      </c>
      <c r="Z687" s="6">
        <v>4952319.7699999996</v>
      </c>
      <c r="AA687" s="6">
        <v>45</v>
      </c>
      <c r="AB687" s="6">
        <v>148</v>
      </c>
      <c r="AC687" s="6"/>
      <c r="AD687" s="6" t="s">
        <v>455</v>
      </c>
      <c r="AE687" s="6">
        <v>0.48</v>
      </c>
      <c r="AF687" s="6" t="s">
        <v>4361</v>
      </c>
      <c r="AG687" s="6">
        <v>0.15</v>
      </c>
      <c r="AH687" s="6">
        <v>0.03</v>
      </c>
      <c r="AI687" s="6">
        <v>10</v>
      </c>
      <c r="AJ687" s="6">
        <v>2304</v>
      </c>
      <c r="AK687" s="6">
        <v>1443265.42</v>
      </c>
      <c r="AL687" s="6">
        <v>4406460.66</v>
      </c>
      <c r="AM687" s="6" t="s">
        <v>355</v>
      </c>
      <c r="AN687" s="6" t="s">
        <v>330</v>
      </c>
      <c r="AO687" s="6">
        <v>68</v>
      </c>
      <c r="AP687" s="6" t="s">
        <v>4275</v>
      </c>
      <c r="AQ687" s="6" t="s">
        <v>323</v>
      </c>
      <c r="AR687" s="6" t="s">
        <v>224</v>
      </c>
      <c r="AS687" s="6" t="s">
        <v>324</v>
      </c>
    </row>
    <row r="688" spans="1:45" x14ac:dyDescent="0.3">
      <c r="A688" s="7" t="s">
        <v>2363</v>
      </c>
      <c r="B688" s="7" t="s">
        <v>3566</v>
      </c>
      <c r="C688" s="7" t="s">
        <v>243</v>
      </c>
      <c r="D688" s="7" t="s">
        <v>238</v>
      </c>
      <c r="E688" s="7" t="s">
        <v>4265</v>
      </c>
      <c r="F688" s="7" t="s">
        <v>228</v>
      </c>
      <c r="G688" s="7" t="s">
        <v>73</v>
      </c>
      <c r="H688" s="7" t="s">
        <v>197</v>
      </c>
      <c r="I688" s="7" t="s">
        <v>4372</v>
      </c>
      <c r="J688" s="6" t="s">
        <v>130</v>
      </c>
      <c r="K688" s="7" t="s">
        <v>221</v>
      </c>
      <c r="L688" s="7" t="s">
        <v>2364</v>
      </c>
      <c r="M688" s="7" t="s">
        <v>3683</v>
      </c>
      <c r="N688" s="7"/>
      <c r="O688" s="7" t="s">
        <v>3887</v>
      </c>
      <c r="P688" s="7">
        <v>27</v>
      </c>
      <c r="Q688" s="7">
        <v>29982961</v>
      </c>
      <c r="R688" s="7">
        <v>0.28000000000000003</v>
      </c>
      <c r="S688" s="7">
        <v>-0.03</v>
      </c>
      <c r="T688" s="7">
        <v>20940099.960000001</v>
      </c>
      <c r="U688" s="7">
        <v>16126265.59</v>
      </c>
      <c r="V688" s="7">
        <v>0.19</v>
      </c>
      <c r="W688" s="7">
        <v>0.09</v>
      </c>
      <c r="X688" s="7" t="s">
        <v>2365</v>
      </c>
      <c r="Y688" s="7">
        <v>16689084.039999999</v>
      </c>
      <c r="Z688" s="7">
        <v>15602290.52</v>
      </c>
      <c r="AA688" s="7">
        <v>60</v>
      </c>
      <c r="AB688" s="7">
        <v>151</v>
      </c>
      <c r="AC688" s="7" t="s">
        <v>342</v>
      </c>
      <c r="AD688" s="7" t="s">
        <v>406</v>
      </c>
      <c r="AE688" s="7">
        <v>0.71</v>
      </c>
      <c r="AF688" s="7" t="s">
        <v>4303</v>
      </c>
      <c r="AG688" s="7">
        <v>0.05</v>
      </c>
      <c r="AH688" s="7">
        <v>0.04</v>
      </c>
      <c r="AI688" s="7">
        <v>6</v>
      </c>
      <c r="AJ688" s="7">
        <v>2408</v>
      </c>
      <c r="AK688" s="7"/>
      <c r="AL688" s="7">
        <v>3402042.03</v>
      </c>
      <c r="AM688" s="7" t="s">
        <v>321</v>
      </c>
      <c r="AN688" s="7"/>
      <c r="AO688" s="7">
        <v>91.9</v>
      </c>
      <c r="AP688" s="7">
        <v>12</v>
      </c>
      <c r="AQ688" s="7" t="s">
        <v>323</v>
      </c>
      <c r="AR688" s="7" t="s">
        <v>186</v>
      </c>
      <c r="AS688" s="7" t="s">
        <v>324</v>
      </c>
    </row>
    <row r="689" spans="1:45" x14ac:dyDescent="0.3">
      <c r="A689" s="6" t="s">
        <v>2366</v>
      </c>
      <c r="B689" s="6" t="s">
        <v>4600</v>
      </c>
      <c r="C689" s="6" t="s">
        <v>225</v>
      </c>
      <c r="D689" s="6" t="s">
        <v>190</v>
      </c>
      <c r="E689" s="6" t="s">
        <v>4306</v>
      </c>
      <c r="F689" s="6" t="s">
        <v>75</v>
      </c>
      <c r="G689" s="6" t="s">
        <v>73</v>
      </c>
      <c r="H689" s="6" t="s">
        <v>212</v>
      </c>
      <c r="I689" s="6" t="s">
        <v>213</v>
      </c>
      <c r="J689" s="7" t="s">
        <v>133</v>
      </c>
      <c r="K689" s="6" t="s">
        <v>326</v>
      </c>
      <c r="L689" s="6" t="s">
        <v>2367</v>
      </c>
      <c r="M689" s="6" t="s">
        <v>5271</v>
      </c>
      <c r="N689" s="6"/>
      <c r="O689" s="6" t="s">
        <v>4274</v>
      </c>
      <c r="P689" s="6">
        <v>4</v>
      </c>
      <c r="Q689" s="6">
        <v>49757989</v>
      </c>
      <c r="R689" s="6">
        <v>0.1</v>
      </c>
      <c r="S689" s="6">
        <v>0.03</v>
      </c>
      <c r="T689" s="6">
        <v>46125655.799999997</v>
      </c>
      <c r="U689" s="6">
        <v>30245327.670000002</v>
      </c>
      <c r="V689" s="6">
        <v>0.23</v>
      </c>
      <c r="W689" s="6">
        <v>0.16</v>
      </c>
      <c r="X689" s="6" t="s">
        <v>2368</v>
      </c>
      <c r="Y689" s="6">
        <v>6624293.0199999996</v>
      </c>
      <c r="Z689" s="6">
        <v>5516062.9299999997</v>
      </c>
      <c r="AA689" s="6">
        <v>120</v>
      </c>
      <c r="AB689" s="6">
        <v>93</v>
      </c>
      <c r="AC689" s="6" t="s">
        <v>347</v>
      </c>
      <c r="AD689" s="6" t="s">
        <v>455</v>
      </c>
      <c r="AE689" s="6">
        <v>0.08</v>
      </c>
      <c r="AF689" s="6" t="s">
        <v>4303</v>
      </c>
      <c r="AG689" s="6">
        <v>0.05</v>
      </c>
      <c r="AH689" s="6">
        <v>0.06</v>
      </c>
      <c r="AI689" s="6">
        <v>0</v>
      </c>
      <c r="AJ689" s="6">
        <v>1390</v>
      </c>
      <c r="AK689" s="6">
        <v>2700666.52</v>
      </c>
      <c r="AL689" s="6">
        <v>20915600.75</v>
      </c>
      <c r="AM689" s="6" t="s">
        <v>385</v>
      </c>
      <c r="AN689" s="6" t="s">
        <v>330</v>
      </c>
      <c r="AO689" s="6">
        <v>52.7</v>
      </c>
      <c r="AP689" s="6">
        <v>36</v>
      </c>
      <c r="AQ689" s="6" t="s">
        <v>323</v>
      </c>
      <c r="AR689" s="6" t="s">
        <v>229</v>
      </c>
      <c r="AS689" s="6" t="s">
        <v>361</v>
      </c>
    </row>
    <row r="690" spans="1:45" x14ac:dyDescent="0.3">
      <c r="A690" s="7" t="s">
        <v>2369</v>
      </c>
      <c r="B690" s="7" t="s">
        <v>4119</v>
      </c>
      <c r="C690" s="7" t="s">
        <v>214</v>
      </c>
      <c r="D690" s="7" t="s">
        <v>274</v>
      </c>
      <c r="E690" s="7" t="s">
        <v>4538</v>
      </c>
      <c r="F690" s="7"/>
      <c r="G690" s="7" t="s">
        <v>46</v>
      </c>
      <c r="H690" s="7" t="s">
        <v>4266</v>
      </c>
      <c r="I690" s="7" t="s">
        <v>246</v>
      </c>
      <c r="J690" s="7" t="s">
        <v>99</v>
      </c>
      <c r="K690" s="7" t="s">
        <v>204</v>
      </c>
      <c r="L690" s="7" t="s">
        <v>2370</v>
      </c>
      <c r="M690" s="7" t="s">
        <v>3557</v>
      </c>
      <c r="N690" s="7"/>
      <c r="O690" s="7" t="s">
        <v>5272</v>
      </c>
      <c r="P690" s="7">
        <v>59</v>
      </c>
      <c r="Q690" s="7">
        <v>13060942</v>
      </c>
      <c r="R690" s="7">
        <v>0.06</v>
      </c>
      <c r="S690" s="7">
        <v>0.13</v>
      </c>
      <c r="T690" s="7">
        <v>13873332.59</v>
      </c>
      <c r="U690" s="7">
        <v>10057342.460000001</v>
      </c>
      <c r="V690" s="7">
        <v>0.37</v>
      </c>
      <c r="W690" s="7">
        <v>0.19</v>
      </c>
      <c r="X690" s="7" t="s">
        <v>2371</v>
      </c>
      <c r="Y690" s="7">
        <v>10879213.710000001</v>
      </c>
      <c r="Z690" s="7">
        <v>8695057.9399999995</v>
      </c>
      <c r="AA690" s="7">
        <v>120</v>
      </c>
      <c r="AB690" s="7">
        <v>127</v>
      </c>
      <c r="AC690" s="7" t="s">
        <v>353</v>
      </c>
      <c r="AD690" s="7" t="s">
        <v>406</v>
      </c>
      <c r="AE690" s="7">
        <v>0.7</v>
      </c>
      <c r="AF690" s="7" t="s">
        <v>4319</v>
      </c>
      <c r="AG690" s="7">
        <v>0.15</v>
      </c>
      <c r="AH690" s="7">
        <v>0.08</v>
      </c>
      <c r="AI690" s="7">
        <v>5</v>
      </c>
      <c r="AJ690" s="7">
        <v>2170</v>
      </c>
      <c r="AK690" s="7">
        <v>3121662.19</v>
      </c>
      <c r="AL690" s="7"/>
      <c r="AM690" s="7"/>
      <c r="AN690" s="7" t="s">
        <v>330</v>
      </c>
      <c r="AO690" s="7"/>
      <c r="AP690" s="7">
        <v>60</v>
      </c>
      <c r="AQ690" s="7"/>
      <c r="AR690" s="7" t="s">
        <v>229</v>
      </c>
      <c r="AS690" s="7"/>
    </row>
    <row r="691" spans="1:45" x14ac:dyDescent="0.3">
      <c r="A691" s="6" t="s">
        <v>2372</v>
      </c>
      <c r="B691" s="6" t="s">
        <v>4120</v>
      </c>
      <c r="C691" s="6" t="s">
        <v>277</v>
      </c>
      <c r="D691" s="6" t="s">
        <v>238</v>
      </c>
      <c r="E691" s="6" t="s">
        <v>36</v>
      </c>
      <c r="F691" s="6" t="s">
        <v>339</v>
      </c>
      <c r="G691" s="6" t="s">
        <v>80</v>
      </c>
      <c r="H691" s="6" t="s">
        <v>182</v>
      </c>
      <c r="I691" s="6" t="s">
        <v>203</v>
      </c>
      <c r="J691" s="6" t="s">
        <v>115</v>
      </c>
      <c r="K691" s="6" t="s">
        <v>221</v>
      </c>
      <c r="L691" s="6" t="s">
        <v>2373</v>
      </c>
      <c r="M691" s="6" t="s">
        <v>486</v>
      </c>
      <c r="N691" s="6" t="s">
        <v>4121</v>
      </c>
      <c r="O691" s="6" t="s">
        <v>4122</v>
      </c>
      <c r="P691" s="6">
        <v>45</v>
      </c>
      <c r="Q691" s="6">
        <v>529803</v>
      </c>
      <c r="R691" s="6">
        <v>0.08</v>
      </c>
      <c r="S691" s="6">
        <v>-0.05</v>
      </c>
      <c r="T691" s="6">
        <v>463047.82</v>
      </c>
      <c r="U691" s="6">
        <v>368117.43</v>
      </c>
      <c r="V691" s="6">
        <v>0.16</v>
      </c>
      <c r="W691" s="6">
        <v>0.18</v>
      </c>
      <c r="X691" s="6" t="s">
        <v>2374</v>
      </c>
      <c r="Y691" s="6">
        <v>71267.28</v>
      </c>
      <c r="Z691" s="6">
        <v>77280.789999999994</v>
      </c>
      <c r="AA691" s="6">
        <v>30</v>
      </c>
      <c r="AB691" s="6">
        <v>127</v>
      </c>
      <c r="AC691" s="6" t="s">
        <v>353</v>
      </c>
      <c r="AD691" s="6" t="s">
        <v>406</v>
      </c>
      <c r="AE691" s="6">
        <v>0.43</v>
      </c>
      <c r="AF691" s="6" t="s">
        <v>152</v>
      </c>
      <c r="AG691" s="6">
        <v>0.05</v>
      </c>
      <c r="AH691" s="6">
        <v>0.05</v>
      </c>
      <c r="AI691" s="6">
        <v>12</v>
      </c>
      <c r="AJ691" s="6">
        <v>2393</v>
      </c>
      <c r="AK691" s="6"/>
      <c r="AL691" s="6">
        <v>98195.72</v>
      </c>
      <c r="AM691" s="6"/>
      <c r="AN691" s="6"/>
      <c r="AO691" s="6">
        <v>52.9</v>
      </c>
      <c r="AP691" s="6">
        <v>24</v>
      </c>
      <c r="AQ691" s="6" t="s">
        <v>323</v>
      </c>
      <c r="AR691" s="6" t="s">
        <v>186</v>
      </c>
      <c r="AS691" s="6" t="s">
        <v>361</v>
      </c>
    </row>
    <row r="692" spans="1:45" x14ac:dyDescent="0.3">
      <c r="A692" s="7" t="s">
        <v>2375</v>
      </c>
      <c r="B692" s="7" t="s">
        <v>4490</v>
      </c>
      <c r="C692" s="7" t="s">
        <v>249</v>
      </c>
      <c r="D692" s="7" t="s">
        <v>250</v>
      </c>
      <c r="E692" s="7" t="s">
        <v>4376</v>
      </c>
      <c r="F692" s="7" t="s">
        <v>31</v>
      </c>
      <c r="G692" s="7" t="s">
        <v>73</v>
      </c>
      <c r="H692" s="7" t="s">
        <v>263</v>
      </c>
      <c r="I692" s="7" t="s">
        <v>233</v>
      </c>
      <c r="J692" s="7" t="s">
        <v>136</v>
      </c>
      <c r="K692" s="7" t="s">
        <v>326</v>
      </c>
      <c r="L692" s="7" t="s">
        <v>2376</v>
      </c>
      <c r="M692" s="7" t="s">
        <v>5273</v>
      </c>
      <c r="N692" s="7"/>
      <c r="O692" s="7" t="s">
        <v>5274</v>
      </c>
      <c r="P692" s="7">
        <v>23</v>
      </c>
      <c r="Q692" s="7">
        <v>26758711</v>
      </c>
      <c r="R692" s="7">
        <v>0.33</v>
      </c>
      <c r="S692" s="7">
        <v>-0.01</v>
      </c>
      <c r="T692" s="7">
        <v>17749053.010000002</v>
      </c>
      <c r="U692" s="7">
        <v>15577092.939999999</v>
      </c>
      <c r="V692" s="7">
        <v>0.2</v>
      </c>
      <c r="W692" s="7">
        <v>0.18</v>
      </c>
      <c r="X692" s="7" t="s">
        <v>2377</v>
      </c>
      <c r="Y692" s="7">
        <v>14609913.949999999</v>
      </c>
      <c r="Z692" s="7">
        <v>10556180.67</v>
      </c>
      <c r="AA692" s="7">
        <v>45</v>
      </c>
      <c r="AB692" s="7">
        <v>59</v>
      </c>
      <c r="AC692" s="7"/>
      <c r="AD692" s="7" t="s">
        <v>381</v>
      </c>
      <c r="AE692" s="7">
        <v>0.95</v>
      </c>
      <c r="AF692" s="7" t="s">
        <v>4319</v>
      </c>
      <c r="AG692" s="7">
        <v>0.05</v>
      </c>
      <c r="AH692" s="7">
        <v>7.0000000000000007E-2</v>
      </c>
      <c r="AI692" s="7">
        <v>9</v>
      </c>
      <c r="AJ692" s="7">
        <v>857</v>
      </c>
      <c r="AK692" s="7">
        <v>3954129.88</v>
      </c>
      <c r="AL692" s="7">
        <v>8870341.2899999991</v>
      </c>
      <c r="AM692" s="7" t="s">
        <v>385</v>
      </c>
      <c r="AN692" s="7" t="s">
        <v>348</v>
      </c>
      <c r="AO692" s="7">
        <v>50.5</v>
      </c>
      <c r="AP692" s="7">
        <v>24</v>
      </c>
      <c r="AQ692" s="7" t="s">
        <v>387</v>
      </c>
      <c r="AR692" s="7" t="s">
        <v>192</v>
      </c>
      <c r="AS692" s="7" t="s">
        <v>188</v>
      </c>
    </row>
    <row r="693" spans="1:45" x14ac:dyDescent="0.3">
      <c r="A693" s="6" t="s">
        <v>2378</v>
      </c>
      <c r="B693" s="6" t="s">
        <v>5275</v>
      </c>
      <c r="C693" s="6" t="s">
        <v>275</v>
      </c>
      <c r="D693" s="6" t="s">
        <v>215</v>
      </c>
      <c r="E693" s="6" t="s">
        <v>4306</v>
      </c>
      <c r="F693" s="6"/>
      <c r="G693" s="6" t="s">
        <v>23</v>
      </c>
      <c r="H693" s="6" t="s">
        <v>4266</v>
      </c>
      <c r="I693" s="6" t="s">
        <v>4289</v>
      </c>
      <c r="J693" s="6" t="s">
        <v>133</v>
      </c>
      <c r="K693" s="6" t="s">
        <v>221</v>
      </c>
      <c r="L693" s="6" t="s">
        <v>2379</v>
      </c>
      <c r="M693" s="6" t="s">
        <v>4639</v>
      </c>
      <c r="N693" s="6" t="s">
        <v>4123</v>
      </c>
      <c r="O693" s="6" t="s">
        <v>5276</v>
      </c>
      <c r="P693" s="6" t="s">
        <v>4275</v>
      </c>
      <c r="Q693" s="6">
        <v>46075364</v>
      </c>
      <c r="R693" s="6">
        <v>0.01</v>
      </c>
      <c r="S693" s="6">
        <v>7.0000000000000007E-2</v>
      </c>
      <c r="T693" s="6">
        <v>48807633.090000004</v>
      </c>
      <c r="U693" s="6">
        <v>36634469.090000004</v>
      </c>
      <c r="V693" s="6">
        <v>0.34</v>
      </c>
      <c r="W693" s="6">
        <v>0.1</v>
      </c>
      <c r="X693" s="6" t="s">
        <v>2380</v>
      </c>
      <c r="Y693" s="6">
        <v>27275089.170000002</v>
      </c>
      <c r="Z693" s="6">
        <v>23106175.140000001</v>
      </c>
      <c r="AA693" s="6">
        <v>90</v>
      </c>
      <c r="AB693" s="6">
        <v>138</v>
      </c>
      <c r="AC693" s="6"/>
      <c r="AD693" s="6" t="s">
        <v>320</v>
      </c>
      <c r="AE693" s="6">
        <v>0.45</v>
      </c>
      <c r="AF693" s="6" t="s">
        <v>4319</v>
      </c>
      <c r="AG693" s="6">
        <v>0.15</v>
      </c>
      <c r="AH693" s="6">
        <v>0.08</v>
      </c>
      <c r="AI693" s="6">
        <v>14</v>
      </c>
      <c r="AJ693" s="6">
        <v>409</v>
      </c>
      <c r="AK693" s="6">
        <v>1022145.06</v>
      </c>
      <c r="AL693" s="6">
        <v>14130166.789999999</v>
      </c>
      <c r="AM693" s="6"/>
      <c r="AN693" s="6" t="s">
        <v>322</v>
      </c>
      <c r="AO693" s="6"/>
      <c r="AP693" s="6" t="s">
        <v>4275</v>
      </c>
      <c r="AQ693" s="6" t="s">
        <v>4275</v>
      </c>
      <c r="AR693" s="6" t="s">
        <v>229</v>
      </c>
      <c r="AS693" s="6" t="s">
        <v>377</v>
      </c>
    </row>
    <row r="694" spans="1:45" x14ac:dyDescent="0.3">
      <c r="A694" s="7" t="s">
        <v>2381</v>
      </c>
      <c r="B694" s="7" t="s">
        <v>4019</v>
      </c>
      <c r="C694" s="7" t="s">
        <v>283</v>
      </c>
      <c r="D694" s="7" t="s">
        <v>220</v>
      </c>
      <c r="E694" s="7" t="s">
        <v>4265</v>
      </c>
      <c r="F694" s="7" t="s">
        <v>363</v>
      </c>
      <c r="G694" s="7" t="s">
        <v>38</v>
      </c>
      <c r="H694" s="7" t="s">
        <v>4340</v>
      </c>
      <c r="I694" s="7" t="s">
        <v>4272</v>
      </c>
      <c r="J694" s="7" t="s">
        <v>130</v>
      </c>
      <c r="K694" s="7" t="s">
        <v>210</v>
      </c>
      <c r="L694" s="7" t="s">
        <v>2382</v>
      </c>
      <c r="M694" s="7" t="s">
        <v>5277</v>
      </c>
      <c r="N694" s="7" t="s">
        <v>4124</v>
      </c>
      <c r="O694" s="7" t="s">
        <v>4274</v>
      </c>
      <c r="P694" s="7">
        <v>44</v>
      </c>
      <c r="Q694" s="7">
        <v>43435804</v>
      </c>
      <c r="R694" s="7">
        <v>0.02</v>
      </c>
      <c r="S694" s="7">
        <v>0.11</v>
      </c>
      <c r="T694" s="7">
        <v>47249467.590000004</v>
      </c>
      <c r="U694" s="7">
        <v>37016378.359999999</v>
      </c>
      <c r="V694" s="7">
        <v>0.24</v>
      </c>
      <c r="W694" s="7">
        <v>0.16</v>
      </c>
      <c r="X694" s="7" t="s">
        <v>2383</v>
      </c>
      <c r="Y694" s="7">
        <v>9155963.5600000005</v>
      </c>
      <c r="Z694" s="7">
        <v>2902412.05</v>
      </c>
      <c r="AA694" s="7">
        <v>60</v>
      </c>
      <c r="AB694" s="7">
        <v>9</v>
      </c>
      <c r="AC694" s="7" t="s">
        <v>329</v>
      </c>
      <c r="AD694" s="7" t="s">
        <v>336</v>
      </c>
      <c r="AE694" s="7">
        <v>0.61</v>
      </c>
      <c r="AF694" s="7" t="s">
        <v>159</v>
      </c>
      <c r="AG694" s="7">
        <v>0.1</v>
      </c>
      <c r="AH694" s="7">
        <v>0.09</v>
      </c>
      <c r="AI694" s="7">
        <v>4</v>
      </c>
      <c r="AJ694" s="7">
        <v>1239</v>
      </c>
      <c r="AK694" s="7">
        <v>9874495.3499999996</v>
      </c>
      <c r="AL694" s="7">
        <v>15735356.9</v>
      </c>
      <c r="AM694" s="7" t="s">
        <v>321</v>
      </c>
      <c r="AN694" s="7" t="s">
        <v>356</v>
      </c>
      <c r="AO694" s="7"/>
      <c r="AP694" s="7">
        <v>60</v>
      </c>
      <c r="AQ694" s="7" t="s">
        <v>392</v>
      </c>
      <c r="AR694" s="7" t="s">
        <v>186</v>
      </c>
      <c r="AS694" s="7" t="s">
        <v>357</v>
      </c>
    </row>
    <row r="695" spans="1:45" x14ac:dyDescent="0.3">
      <c r="A695" s="6" t="s">
        <v>2384</v>
      </c>
      <c r="B695" s="6" t="s">
        <v>5252</v>
      </c>
      <c r="C695" s="6" t="s">
        <v>230</v>
      </c>
      <c r="D695" s="6" t="s">
        <v>202</v>
      </c>
      <c r="E695" s="6" t="s">
        <v>20</v>
      </c>
      <c r="F695" s="6" t="s">
        <v>31</v>
      </c>
      <c r="G695" s="6" t="s">
        <v>23</v>
      </c>
      <c r="H695" s="6" t="s">
        <v>212</v>
      </c>
      <c r="I695" s="6" t="s">
        <v>203</v>
      </c>
      <c r="J695" s="6" t="s">
        <v>136</v>
      </c>
      <c r="K695" s="6" t="s">
        <v>204</v>
      </c>
      <c r="L695" s="6" t="s">
        <v>2385</v>
      </c>
      <c r="M695" s="6" t="s">
        <v>4780</v>
      </c>
      <c r="N695" s="6" t="s">
        <v>5252</v>
      </c>
      <c r="O695" s="6" t="s">
        <v>4274</v>
      </c>
      <c r="P695" s="6">
        <v>18</v>
      </c>
      <c r="Q695" s="6">
        <v>32817976</v>
      </c>
      <c r="R695" s="6">
        <v>0.18</v>
      </c>
      <c r="S695" s="6">
        <v>0.04</v>
      </c>
      <c r="T695" s="6">
        <v>27987169.93</v>
      </c>
      <c r="U695" s="6">
        <v>18982891.329999998</v>
      </c>
      <c r="V695" s="6">
        <v>0.23</v>
      </c>
      <c r="W695" s="6">
        <v>0.06</v>
      </c>
      <c r="X695" s="6" t="s">
        <v>2386</v>
      </c>
      <c r="Y695" s="6">
        <v>21014989.550000001</v>
      </c>
      <c r="Z695" s="6">
        <v>18214848.43</v>
      </c>
      <c r="AA695" s="6">
        <v>45</v>
      </c>
      <c r="AB695" s="6">
        <v>133</v>
      </c>
      <c r="AC695" s="6" t="s">
        <v>376</v>
      </c>
      <c r="AD695" s="6" t="s">
        <v>320</v>
      </c>
      <c r="AE695" s="6">
        <v>0.85</v>
      </c>
      <c r="AF695" s="6" t="s">
        <v>162</v>
      </c>
      <c r="AG695" s="6">
        <v>0.1</v>
      </c>
      <c r="AH695" s="6">
        <v>0.02</v>
      </c>
      <c r="AI695" s="6">
        <v>5</v>
      </c>
      <c r="AJ695" s="6">
        <v>1123</v>
      </c>
      <c r="AK695" s="6">
        <v>6011377.7199999997</v>
      </c>
      <c r="AL695" s="6">
        <v>13459847.369999999</v>
      </c>
      <c r="AM695" s="6" t="s">
        <v>355</v>
      </c>
      <c r="AN695" s="6" t="s">
        <v>356</v>
      </c>
      <c r="AO695" s="6">
        <v>57.2</v>
      </c>
      <c r="AP695" s="6">
        <v>12</v>
      </c>
      <c r="AQ695" s="6" t="s">
        <v>4275</v>
      </c>
      <c r="AR695" s="6" t="s">
        <v>206</v>
      </c>
      <c r="AS695" s="6" t="s">
        <v>377</v>
      </c>
    </row>
    <row r="696" spans="1:45" x14ac:dyDescent="0.3">
      <c r="A696" s="7" t="s">
        <v>2387</v>
      </c>
      <c r="B696" s="7" t="s">
        <v>4125</v>
      </c>
      <c r="C696" s="7" t="s">
        <v>277</v>
      </c>
      <c r="D696" s="7" t="s">
        <v>255</v>
      </c>
      <c r="E696" s="7" t="s">
        <v>4538</v>
      </c>
      <c r="F696" s="7"/>
      <c r="G696" s="7" t="s">
        <v>73</v>
      </c>
      <c r="H696" s="7" t="s">
        <v>263</v>
      </c>
      <c r="I696" s="7" t="s">
        <v>191</v>
      </c>
      <c r="J696" s="7" t="s">
        <v>99</v>
      </c>
      <c r="K696" s="7" t="s">
        <v>223</v>
      </c>
      <c r="L696" s="7" t="s">
        <v>2388</v>
      </c>
      <c r="M696" s="7" t="s">
        <v>5278</v>
      </c>
      <c r="N696" s="7" t="s">
        <v>5279</v>
      </c>
      <c r="O696" s="7" t="s">
        <v>4274</v>
      </c>
      <c r="P696" s="7">
        <v>39</v>
      </c>
      <c r="Q696" s="7">
        <v>26733581</v>
      </c>
      <c r="R696" s="7">
        <v>0.11</v>
      </c>
      <c r="S696" s="7">
        <v>0.15</v>
      </c>
      <c r="T696" s="7">
        <v>27361820.149999999</v>
      </c>
      <c r="U696" s="7">
        <v>20728802.829999998</v>
      </c>
      <c r="V696" s="7">
        <v>0.15</v>
      </c>
      <c r="W696" s="7">
        <v>0.16</v>
      </c>
      <c r="X696" s="7" t="s">
        <v>2389</v>
      </c>
      <c r="Y696" s="7">
        <v>12730878.640000001</v>
      </c>
      <c r="Z696" s="7">
        <v>8507610.7100000009</v>
      </c>
      <c r="AA696" s="7">
        <v>60</v>
      </c>
      <c r="AB696" s="7">
        <v>117</v>
      </c>
      <c r="AC696" s="7" t="s">
        <v>347</v>
      </c>
      <c r="AD696" s="7" t="s">
        <v>226</v>
      </c>
      <c r="AE696" s="7">
        <v>0.19</v>
      </c>
      <c r="AF696" s="7" t="s">
        <v>4312</v>
      </c>
      <c r="AG696" s="7">
        <v>0.15</v>
      </c>
      <c r="AH696" s="7">
        <v>7.0000000000000007E-2</v>
      </c>
      <c r="AI696" s="7">
        <v>3</v>
      </c>
      <c r="AJ696" s="7">
        <v>1403</v>
      </c>
      <c r="AK696" s="7">
        <v>4057064.47</v>
      </c>
      <c r="AL696" s="7">
        <v>8468183.0700000003</v>
      </c>
      <c r="AM696" s="7" t="s">
        <v>343</v>
      </c>
      <c r="AN696" s="7" t="s">
        <v>321</v>
      </c>
      <c r="AO696" s="7">
        <v>57</v>
      </c>
      <c r="AP696" s="7">
        <v>48</v>
      </c>
      <c r="AQ696" s="7" t="s">
        <v>337</v>
      </c>
      <c r="AR696" s="7" t="s">
        <v>192</v>
      </c>
      <c r="AS696" s="7" t="s">
        <v>357</v>
      </c>
    </row>
    <row r="697" spans="1:45" x14ac:dyDescent="0.3">
      <c r="A697" s="6" t="s">
        <v>2390</v>
      </c>
      <c r="B697" s="6" t="s">
        <v>3817</v>
      </c>
      <c r="C697" s="6" t="s">
        <v>272</v>
      </c>
      <c r="D697" s="6" t="s">
        <v>250</v>
      </c>
      <c r="E697" s="6" t="s">
        <v>113</v>
      </c>
      <c r="F697" s="6" t="s">
        <v>181</v>
      </c>
      <c r="G697" s="6" t="s">
        <v>70</v>
      </c>
      <c r="H697" s="6" t="s">
        <v>4266</v>
      </c>
      <c r="I697" s="6" t="s">
        <v>191</v>
      </c>
      <c r="J697" s="6" t="s">
        <v>123</v>
      </c>
      <c r="K697" s="6" t="s">
        <v>199</v>
      </c>
      <c r="L697" s="6" t="s">
        <v>2391</v>
      </c>
      <c r="M697" s="6" t="s">
        <v>4269</v>
      </c>
      <c r="N697" s="6" t="s">
        <v>2392</v>
      </c>
      <c r="O697" s="6" t="s">
        <v>5280</v>
      </c>
      <c r="P697" s="6">
        <v>54</v>
      </c>
      <c r="Q697" s="6">
        <v>32414821</v>
      </c>
      <c r="R697" s="6">
        <v>0.01</v>
      </c>
      <c r="S697" s="6">
        <v>0.08</v>
      </c>
      <c r="T697" s="6">
        <v>34657926.609999999</v>
      </c>
      <c r="U697" s="6">
        <v>22076765.16</v>
      </c>
      <c r="V697" s="6">
        <v>0.12</v>
      </c>
      <c r="W697" s="6">
        <v>0.06</v>
      </c>
      <c r="X697" s="6" t="s">
        <v>2393</v>
      </c>
      <c r="Y697" s="6">
        <v>12139614.810000001</v>
      </c>
      <c r="Z697" s="6">
        <v>12168520.390000001</v>
      </c>
      <c r="AA697" s="6">
        <v>120</v>
      </c>
      <c r="AB697" s="6">
        <v>53</v>
      </c>
      <c r="AC697" s="6" t="s">
        <v>353</v>
      </c>
      <c r="AD697" s="6" t="s">
        <v>406</v>
      </c>
      <c r="AE697" s="6">
        <v>0.5</v>
      </c>
      <c r="AF697" s="6" t="s">
        <v>159</v>
      </c>
      <c r="AG697" s="6">
        <v>0.05</v>
      </c>
      <c r="AH697" s="6">
        <v>0.02</v>
      </c>
      <c r="AI697" s="6">
        <v>3</v>
      </c>
      <c r="AJ697" s="6">
        <v>3611</v>
      </c>
      <c r="AK697" s="6">
        <v>7726511.4500000002</v>
      </c>
      <c r="AL697" s="6"/>
      <c r="AM697" s="6" t="s">
        <v>355</v>
      </c>
      <c r="AN697" s="6" t="s">
        <v>386</v>
      </c>
      <c r="AO697" s="6">
        <v>69.8</v>
      </c>
      <c r="AP697" s="6">
        <v>24</v>
      </c>
      <c r="AQ697" s="6" t="s">
        <v>4275</v>
      </c>
      <c r="AR697" s="6" t="s">
        <v>206</v>
      </c>
      <c r="AS697" s="6" t="s">
        <v>357</v>
      </c>
    </row>
    <row r="698" spans="1:45" x14ac:dyDescent="0.3">
      <c r="A698" s="7" t="s">
        <v>2394</v>
      </c>
      <c r="B698" s="7" t="s">
        <v>5281</v>
      </c>
      <c r="C698" s="7" t="s">
        <v>247</v>
      </c>
      <c r="D698" s="7" t="s">
        <v>209</v>
      </c>
      <c r="E698" s="7" t="s">
        <v>4376</v>
      </c>
      <c r="F698" s="7" t="s">
        <v>35</v>
      </c>
      <c r="G698" s="7" t="s">
        <v>28</v>
      </c>
      <c r="H698" s="7"/>
      <c r="I698" s="7" t="s">
        <v>4291</v>
      </c>
      <c r="J698" s="7" t="s">
        <v>136</v>
      </c>
      <c r="K698" s="7" t="s">
        <v>199</v>
      </c>
      <c r="L698" s="7" t="s">
        <v>2395</v>
      </c>
      <c r="M698" s="7" t="s">
        <v>4486</v>
      </c>
      <c r="N698" s="7" t="s">
        <v>5282</v>
      </c>
      <c r="O698" s="7" t="s">
        <v>3303</v>
      </c>
      <c r="P698" s="7">
        <v>27</v>
      </c>
      <c r="Q698" s="7">
        <v>6985894</v>
      </c>
      <c r="R698" s="7">
        <v>0.24</v>
      </c>
      <c r="S698" s="7">
        <v>0.14000000000000001</v>
      </c>
      <c r="T698" s="7">
        <v>6052578.5599999996</v>
      </c>
      <c r="U698" s="7">
        <v>4868203.54</v>
      </c>
      <c r="V698" s="7">
        <v>0.28000000000000003</v>
      </c>
      <c r="W698" s="7">
        <v>0.15</v>
      </c>
      <c r="X698" s="7" t="s">
        <v>2396</v>
      </c>
      <c r="Y698" s="7">
        <v>443766.16</v>
      </c>
      <c r="Z698" s="7">
        <v>330306.18</v>
      </c>
      <c r="AA698" s="7">
        <v>45</v>
      </c>
      <c r="AB698" s="7">
        <v>145</v>
      </c>
      <c r="AC698" s="7"/>
      <c r="AD698" s="7" t="s">
        <v>381</v>
      </c>
      <c r="AE698" s="7">
        <v>0.66</v>
      </c>
      <c r="AF698" s="7" t="s">
        <v>155</v>
      </c>
      <c r="AG698" s="7">
        <v>0.05</v>
      </c>
      <c r="AH698" s="7">
        <v>0.06</v>
      </c>
      <c r="AI698" s="7">
        <v>10</v>
      </c>
      <c r="AJ698" s="7">
        <v>575</v>
      </c>
      <c r="AK698" s="7">
        <v>1091287.31</v>
      </c>
      <c r="AL698" s="7">
        <v>3000162.77</v>
      </c>
      <c r="AM698" s="7" t="s">
        <v>73</v>
      </c>
      <c r="AN698" s="7" t="s">
        <v>330</v>
      </c>
      <c r="AO698" s="7">
        <v>95.3</v>
      </c>
      <c r="AP698" s="7">
        <v>36</v>
      </c>
      <c r="AQ698" s="7" t="s">
        <v>392</v>
      </c>
      <c r="AR698" s="7" t="s">
        <v>192</v>
      </c>
      <c r="AS698" s="7" t="s">
        <v>377</v>
      </c>
    </row>
    <row r="699" spans="1:45" x14ac:dyDescent="0.3">
      <c r="A699" s="6" t="s">
        <v>2397</v>
      </c>
      <c r="B699" s="6" t="s">
        <v>5283</v>
      </c>
      <c r="C699" s="6" t="s">
        <v>267</v>
      </c>
      <c r="D699" s="6" t="s">
        <v>190</v>
      </c>
      <c r="E699" s="6" t="s">
        <v>59</v>
      </c>
      <c r="F699" s="6"/>
      <c r="G699" s="6" t="s">
        <v>73</v>
      </c>
      <c r="H699" s="6" t="s">
        <v>4266</v>
      </c>
      <c r="I699" s="6" t="s">
        <v>4307</v>
      </c>
      <c r="J699" s="6" t="s">
        <v>99</v>
      </c>
      <c r="K699" s="6" t="s">
        <v>333</v>
      </c>
      <c r="L699" s="6" t="s">
        <v>2398</v>
      </c>
      <c r="M699" s="6" t="s">
        <v>4127</v>
      </c>
      <c r="N699" s="6"/>
      <c r="O699" s="6" t="s">
        <v>4491</v>
      </c>
      <c r="P699" s="6">
        <v>59</v>
      </c>
      <c r="Q699" s="6">
        <v>17355283</v>
      </c>
      <c r="R699" s="6">
        <v>0.24</v>
      </c>
      <c r="S699" s="6">
        <v>0.01</v>
      </c>
      <c r="T699" s="6">
        <v>13321915.23</v>
      </c>
      <c r="U699" s="6">
        <v>9277121.1600000001</v>
      </c>
      <c r="V699" s="6">
        <v>0.38</v>
      </c>
      <c r="W699" s="6">
        <v>0.18</v>
      </c>
      <c r="X699" s="6" t="s">
        <v>2399</v>
      </c>
      <c r="Y699" s="6">
        <v>6247450.2599999998</v>
      </c>
      <c r="Z699" s="6">
        <v>2259948.11</v>
      </c>
      <c r="AA699" s="6">
        <v>90</v>
      </c>
      <c r="AB699" s="6">
        <v>3</v>
      </c>
      <c r="AC699" s="6"/>
      <c r="AD699" s="6" t="s">
        <v>226</v>
      </c>
      <c r="AE699" s="6">
        <v>0.78</v>
      </c>
      <c r="AF699" s="6" t="s">
        <v>159</v>
      </c>
      <c r="AG699" s="6">
        <v>0.05</v>
      </c>
      <c r="AH699" s="6">
        <v>0.05</v>
      </c>
      <c r="AI699" s="6">
        <v>6</v>
      </c>
      <c r="AJ699" s="6">
        <v>3623</v>
      </c>
      <c r="AK699" s="6">
        <v>633041.93999999994</v>
      </c>
      <c r="AL699" s="6"/>
      <c r="AM699" s="6" t="s">
        <v>391</v>
      </c>
      <c r="AN699" s="6" t="s">
        <v>348</v>
      </c>
      <c r="AO699" s="6">
        <v>51.2</v>
      </c>
      <c r="AP699" s="6">
        <v>24</v>
      </c>
      <c r="AQ699" s="6" t="s">
        <v>337</v>
      </c>
      <c r="AR699" s="6" t="s">
        <v>206</v>
      </c>
      <c r="AS699" s="6" t="s">
        <v>377</v>
      </c>
    </row>
    <row r="700" spans="1:45" x14ac:dyDescent="0.3">
      <c r="A700" s="7" t="s">
        <v>2400</v>
      </c>
      <c r="B700" s="7" t="s">
        <v>3750</v>
      </c>
      <c r="C700" s="7" t="s">
        <v>227</v>
      </c>
      <c r="D700" s="7" t="s">
        <v>232</v>
      </c>
      <c r="E700" s="7" t="s">
        <v>4376</v>
      </c>
      <c r="F700" s="7" t="s">
        <v>31</v>
      </c>
      <c r="G700" s="7" t="s">
        <v>46</v>
      </c>
      <c r="H700" s="7"/>
      <c r="I700" s="7" t="s">
        <v>246</v>
      </c>
      <c r="J700" s="7" t="s">
        <v>136</v>
      </c>
      <c r="K700" s="7" t="s">
        <v>210</v>
      </c>
      <c r="L700" s="7" t="s">
        <v>2401</v>
      </c>
      <c r="M700" s="7" t="s">
        <v>5284</v>
      </c>
      <c r="N700" s="7" t="s">
        <v>5285</v>
      </c>
      <c r="O700" s="7" t="s">
        <v>4274</v>
      </c>
      <c r="P700" s="7">
        <v>6</v>
      </c>
      <c r="Q700" s="7">
        <v>15913849</v>
      </c>
      <c r="R700" s="7">
        <v>0.12</v>
      </c>
      <c r="S700" s="7">
        <v>0.19</v>
      </c>
      <c r="T700" s="7">
        <v>16664982.67</v>
      </c>
      <c r="U700" s="7">
        <v>11966583.24</v>
      </c>
      <c r="V700" s="7">
        <v>0.16</v>
      </c>
      <c r="W700" s="7">
        <v>0.16</v>
      </c>
      <c r="X700" s="7" t="s">
        <v>2402</v>
      </c>
      <c r="Y700" s="7">
        <v>5377759.1799999997</v>
      </c>
      <c r="Z700" s="7">
        <v>5573049.9699999997</v>
      </c>
      <c r="AA700" s="7">
        <v>120</v>
      </c>
      <c r="AB700" s="7">
        <v>26</v>
      </c>
      <c r="AC700" s="7" t="s">
        <v>347</v>
      </c>
      <c r="AD700" s="7" t="s">
        <v>406</v>
      </c>
      <c r="AE700" s="7">
        <v>0.57999999999999996</v>
      </c>
      <c r="AF700" s="7"/>
      <c r="AG700" s="7">
        <v>0.1</v>
      </c>
      <c r="AH700" s="7">
        <v>0.06</v>
      </c>
      <c r="AI700" s="7">
        <v>8</v>
      </c>
      <c r="AJ700" s="7">
        <v>652</v>
      </c>
      <c r="AK700" s="7">
        <v>460818.58</v>
      </c>
      <c r="AL700" s="7">
        <v>5258430.01</v>
      </c>
      <c r="AM700" s="7" t="s">
        <v>343</v>
      </c>
      <c r="AN700" s="7" t="s">
        <v>356</v>
      </c>
      <c r="AO700" s="7">
        <v>96.2</v>
      </c>
      <c r="AP700" s="7">
        <v>48</v>
      </c>
      <c r="AQ700" s="7" t="s">
        <v>337</v>
      </c>
      <c r="AR700" s="7" t="s">
        <v>206</v>
      </c>
      <c r="AS700" s="7" t="s">
        <v>377</v>
      </c>
    </row>
    <row r="701" spans="1:45" x14ac:dyDescent="0.3">
      <c r="A701" s="6" t="s">
        <v>2403</v>
      </c>
      <c r="B701" s="6" t="s">
        <v>5286</v>
      </c>
      <c r="C701" s="6" t="s">
        <v>241</v>
      </c>
      <c r="D701" s="6" t="s">
        <v>265</v>
      </c>
      <c r="E701" s="6" t="s">
        <v>4265</v>
      </c>
      <c r="F701" s="6" t="s">
        <v>350</v>
      </c>
      <c r="G701" s="6" t="s">
        <v>33</v>
      </c>
      <c r="H701" s="6" t="s">
        <v>212</v>
      </c>
      <c r="I701" s="6" t="s">
        <v>4272</v>
      </c>
      <c r="J701" s="6" t="s">
        <v>105</v>
      </c>
      <c r="K701" s="6" t="s">
        <v>204</v>
      </c>
      <c r="L701" s="6" t="s">
        <v>2404</v>
      </c>
      <c r="M701" s="6" t="s">
        <v>5287</v>
      </c>
      <c r="N701" s="6" t="s">
        <v>4965</v>
      </c>
      <c r="O701" s="6" t="s">
        <v>3312</v>
      </c>
      <c r="P701" s="6">
        <v>50</v>
      </c>
      <c r="Q701" s="6">
        <v>572949</v>
      </c>
      <c r="R701" s="6">
        <v>0.34</v>
      </c>
      <c r="S701" s="6">
        <v>-0.05</v>
      </c>
      <c r="T701" s="6">
        <v>359239.02</v>
      </c>
      <c r="U701" s="6">
        <v>321993.88</v>
      </c>
      <c r="V701" s="6">
        <v>0.28000000000000003</v>
      </c>
      <c r="W701" s="6">
        <v>7.0000000000000007E-2</v>
      </c>
      <c r="X701" s="6" t="s">
        <v>2405</v>
      </c>
      <c r="Y701" s="6">
        <v>289561.37</v>
      </c>
      <c r="Z701" s="6">
        <v>95534.42</v>
      </c>
      <c r="AA701" s="6">
        <v>60</v>
      </c>
      <c r="AB701" s="6">
        <v>106</v>
      </c>
      <c r="AC701" s="6" t="s">
        <v>347</v>
      </c>
      <c r="AD701" s="6" t="s">
        <v>381</v>
      </c>
      <c r="AE701" s="6">
        <v>0.28999999999999998</v>
      </c>
      <c r="AF701" s="6" t="s">
        <v>4319</v>
      </c>
      <c r="AG701" s="6">
        <v>0.1</v>
      </c>
      <c r="AH701" s="6">
        <v>0.03</v>
      </c>
      <c r="AI701" s="6">
        <v>14</v>
      </c>
      <c r="AJ701" s="6">
        <v>972</v>
      </c>
      <c r="AK701" s="6">
        <v>34442.85</v>
      </c>
      <c r="AL701" s="6"/>
      <c r="AM701" s="6" t="s">
        <v>321</v>
      </c>
      <c r="AN701" s="6"/>
      <c r="AO701" s="6">
        <v>58.8</v>
      </c>
      <c r="AP701" s="6">
        <v>36</v>
      </c>
      <c r="AQ701" s="6" t="s">
        <v>387</v>
      </c>
      <c r="AR701" s="6" t="s">
        <v>229</v>
      </c>
      <c r="AS701" s="6" t="s">
        <v>361</v>
      </c>
    </row>
    <row r="702" spans="1:45" x14ac:dyDescent="0.3">
      <c r="A702" s="7" t="s">
        <v>2406</v>
      </c>
      <c r="B702" s="7" t="s">
        <v>4508</v>
      </c>
      <c r="C702" s="7" t="s">
        <v>243</v>
      </c>
      <c r="D702" s="7" t="s">
        <v>190</v>
      </c>
      <c r="E702" s="7"/>
      <c r="F702" s="7" t="s">
        <v>196</v>
      </c>
      <c r="G702" s="7" t="s">
        <v>70</v>
      </c>
      <c r="H702" s="7" t="s">
        <v>216</v>
      </c>
      <c r="I702" s="7" t="s">
        <v>203</v>
      </c>
      <c r="J702" s="7" t="s">
        <v>99</v>
      </c>
      <c r="K702" s="7" t="s">
        <v>326</v>
      </c>
      <c r="L702" s="7" t="s">
        <v>2407</v>
      </c>
      <c r="M702" s="7" t="s">
        <v>5288</v>
      </c>
      <c r="N702" s="7" t="s">
        <v>4128</v>
      </c>
      <c r="O702" s="7" t="s">
        <v>3375</v>
      </c>
      <c r="P702" s="7">
        <v>37</v>
      </c>
      <c r="Q702" s="7">
        <v>18622911</v>
      </c>
      <c r="R702" s="7">
        <v>0.17</v>
      </c>
      <c r="S702" s="7">
        <v>0.15</v>
      </c>
      <c r="T702" s="7">
        <v>17775568.550000001</v>
      </c>
      <c r="U702" s="7">
        <v>13376942.779999999</v>
      </c>
      <c r="V702" s="7">
        <v>0.35</v>
      </c>
      <c r="W702" s="7">
        <v>0.18</v>
      </c>
      <c r="X702" s="7" t="s">
        <v>2408</v>
      </c>
      <c r="Y702" s="7">
        <v>13833711.890000001</v>
      </c>
      <c r="Z702" s="7">
        <v>14892116.720000001</v>
      </c>
      <c r="AA702" s="7">
        <v>90</v>
      </c>
      <c r="AB702" s="7">
        <v>49</v>
      </c>
      <c r="AC702" s="7"/>
      <c r="AD702" s="7" t="s">
        <v>226</v>
      </c>
      <c r="AE702" s="7">
        <v>0.82</v>
      </c>
      <c r="AF702" s="7" t="s">
        <v>4312</v>
      </c>
      <c r="AG702" s="7">
        <v>0.05</v>
      </c>
      <c r="AH702" s="7">
        <v>7.0000000000000007E-2</v>
      </c>
      <c r="AI702" s="7">
        <v>7</v>
      </c>
      <c r="AJ702" s="7">
        <v>2295</v>
      </c>
      <c r="AK702" s="7">
        <v>4172168.66</v>
      </c>
      <c r="AL702" s="7">
        <v>6827532.04</v>
      </c>
      <c r="AM702" s="7" t="s">
        <v>385</v>
      </c>
      <c r="AN702" s="7"/>
      <c r="AO702" s="7">
        <v>72.2</v>
      </c>
      <c r="AP702" s="7">
        <v>48</v>
      </c>
      <c r="AQ702" s="7" t="s">
        <v>323</v>
      </c>
      <c r="AR702" s="7" t="s">
        <v>186</v>
      </c>
      <c r="AS702" s="7" t="s">
        <v>188</v>
      </c>
    </row>
    <row r="703" spans="1:45" x14ac:dyDescent="0.3">
      <c r="A703" s="6" t="s">
        <v>2409</v>
      </c>
      <c r="B703" s="6" t="s">
        <v>5289</v>
      </c>
      <c r="C703" s="6" t="s">
        <v>264</v>
      </c>
      <c r="D703" s="6" t="s">
        <v>253</v>
      </c>
      <c r="E703" s="6" t="s">
        <v>113</v>
      </c>
      <c r="F703" s="6" t="s">
        <v>181</v>
      </c>
      <c r="G703" s="6" t="s">
        <v>73</v>
      </c>
      <c r="H703" s="6" t="s">
        <v>4271</v>
      </c>
      <c r="I703" s="6" t="s">
        <v>191</v>
      </c>
      <c r="J703" s="6" t="s">
        <v>111</v>
      </c>
      <c r="K703" s="6" t="s">
        <v>333</v>
      </c>
      <c r="L703" s="6" t="s">
        <v>2410</v>
      </c>
      <c r="M703" s="6" t="s">
        <v>5290</v>
      </c>
      <c r="N703" s="6" t="s">
        <v>4462</v>
      </c>
      <c r="O703" s="6" t="s">
        <v>5291</v>
      </c>
      <c r="P703" s="6">
        <v>57</v>
      </c>
      <c r="Q703" s="6">
        <v>38804662</v>
      </c>
      <c r="R703" s="6">
        <v>0.35</v>
      </c>
      <c r="S703" s="6">
        <v>-0.04</v>
      </c>
      <c r="T703" s="6">
        <v>24214109.09</v>
      </c>
      <c r="U703" s="6">
        <v>15338535.32</v>
      </c>
      <c r="V703" s="6">
        <v>0.24</v>
      </c>
      <c r="W703" s="6">
        <v>7.0000000000000007E-2</v>
      </c>
      <c r="X703" s="6" t="s">
        <v>2411</v>
      </c>
      <c r="Y703" s="6">
        <v>1312920.28</v>
      </c>
      <c r="Z703" s="6">
        <v>1087675.22</v>
      </c>
      <c r="AA703" s="6">
        <v>90</v>
      </c>
      <c r="AB703" s="6">
        <v>87</v>
      </c>
      <c r="AC703" s="6" t="s">
        <v>347</v>
      </c>
      <c r="AD703" s="6" t="s">
        <v>336</v>
      </c>
      <c r="AE703" s="6">
        <v>0.85</v>
      </c>
      <c r="AF703" s="6" t="s">
        <v>4361</v>
      </c>
      <c r="AG703" s="6">
        <v>0.15</v>
      </c>
      <c r="AH703" s="6">
        <v>0.03</v>
      </c>
      <c r="AI703" s="6">
        <v>12</v>
      </c>
      <c r="AJ703" s="6">
        <v>3553</v>
      </c>
      <c r="AK703" s="6">
        <v>5777278.3499999996</v>
      </c>
      <c r="AL703" s="6">
        <v>9124575.9900000002</v>
      </c>
      <c r="AM703" s="6" t="s">
        <v>391</v>
      </c>
      <c r="AN703" s="6" t="s">
        <v>322</v>
      </c>
      <c r="AO703" s="6">
        <v>78.599999999999994</v>
      </c>
      <c r="AP703" s="6" t="s">
        <v>4275</v>
      </c>
      <c r="AQ703" s="6" t="s">
        <v>392</v>
      </c>
      <c r="AR703" s="6" t="s">
        <v>186</v>
      </c>
      <c r="AS703" s="6" t="s">
        <v>377</v>
      </c>
    </row>
    <row r="704" spans="1:45" x14ac:dyDescent="0.3">
      <c r="A704" s="7" t="s">
        <v>2412</v>
      </c>
      <c r="B704" s="7" t="s">
        <v>4130</v>
      </c>
      <c r="C704" s="7" t="s">
        <v>276</v>
      </c>
      <c r="D704" s="7" t="s">
        <v>394</v>
      </c>
      <c r="E704" s="7" t="s">
        <v>20</v>
      </c>
      <c r="F704" s="7" t="s">
        <v>35</v>
      </c>
      <c r="G704" s="7" t="s">
        <v>16</v>
      </c>
      <c r="H704" s="7" t="s">
        <v>4326</v>
      </c>
      <c r="I704" s="7" t="s">
        <v>213</v>
      </c>
      <c r="J704" s="7" t="s">
        <v>136</v>
      </c>
      <c r="K704" s="7" t="s">
        <v>333</v>
      </c>
      <c r="L704" s="7" t="s">
        <v>2413</v>
      </c>
      <c r="M704" s="7" t="s">
        <v>3045</v>
      </c>
      <c r="N704" s="7" t="s">
        <v>5292</v>
      </c>
      <c r="O704" s="7" t="s">
        <v>4274</v>
      </c>
      <c r="P704" s="7">
        <v>57</v>
      </c>
      <c r="Q704" s="7">
        <v>44345624</v>
      </c>
      <c r="R704" s="7">
        <v>0.23</v>
      </c>
      <c r="S704" s="7">
        <v>0</v>
      </c>
      <c r="T704" s="7">
        <v>34146130.479999997</v>
      </c>
      <c r="U704" s="7">
        <v>30164419.82</v>
      </c>
      <c r="V704" s="7">
        <v>0.39</v>
      </c>
      <c r="W704" s="7">
        <v>0.2</v>
      </c>
      <c r="X704" s="7" t="s">
        <v>2414</v>
      </c>
      <c r="Y704" s="7">
        <v>14719569.99</v>
      </c>
      <c r="Z704" s="7">
        <v>14597942.27</v>
      </c>
      <c r="AA704" s="7">
        <v>90</v>
      </c>
      <c r="AB704" s="7">
        <v>4</v>
      </c>
      <c r="AC704" s="7" t="s">
        <v>353</v>
      </c>
      <c r="AD704" s="7" t="s">
        <v>381</v>
      </c>
      <c r="AE704" s="7">
        <v>0.55000000000000004</v>
      </c>
      <c r="AF704" s="7" t="s">
        <v>4361</v>
      </c>
      <c r="AG704" s="7">
        <v>0.1</v>
      </c>
      <c r="AH704" s="7">
        <v>0.05</v>
      </c>
      <c r="AI704" s="7">
        <v>14</v>
      </c>
      <c r="AJ704" s="7">
        <v>2107</v>
      </c>
      <c r="AK704" s="7">
        <v>963933.34</v>
      </c>
      <c r="AL704" s="7">
        <v>11895286.689999999</v>
      </c>
      <c r="AM704" s="7" t="s">
        <v>355</v>
      </c>
      <c r="AN704" s="7" t="s">
        <v>356</v>
      </c>
      <c r="AO704" s="7"/>
      <c r="AP704" s="7">
        <v>60</v>
      </c>
      <c r="AQ704" s="7" t="s">
        <v>392</v>
      </c>
      <c r="AR704" s="7" t="s">
        <v>224</v>
      </c>
      <c r="AS704" s="7" t="s">
        <v>361</v>
      </c>
    </row>
    <row r="705" spans="1:45" x14ac:dyDescent="0.3">
      <c r="A705" s="6" t="s">
        <v>2415</v>
      </c>
      <c r="B705" s="6" t="s">
        <v>4604</v>
      </c>
      <c r="C705" s="6" t="s">
        <v>270</v>
      </c>
      <c r="D705" s="6" t="s">
        <v>265</v>
      </c>
      <c r="E705" s="6" t="s">
        <v>4376</v>
      </c>
      <c r="F705" s="6" t="s">
        <v>31</v>
      </c>
      <c r="G705" s="6" t="s">
        <v>46</v>
      </c>
      <c r="H705" s="6"/>
      <c r="I705" s="6" t="s">
        <v>240</v>
      </c>
      <c r="J705" s="6" t="s">
        <v>136</v>
      </c>
      <c r="K705" s="6" t="s">
        <v>333</v>
      </c>
      <c r="L705" s="6" t="s">
        <v>2416</v>
      </c>
      <c r="M705" s="6" t="s">
        <v>3590</v>
      </c>
      <c r="N705" s="6" t="s">
        <v>5293</v>
      </c>
      <c r="O705" s="6" t="s">
        <v>5294</v>
      </c>
      <c r="P705" s="6" t="s">
        <v>4275</v>
      </c>
      <c r="Q705" s="6">
        <v>17536674</v>
      </c>
      <c r="R705" s="6">
        <v>0.33</v>
      </c>
      <c r="S705" s="6">
        <v>0.02</v>
      </c>
      <c r="T705" s="6">
        <v>11984563.01</v>
      </c>
      <c r="U705" s="6">
        <v>9279894.0899999999</v>
      </c>
      <c r="V705" s="6">
        <v>0.38</v>
      </c>
      <c r="W705" s="6">
        <v>7.0000000000000007E-2</v>
      </c>
      <c r="X705" s="6" t="s">
        <v>2417</v>
      </c>
      <c r="Y705" s="6">
        <v>8201859.1900000004</v>
      </c>
      <c r="Z705" s="6">
        <v>4226167.22</v>
      </c>
      <c r="AA705" s="6">
        <v>60</v>
      </c>
      <c r="AB705" s="6">
        <v>87</v>
      </c>
      <c r="AC705" s="6" t="s">
        <v>353</v>
      </c>
      <c r="AD705" s="6" t="s">
        <v>336</v>
      </c>
      <c r="AE705" s="6">
        <v>0.72</v>
      </c>
      <c r="AF705" s="6" t="s">
        <v>159</v>
      </c>
      <c r="AG705" s="6">
        <v>0.15</v>
      </c>
      <c r="AH705" s="6">
        <v>0.05</v>
      </c>
      <c r="AI705" s="6">
        <v>13</v>
      </c>
      <c r="AJ705" s="6">
        <v>4436</v>
      </c>
      <c r="AK705" s="6"/>
      <c r="AL705" s="6">
        <v>4927420.13</v>
      </c>
      <c r="AM705" s="6" t="s">
        <v>391</v>
      </c>
      <c r="AN705" s="6" t="s">
        <v>356</v>
      </c>
      <c r="AO705" s="6">
        <v>90.8</v>
      </c>
      <c r="AP705" s="6">
        <v>36</v>
      </c>
      <c r="AQ705" s="6" t="s">
        <v>4275</v>
      </c>
      <c r="AR705" s="6" t="s">
        <v>186</v>
      </c>
      <c r="AS705" s="6"/>
    </row>
    <row r="706" spans="1:45" x14ac:dyDescent="0.3">
      <c r="A706" s="7" t="s">
        <v>2418</v>
      </c>
      <c r="B706" s="7" t="s">
        <v>3939</v>
      </c>
      <c r="C706" s="7" t="s">
        <v>271</v>
      </c>
      <c r="D706" s="7" t="s">
        <v>248</v>
      </c>
      <c r="E706" s="7" t="s">
        <v>113</v>
      </c>
      <c r="F706" s="7"/>
      <c r="G706" s="7" t="s">
        <v>23</v>
      </c>
      <c r="H706" s="7" t="s">
        <v>4280</v>
      </c>
      <c r="I706" s="7" t="s">
        <v>240</v>
      </c>
      <c r="J706" s="7" t="s">
        <v>111</v>
      </c>
      <c r="K706" s="7" t="s">
        <v>204</v>
      </c>
      <c r="L706" s="7" t="s">
        <v>2419</v>
      </c>
      <c r="M706" s="7" t="s">
        <v>5295</v>
      </c>
      <c r="N706" s="7"/>
      <c r="O706" s="7" t="s">
        <v>4131</v>
      </c>
      <c r="P706" s="7">
        <v>36</v>
      </c>
      <c r="Q706" s="7">
        <v>4000570</v>
      </c>
      <c r="R706" s="7">
        <v>0.34</v>
      </c>
      <c r="S706" s="7">
        <v>0.1</v>
      </c>
      <c r="T706" s="7">
        <v>2904413.82</v>
      </c>
      <c r="U706" s="7">
        <v>2287123.41</v>
      </c>
      <c r="V706" s="7">
        <v>7.0000000000000007E-2</v>
      </c>
      <c r="W706" s="7">
        <v>0.15</v>
      </c>
      <c r="X706" s="7" t="s">
        <v>2420</v>
      </c>
      <c r="Y706" s="7">
        <v>1128038.73</v>
      </c>
      <c r="Z706" s="7">
        <v>431010.5</v>
      </c>
      <c r="AA706" s="7">
        <v>60</v>
      </c>
      <c r="AB706" s="7">
        <v>58</v>
      </c>
      <c r="AC706" s="7" t="s">
        <v>376</v>
      </c>
      <c r="AD706" s="7" t="s">
        <v>455</v>
      </c>
      <c r="AE706" s="7">
        <v>0.5</v>
      </c>
      <c r="AF706" s="7" t="s">
        <v>4312</v>
      </c>
      <c r="AG706" s="7">
        <v>0.1</v>
      </c>
      <c r="AH706" s="7">
        <v>7.0000000000000007E-2</v>
      </c>
      <c r="AI706" s="7">
        <v>8</v>
      </c>
      <c r="AJ706" s="7">
        <v>160</v>
      </c>
      <c r="AK706" s="7">
        <v>690659.8</v>
      </c>
      <c r="AL706" s="7">
        <v>559620.6</v>
      </c>
      <c r="AM706" s="7"/>
      <c r="AN706" s="7" t="s">
        <v>321</v>
      </c>
      <c r="AO706" s="7">
        <v>59.8</v>
      </c>
      <c r="AP706" s="7">
        <v>48</v>
      </c>
      <c r="AQ706" s="7" t="s">
        <v>337</v>
      </c>
      <c r="AR706" s="7" t="s">
        <v>206</v>
      </c>
      <c r="AS706" s="7" t="s">
        <v>324</v>
      </c>
    </row>
    <row r="707" spans="1:45" x14ac:dyDescent="0.3">
      <c r="A707" s="6" t="s">
        <v>2421</v>
      </c>
      <c r="B707" s="6" t="s">
        <v>4075</v>
      </c>
      <c r="C707" s="6" t="s">
        <v>237</v>
      </c>
      <c r="D707" s="6" t="s">
        <v>255</v>
      </c>
      <c r="E707" s="6" t="s">
        <v>4538</v>
      </c>
      <c r="F707" s="6"/>
      <c r="G707" s="6" t="s">
        <v>16</v>
      </c>
      <c r="H707" s="6" t="s">
        <v>216</v>
      </c>
      <c r="I707" s="6" t="s">
        <v>203</v>
      </c>
      <c r="J707" s="6" t="s">
        <v>99</v>
      </c>
      <c r="K707" s="6" t="s">
        <v>184</v>
      </c>
      <c r="L707" s="6" t="s">
        <v>2422</v>
      </c>
      <c r="M707" s="6" t="s">
        <v>5296</v>
      </c>
      <c r="N707" s="6" t="s">
        <v>5088</v>
      </c>
      <c r="O707" s="6" t="s">
        <v>3626</v>
      </c>
      <c r="P707" s="6">
        <v>46</v>
      </c>
      <c r="Q707" s="6">
        <v>6259053</v>
      </c>
      <c r="R707" s="6">
        <v>0.25</v>
      </c>
      <c r="S707" s="6">
        <v>0.12</v>
      </c>
      <c r="T707" s="6">
        <v>5257604.5199999996</v>
      </c>
      <c r="U707" s="6">
        <v>4068856.52</v>
      </c>
      <c r="V707" s="6">
        <v>0.25</v>
      </c>
      <c r="W707" s="6">
        <v>0.19</v>
      </c>
      <c r="X707" s="6" t="s">
        <v>1341</v>
      </c>
      <c r="Y707" s="6">
        <v>3117245.31</v>
      </c>
      <c r="Z707" s="6">
        <v>3198609.3</v>
      </c>
      <c r="AA707" s="6">
        <v>120</v>
      </c>
      <c r="AB707" s="6">
        <v>31</v>
      </c>
      <c r="AC707" s="6" t="s">
        <v>353</v>
      </c>
      <c r="AD707" s="6" t="s">
        <v>455</v>
      </c>
      <c r="AE707" s="6">
        <v>0.16</v>
      </c>
      <c r="AF707" s="6" t="s">
        <v>152</v>
      </c>
      <c r="AG707" s="6">
        <v>0.15</v>
      </c>
      <c r="AH707" s="6">
        <v>0.03</v>
      </c>
      <c r="AI707" s="6">
        <v>9</v>
      </c>
      <c r="AJ707" s="6">
        <v>2361</v>
      </c>
      <c r="AK707" s="6">
        <v>745934.57</v>
      </c>
      <c r="AL707" s="6">
        <v>1035404.23</v>
      </c>
      <c r="AM707" s="6" t="s">
        <v>355</v>
      </c>
      <c r="AN707" s="6"/>
      <c r="AO707" s="6">
        <v>83.8</v>
      </c>
      <c r="AP707" s="6">
        <v>24</v>
      </c>
      <c r="AQ707" s="6" t="s">
        <v>337</v>
      </c>
      <c r="AR707" s="6" t="s">
        <v>224</v>
      </c>
      <c r="AS707" s="6"/>
    </row>
    <row r="708" spans="1:45" x14ac:dyDescent="0.3">
      <c r="A708" s="7" t="s">
        <v>2423</v>
      </c>
      <c r="B708" s="7" t="s">
        <v>3506</v>
      </c>
      <c r="C708" s="7" t="s">
        <v>278</v>
      </c>
      <c r="D708" s="7" t="s">
        <v>232</v>
      </c>
      <c r="E708" s="7" t="s">
        <v>113</v>
      </c>
      <c r="F708" s="7" t="s">
        <v>181</v>
      </c>
      <c r="G708" s="7" t="s">
        <v>50</v>
      </c>
      <c r="H708" s="7" t="s">
        <v>4340</v>
      </c>
      <c r="I708" s="7" t="s">
        <v>4307</v>
      </c>
      <c r="J708" s="7" t="s">
        <v>127</v>
      </c>
      <c r="K708" s="7" t="s">
        <v>333</v>
      </c>
      <c r="L708" s="7" t="s">
        <v>2424</v>
      </c>
      <c r="M708" s="7" t="s">
        <v>5198</v>
      </c>
      <c r="N708" s="7" t="s">
        <v>4808</v>
      </c>
      <c r="O708" s="7" t="s">
        <v>3721</v>
      </c>
      <c r="P708" s="7">
        <v>30</v>
      </c>
      <c r="Q708" s="7">
        <v>32069873</v>
      </c>
      <c r="R708" s="7">
        <v>0.28000000000000003</v>
      </c>
      <c r="S708" s="7">
        <v>0.12</v>
      </c>
      <c r="T708" s="7">
        <v>25861145.59</v>
      </c>
      <c r="U708" s="7">
        <v>19445710.109999999</v>
      </c>
      <c r="V708" s="7">
        <v>0.22</v>
      </c>
      <c r="W708" s="7">
        <v>0.13</v>
      </c>
      <c r="X708" s="7" t="s">
        <v>2425</v>
      </c>
      <c r="Y708" s="7">
        <v>3036692.46</v>
      </c>
      <c r="Z708" s="7">
        <v>2013809.77</v>
      </c>
      <c r="AA708" s="7">
        <v>45</v>
      </c>
      <c r="AB708" s="7">
        <v>20</v>
      </c>
      <c r="AC708" s="7" t="s">
        <v>347</v>
      </c>
      <c r="AD708" s="7" t="s">
        <v>455</v>
      </c>
      <c r="AE708" s="7">
        <v>0.43</v>
      </c>
      <c r="AF708" s="7" t="s">
        <v>4312</v>
      </c>
      <c r="AG708" s="7">
        <v>0.1</v>
      </c>
      <c r="AH708" s="7">
        <v>0.01</v>
      </c>
      <c r="AI708" s="7">
        <v>10</v>
      </c>
      <c r="AJ708" s="7">
        <v>1364</v>
      </c>
      <c r="AK708" s="7">
        <v>5669435.9699999997</v>
      </c>
      <c r="AL708" s="7">
        <v>6526302.5700000003</v>
      </c>
      <c r="AM708" s="7" t="s">
        <v>391</v>
      </c>
      <c r="AN708" s="7" t="s">
        <v>348</v>
      </c>
      <c r="AO708" s="7"/>
      <c r="AP708" s="7">
        <v>36</v>
      </c>
      <c r="AQ708" s="7" t="s">
        <v>392</v>
      </c>
      <c r="AR708" s="7" t="s">
        <v>224</v>
      </c>
      <c r="AS708" s="7"/>
    </row>
    <row r="709" spans="1:45" x14ac:dyDescent="0.3">
      <c r="A709" s="6" t="s">
        <v>2426</v>
      </c>
      <c r="B709" s="6" t="s">
        <v>4132</v>
      </c>
      <c r="C709" s="6" t="s">
        <v>241</v>
      </c>
      <c r="D709" s="6" t="s">
        <v>255</v>
      </c>
      <c r="E709" s="6" t="s">
        <v>4265</v>
      </c>
      <c r="F709" s="6" t="s">
        <v>350</v>
      </c>
      <c r="G709" s="6" t="s">
        <v>33</v>
      </c>
      <c r="H709" s="6" t="s">
        <v>4340</v>
      </c>
      <c r="I709" s="6" t="s">
        <v>198</v>
      </c>
      <c r="J709" s="6" t="s">
        <v>105</v>
      </c>
      <c r="K709" s="6" t="s">
        <v>223</v>
      </c>
      <c r="L709" s="6" t="s">
        <v>2427</v>
      </c>
      <c r="M709" s="6" t="s">
        <v>4133</v>
      </c>
      <c r="N709" s="6" t="s">
        <v>3854</v>
      </c>
      <c r="O709" s="6" t="s">
        <v>4649</v>
      </c>
      <c r="P709" s="6">
        <v>31</v>
      </c>
      <c r="Q709" s="6">
        <v>19370386</v>
      </c>
      <c r="R709" s="6">
        <v>0.02</v>
      </c>
      <c r="S709" s="6">
        <v>-0.03</v>
      </c>
      <c r="T709" s="6">
        <v>18413488.93</v>
      </c>
      <c r="U709" s="6">
        <v>16320198.66</v>
      </c>
      <c r="V709" s="6">
        <v>0.13</v>
      </c>
      <c r="W709" s="6">
        <v>0.06</v>
      </c>
      <c r="X709" s="6" t="s">
        <v>2428</v>
      </c>
      <c r="Y709" s="6">
        <v>14941522.18</v>
      </c>
      <c r="Z709" s="6">
        <v>9983234.6899999995</v>
      </c>
      <c r="AA709" s="6">
        <v>30</v>
      </c>
      <c r="AB709" s="6">
        <v>146</v>
      </c>
      <c r="AC709" s="6" t="s">
        <v>347</v>
      </c>
      <c r="AD709" s="6" t="s">
        <v>336</v>
      </c>
      <c r="AE709" s="6">
        <v>0.11</v>
      </c>
      <c r="AF709" s="6" t="s">
        <v>159</v>
      </c>
      <c r="AG709" s="6">
        <v>0.15</v>
      </c>
      <c r="AH709" s="6">
        <v>0.08</v>
      </c>
      <c r="AI709" s="6">
        <v>8</v>
      </c>
      <c r="AJ709" s="6">
        <v>765</v>
      </c>
      <c r="AK709" s="6">
        <v>2278349.36</v>
      </c>
      <c r="AL709" s="6">
        <v>2045876.08</v>
      </c>
      <c r="AM709" s="6" t="s">
        <v>355</v>
      </c>
      <c r="AN709" s="6" t="s">
        <v>321</v>
      </c>
      <c r="AO709" s="6">
        <v>85.8</v>
      </c>
      <c r="AP709" s="6">
        <v>24</v>
      </c>
      <c r="AQ709" s="6"/>
      <c r="AR709" s="6" t="s">
        <v>229</v>
      </c>
      <c r="AS709" s="6" t="s">
        <v>188</v>
      </c>
    </row>
    <row r="710" spans="1:45" x14ac:dyDescent="0.3">
      <c r="A710" s="7" t="s">
        <v>2429</v>
      </c>
      <c r="B710" s="7" t="s">
        <v>3911</v>
      </c>
      <c r="C710" s="7" t="s">
        <v>179</v>
      </c>
      <c r="D710" s="7" t="s">
        <v>180</v>
      </c>
      <c r="E710" s="7" t="s">
        <v>4376</v>
      </c>
      <c r="F710" s="7" t="s">
        <v>31</v>
      </c>
      <c r="G710" s="7" t="s">
        <v>73</v>
      </c>
      <c r="H710" s="7" t="s">
        <v>4266</v>
      </c>
      <c r="I710" s="7" t="s">
        <v>4307</v>
      </c>
      <c r="J710" s="7" t="s">
        <v>136</v>
      </c>
      <c r="K710" s="7" t="s">
        <v>326</v>
      </c>
      <c r="L710" s="7" t="s">
        <v>2430</v>
      </c>
      <c r="M710" s="7" t="s">
        <v>5297</v>
      </c>
      <c r="N710" s="7"/>
      <c r="O710" s="7" t="s">
        <v>5298</v>
      </c>
      <c r="P710" s="7">
        <v>37</v>
      </c>
      <c r="Q710" s="7">
        <v>16040934</v>
      </c>
      <c r="R710" s="7">
        <v>0.28999999999999998</v>
      </c>
      <c r="S710" s="7">
        <v>7.0000000000000007E-2</v>
      </c>
      <c r="T710" s="7">
        <v>12186297.560000001</v>
      </c>
      <c r="U710" s="7">
        <v>10362762.449999999</v>
      </c>
      <c r="V710" s="7">
        <v>0.08</v>
      </c>
      <c r="W710" s="7">
        <v>0.17</v>
      </c>
      <c r="X710" s="7" t="s">
        <v>2431</v>
      </c>
      <c r="Y710" s="7">
        <v>7172556.54</v>
      </c>
      <c r="Z710" s="7">
        <v>2405899.59</v>
      </c>
      <c r="AA710" s="7">
        <v>30</v>
      </c>
      <c r="AB710" s="7">
        <v>26</v>
      </c>
      <c r="AC710" s="7" t="s">
        <v>347</v>
      </c>
      <c r="AD710" s="7" t="s">
        <v>226</v>
      </c>
      <c r="AE710" s="7">
        <v>0.67</v>
      </c>
      <c r="AF710" s="7" t="s">
        <v>159</v>
      </c>
      <c r="AG710" s="7">
        <v>0.1</v>
      </c>
      <c r="AH710" s="7">
        <v>0.06</v>
      </c>
      <c r="AI710" s="7">
        <v>13</v>
      </c>
      <c r="AJ710" s="7">
        <v>2597</v>
      </c>
      <c r="AK710" s="7">
        <v>2829981.35</v>
      </c>
      <c r="AL710" s="7">
        <v>4007705.7</v>
      </c>
      <c r="AM710" s="7" t="s">
        <v>355</v>
      </c>
      <c r="AN710" s="7" t="s">
        <v>356</v>
      </c>
      <c r="AO710" s="7">
        <v>99.7</v>
      </c>
      <c r="AP710" s="7">
        <v>48</v>
      </c>
      <c r="AQ710" s="7" t="s">
        <v>387</v>
      </c>
      <c r="AR710" s="7" t="s">
        <v>224</v>
      </c>
      <c r="AS710" s="7" t="s">
        <v>377</v>
      </c>
    </row>
    <row r="711" spans="1:45" x14ac:dyDescent="0.3">
      <c r="A711" s="6" t="s">
        <v>2432</v>
      </c>
      <c r="B711" s="6" t="s">
        <v>5299</v>
      </c>
      <c r="C711" s="6" t="s">
        <v>227</v>
      </c>
      <c r="D711" s="6" t="s">
        <v>209</v>
      </c>
      <c r="E711" s="6" t="s">
        <v>4376</v>
      </c>
      <c r="F711" s="6" t="s">
        <v>35</v>
      </c>
      <c r="G711" s="6" t="s">
        <v>46</v>
      </c>
      <c r="H711" s="6" t="s">
        <v>4280</v>
      </c>
      <c r="I711" s="6" t="s">
        <v>191</v>
      </c>
      <c r="J711" s="6" t="s">
        <v>136</v>
      </c>
      <c r="K711" s="6" t="s">
        <v>326</v>
      </c>
      <c r="L711" s="6" t="s">
        <v>2433</v>
      </c>
      <c r="M711" s="6" t="s">
        <v>4293</v>
      </c>
      <c r="N711" s="6" t="s">
        <v>3325</v>
      </c>
      <c r="O711" s="6" t="s">
        <v>3300</v>
      </c>
      <c r="P711" s="6">
        <v>9</v>
      </c>
      <c r="Q711" s="6">
        <v>47362959</v>
      </c>
      <c r="R711" s="6">
        <v>0.3</v>
      </c>
      <c r="S711" s="6">
        <v>0.15</v>
      </c>
      <c r="T711" s="6">
        <v>38127181.990000002</v>
      </c>
      <c r="U711" s="6">
        <v>26309005.859999999</v>
      </c>
      <c r="V711" s="6">
        <v>0.33</v>
      </c>
      <c r="W711" s="6">
        <v>0.11</v>
      </c>
      <c r="X711" s="6" t="s">
        <v>2434</v>
      </c>
      <c r="Y711" s="6">
        <v>33704168.369999997</v>
      </c>
      <c r="Z711" s="6">
        <v>23441779.800000001</v>
      </c>
      <c r="AA711" s="6">
        <v>90</v>
      </c>
      <c r="AB711" s="6">
        <v>156</v>
      </c>
      <c r="AC711" s="6" t="s">
        <v>353</v>
      </c>
      <c r="AD711" s="6" t="s">
        <v>455</v>
      </c>
      <c r="AE711" s="6">
        <v>0.46</v>
      </c>
      <c r="AF711" s="6" t="s">
        <v>4276</v>
      </c>
      <c r="AG711" s="6">
        <v>0.05</v>
      </c>
      <c r="AH711" s="6">
        <v>0.09</v>
      </c>
      <c r="AI711" s="6">
        <v>8</v>
      </c>
      <c r="AJ711" s="6">
        <v>2715</v>
      </c>
      <c r="AK711" s="6">
        <v>5060433.9800000004</v>
      </c>
      <c r="AL711" s="6">
        <v>9935844.4000000004</v>
      </c>
      <c r="AM711" s="6" t="s">
        <v>391</v>
      </c>
      <c r="AN711" s="6" t="s">
        <v>386</v>
      </c>
      <c r="AO711" s="6">
        <v>51.1</v>
      </c>
      <c r="AP711" s="6">
        <v>48</v>
      </c>
      <c r="AQ711" s="6" t="s">
        <v>337</v>
      </c>
      <c r="AR711" s="6" t="s">
        <v>186</v>
      </c>
      <c r="AS711" s="6" t="s">
        <v>188</v>
      </c>
    </row>
    <row r="712" spans="1:45" x14ac:dyDescent="0.3">
      <c r="A712" s="7" t="s">
        <v>2435</v>
      </c>
      <c r="B712" s="7" t="s">
        <v>5300</v>
      </c>
      <c r="C712" s="7" t="s">
        <v>285</v>
      </c>
      <c r="D712" s="7" t="s">
        <v>248</v>
      </c>
      <c r="E712" s="7"/>
      <c r="F712" s="7" t="s">
        <v>75</v>
      </c>
      <c r="G712" s="7"/>
      <c r="H712" s="7" t="s">
        <v>197</v>
      </c>
      <c r="I712" s="7"/>
      <c r="J712" s="7" t="s">
        <v>99</v>
      </c>
      <c r="K712" s="7" t="s">
        <v>184</v>
      </c>
      <c r="L712" s="7" t="s">
        <v>2436</v>
      </c>
      <c r="M712" s="7" t="s">
        <v>3422</v>
      </c>
      <c r="N712" s="7"/>
      <c r="O712" s="7" t="s">
        <v>3804</v>
      </c>
      <c r="P712" s="7">
        <v>58</v>
      </c>
      <c r="Q712" s="7">
        <v>9420683</v>
      </c>
      <c r="R712" s="7">
        <v>0.22</v>
      </c>
      <c r="S712" s="7">
        <v>0.18</v>
      </c>
      <c r="T712" s="7">
        <v>8670796.6300000008</v>
      </c>
      <c r="U712" s="7">
        <v>5216987.57</v>
      </c>
      <c r="V712" s="7">
        <v>0.28000000000000003</v>
      </c>
      <c r="W712" s="7">
        <v>0.06</v>
      </c>
      <c r="X712" s="7" t="s">
        <v>2437</v>
      </c>
      <c r="Y712" s="7">
        <v>6077277.79</v>
      </c>
      <c r="Z712" s="7">
        <v>5463326.4800000004</v>
      </c>
      <c r="AA712" s="7">
        <v>90</v>
      </c>
      <c r="AB712" s="7">
        <v>162</v>
      </c>
      <c r="AC712" s="7" t="s">
        <v>342</v>
      </c>
      <c r="AD712" s="7" t="s">
        <v>406</v>
      </c>
      <c r="AE712" s="7">
        <v>7.0000000000000007E-2</v>
      </c>
      <c r="AF712" s="7" t="s">
        <v>152</v>
      </c>
      <c r="AG712" s="7">
        <v>0.15</v>
      </c>
      <c r="AH712" s="7">
        <v>0.02</v>
      </c>
      <c r="AI712" s="7">
        <v>11</v>
      </c>
      <c r="AJ712" s="7">
        <v>1811</v>
      </c>
      <c r="AK712" s="7">
        <v>1323681.6000000001</v>
      </c>
      <c r="AL712" s="7">
        <v>4099156.52</v>
      </c>
      <c r="AM712" s="7" t="s">
        <v>321</v>
      </c>
      <c r="AN712" s="7" t="s">
        <v>356</v>
      </c>
      <c r="AO712" s="7"/>
      <c r="AP712" s="7">
        <v>48</v>
      </c>
      <c r="AQ712" s="7"/>
      <c r="AR712" s="7" t="s">
        <v>192</v>
      </c>
      <c r="AS712" s="7"/>
    </row>
    <row r="713" spans="1:45" x14ac:dyDescent="0.3">
      <c r="A713" s="6" t="s">
        <v>2438</v>
      </c>
      <c r="B713" s="6" t="s">
        <v>4136</v>
      </c>
      <c r="C713" s="6" t="s">
        <v>260</v>
      </c>
      <c r="D713" s="6" t="s">
        <v>190</v>
      </c>
      <c r="E713" s="6" t="s">
        <v>41</v>
      </c>
      <c r="F713" s="6" t="s">
        <v>350</v>
      </c>
      <c r="G713" s="6" t="s">
        <v>80</v>
      </c>
      <c r="H713" s="6" t="s">
        <v>4340</v>
      </c>
      <c r="I713" s="6" t="s">
        <v>4291</v>
      </c>
      <c r="J713" s="6" t="s">
        <v>105</v>
      </c>
      <c r="K713" s="6" t="s">
        <v>326</v>
      </c>
      <c r="L713" s="6" t="s">
        <v>2439</v>
      </c>
      <c r="M713" s="6" t="s">
        <v>5143</v>
      </c>
      <c r="N713" s="6"/>
      <c r="O713" s="6" t="s">
        <v>4274</v>
      </c>
      <c r="P713" s="6">
        <v>54</v>
      </c>
      <c r="Q713" s="6">
        <v>5806305</v>
      </c>
      <c r="R713" s="6">
        <v>0.12</v>
      </c>
      <c r="S713" s="6">
        <v>-0.04</v>
      </c>
      <c r="T713" s="6">
        <v>4905166.46</v>
      </c>
      <c r="U713" s="6">
        <v>3757210.92</v>
      </c>
      <c r="V713" s="6">
        <v>0.26</v>
      </c>
      <c r="W713" s="6">
        <v>7.0000000000000007E-2</v>
      </c>
      <c r="X713" s="6" t="s">
        <v>2440</v>
      </c>
      <c r="Y713" s="6">
        <v>2306246.92</v>
      </c>
      <c r="Z713" s="6">
        <v>717524.05</v>
      </c>
      <c r="AA713" s="6">
        <v>90</v>
      </c>
      <c r="AB713" s="6">
        <v>90</v>
      </c>
      <c r="AC713" s="6" t="s">
        <v>342</v>
      </c>
      <c r="AD713" s="6" t="s">
        <v>320</v>
      </c>
      <c r="AE713" s="6">
        <v>0.76</v>
      </c>
      <c r="AF713" s="6" t="s">
        <v>155</v>
      </c>
      <c r="AG713" s="6">
        <v>0.05</v>
      </c>
      <c r="AH713" s="6">
        <v>7.0000000000000007E-2</v>
      </c>
      <c r="AI713" s="6">
        <v>0</v>
      </c>
      <c r="AJ713" s="6">
        <v>2978</v>
      </c>
      <c r="AK713" s="6">
        <v>1172200.2</v>
      </c>
      <c r="AL713" s="6">
        <v>1711235.23</v>
      </c>
      <c r="AM713" s="6"/>
      <c r="AN713" s="6" t="s">
        <v>322</v>
      </c>
      <c r="AO713" s="6"/>
      <c r="AP713" s="6">
        <v>24</v>
      </c>
      <c r="AQ713" s="6" t="s">
        <v>337</v>
      </c>
      <c r="AR713" s="6" t="s">
        <v>206</v>
      </c>
      <c r="AS713" s="6"/>
    </row>
    <row r="714" spans="1:45" x14ac:dyDescent="0.3">
      <c r="A714" s="7" t="s">
        <v>2441</v>
      </c>
      <c r="B714" s="7" t="s">
        <v>3320</v>
      </c>
      <c r="C714" s="7" t="s">
        <v>283</v>
      </c>
      <c r="D714" s="7" t="s">
        <v>255</v>
      </c>
      <c r="E714" s="7" t="s">
        <v>4306</v>
      </c>
      <c r="F714" s="7" t="s">
        <v>75</v>
      </c>
      <c r="G714" s="7" t="s">
        <v>73</v>
      </c>
      <c r="H714" s="7" t="s">
        <v>236</v>
      </c>
      <c r="I714" s="7" t="s">
        <v>213</v>
      </c>
      <c r="J714" s="7" t="s">
        <v>133</v>
      </c>
      <c r="K714" s="7" t="s">
        <v>184</v>
      </c>
      <c r="L714" s="7" t="s">
        <v>2442</v>
      </c>
      <c r="M714" s="7" t="s">
        <v>3831</v>
      </c>
      <c r="N714" s="7" t="s">
        <v>4558</v>
      </c>
      <c r="O714" s="7" t="s">
        <v>5301</v>
      </c>
      <c r="P714" s="7">
        <v>17</v>
      </c>
      <c r="Q714" s="7" t="s">
        <v>4275</v>
      </c>
      <c r="R714" s="7">
        <v>0.24</v>
      </c>
      <c r="S714" s="7">
        <v>-0.04</v>
      </c>
      <c r="T714" s="7">
        <v>8497866.4299999997</v>
      </c>
      <c r="U714" s="7">
        <v>7462175.5</v>
      </c>
      <c r="V714" s="7">
        <v>0.36</v>
      </c>
      <c r="W714" s="7">
        <v>0.14000000000000001</v>
      </c>
      <c r="X714" s="7" t="s">
        <v>2443</v>
      </c>
      <c r="Y714" s="7">
        <v>4708304.99</v>
      </c>
      <c r="Z714" s="7">
        <v>4457479.0199999996</v>
      </c>
      <c r="AA714" s="7">
        <v>60</v>
      </c>
      <c r="AB714" s="7">
        <v>177</v>
      </c>
      <c r="AC714" s="7" t="s">
        <v>342</v>
      </c>
      <c r="AD714" s="7" t="s">
        <v>336</v>
      </c>
      <c r="AE714" s="7">
        <v>0.49</v>
      </c>
      <c r="AF714" s="7" t="s">
        <v>4303</v>
      </c>
      <c r="AG714" s="7">
        <v>0.1</v>
      </c>
      <c r="AH714" s="7">
        <v>0.06</v>
      </c>
      <c r="AI714" s="7">
        <v>0</v>
      </c>
      <c r="AJ714" s="7">
        <v>1252</v>
      </c>
      <c r="AK714" s="7">
        <v>963232.88</v>
      </c>
      <c r="AL714" s="7">
        <v>2030038.14</v>
      </c>
      <c r="AM714" s="7" t="s">
        <v>391</v>
      </c>
      <c r="AN714" s="7" t="s">
        <v>386</v>
      </c>
      <c r="AO714" s="7">
        <v>71.900000000000006</v>
      </c>
      <c r="AP714" s="7">
        <v>24</v>
      </c>
      <c r="AQ714" s="7" t="s">
        <v>392</v>
      </c>
      <c r="AR714" s="7" t="s">
        <v>229</v>
      </c>
      <c r="AS714" s="7"/>
    </row>
    <row r="715" spans="1:45" x14ac:dyDescent="0.3">
      <c r="A715" s="6" t="s">
        <v>2444</v>
      </c>
      <c r="B715" s="6" t="s">
        <v>5302</v>
      </c>
      <c r="C715" s="6" t="s">
        <v>264</v>
      </c>
      <c r="D715" s="6" t="s">
        <v>262</v>
      </c>
      <c r="E715" s="6" t="s">
        <v>4538</v>
      </c>
      <c r="F715" s="6"/>
      <c r="G715" s="6" t="s">
        <v>16</v>
      </c>
      <c r="H715" s="6" t="s">
        <v>4271</v>
      </c>
      <c r="I715" s="6" t="s">
        <v>246</v>
      </c>
      <c r="J715" s="6" t="s">
        <v>99</v>
      </c>
      <c r="K715" s="6" t="s">
        <v>210</v>
      </c>
      <c r="L715" s="6" t="s">
        <v>2445</v>
      </c>
      <c r="M715" s="6" t="s">
        <v>5082</v>
      </c>
      <c r="N715" s="6" t="s">
        <v>4137</v>
      </c>
      <c r="O715" s="6" t="s">
        <v>5303</v>
      </c>
      <c r="P715" s="6">
        <v>18</v>
      </c>
      <c r="Q715" s="6">
        <v>32960982</v>
      </c>
      <c r="R715" s="6">
        <v>7.0000000000000007E-2</v>
      </c>
      <c r="S715" s="6">
        <v>-0.01</v>
      </c>
      <c r="T715" s="6">
        <v>30347176.129999999</v>
      </c>
      <c r="U715" s="6">
        <v>25084185.75</v>
      </c>
      <c r="V715" s="6">
        <v>0.13</v>
      </c>
      <c r="W715" s="6">
        <v>0.05</v>
      </c>
      <c r="X715" s="6" t="s">
        <v>2446</v>
      </c>
      <c r="Y715" s="6">
        <v>3080882.85</v>
      </c>
      <c r="Z715" s="6">
        <v>1289465.3899999999</v>
      </c>
      <c r="AA715" s="6">
        <v>60</v>
      </c>
      <c r="AB715" s="6">
        <v>71</v>
      </c>
      <c r="AC715" s="6" t="s">
        <v>347</v>
      </c>
      <c r="AD715" s="6" t="s">
        <v>406</v>
      </c>
      <c r="AE715" s="6">
        <v>0.39</v>
      </c>
      <c r="AF715" s="6" t="s">
        <v>4319</v>
      </c>
      <c r="AG715" s="6">
        <v>0.15</v>
      </c>
      <c r="AH715" s="6">
        <v>0.1</v>
      </c>
      <c r="AI715" s="6">
        <v>0</v>
      </c>
      <c r="AJ715" s="6">
        <v>3402</v>
      </c>
      <c r="AK715" s="6"/>
      <c r="AL715" s="6">
        <v>11487168.289999999</v>
      </c>
      <c r="AM715" s="6"/>
      <c r="AN715" s="6" t="s">
        <v>321</v>
      </c>
      <c r="AO715" s="6">
        <v>53.1</v>
      </c>
      <c r="AP715" s="6">
        <v>48</v>
      </c>
      <c r="AQ715" s="6"/>
      <c r="AR715" s="6" t="s">
        <v>206</v>
      </c>
      <c r="AS715" s="6" t="s">
        <v>357</v>
      </c>
    </row>
    <row r="716" spans="1:45" x14ac:dyDescent="0.3">
      <c r="A716" s="7" t="s">
        <v>2447</v>
      </c>
      <c r="B716" s="7" t="s">
        <v>5304</v>
      </c>
      <c r="C716" s="7" t="s">
        <v>179</v>
      </c>
      <c r="D716" s="7" t="s">
        <v>220</v>
      </c>
      <c r="E716" s="7" t="s">
        <v>41</v>
      </c>
      <c r="F716" s="7" t="s">
        <v>228</v>
      </c>
      <c r="G716" s="7" t="s">
        <v>57</v>
      </c>
      <c r="H716" s="7" t="s">
        <v>4271</v>
      </c>
      <c r="I716" s="7" t="s">
        <v>198</v>
      </c>
      <c r="J716" s="7" t="s">
        <v>105</v>
      </c>
      <c r="K716" s="7" t="s">
        <v>210</v>
      </c>
      <c r="L716" s="7" t="s">
        <v>2448</v>
      </c>
      <c r="M716" s="7" t="s">
        <v>5305</v>
      </c>
      <c r="N716" s="7" t="s">
        <v>5087</v>
      </c>
      <c r="O716" s="7" t="s">
        <v>5306</v>
      </c>
      <c r="P716" s="7">
        <v>14</v>
      </c>
      <c r="Q716" s="7">
        <v>556669</v>
      </c>
      <c r="R716" s="7">
        <v>0.11</v>
      </c>
      <c r="S716" s="7">
        <v>7.0000000000000007E-2</v>
      </c>
      <c r="T716" s="7">
        <v>530115.89</v>
      </c>
      <c r="U716" s="7">
        <v>321943.90000000002</v>
      </c>
      <c r="V716" s="7">
        <v>0.11</v>
      </c>
      <c r="W716" s="7">
        <v>0.1</v>
      </c>
      <c r="X716" s="7" t="s">
        <v>2449</v>
      </c>
      <c r="Y716" s="7">
        <v>301641.74</v>
      </c>
      <c r="Z716" s="7">
        <v>102784.76</v>
      </c>
      <c r="AA716" s="7">
        <v>60</v>
      </c>
      <c r="AB716" s="7">
        <v>142</v>
      </c>
      <c r="AC716" s="7" t="s">
        <v>329</v>
      </c>
      <c r="AD716" s="7" t="s">
        <v>226</v>
      </c>
      <c r="AE716" s="7">
        <v>0.82</v>
      </c>
      <c r="AF716" s="7" t="s">
        <v>159</v>
      </c>
      <c r="AG716" s="7">
        <v>0.05</v>
      </c>
      <c r="AH716" s="7">
        <v>0.03</v>
      </c>
      <c r="AI716" s="7">
        <v>0</v>
      </c>
      <c r="AJ716" s="7">
        <v>1157</v>
      </c>
      <c r="AK716" s="7">
        <v>54584.73</v>
      </c>
      <c r="AL716" s="7">
        <v>131425.07</v>
      </c>
      <c r="AM716" s="7" t="s">
        <v>321</v>
      </c>
      <c r="AN716" s="7" t="s">
        <v>321</v>
      </c>
      <c r="AO716" s="7">
        <v>67.2</v>
      </c>
      <c r="AP716" s="7" t="s">
        <v>4275</v>
      </c>
      <c r="AQ716" s="7" t="s">
        <v>387</v>
      </c>
      <c r="AR716" s="7" t="s">
        <v>229</v>
      </c>
      <c r="AS716" s="7"/>
    </row>
    <row r="717" spans="1:45" x14ac:dyDescent="0.3">
      <c r="A717" s="6" t="s">
        <v>2450</v>
      </c>
      <c r="B717" s="6" t="s">
        <v>3989</v>
      </c>
      <c r="C717" s="6" t="s">
        <v>280</v>
      </c>
      <c r="D717" s="6" t="s">
        <v>265</v>
      </c>
      <c r="E717" s="6" t="s">
        <v>4270</v>
      </c>
      <c r="F717" s="6" t="s">
        <v>367</v>
      </c>
      <c r="G717" s="6" t="s">
        <v>23</v>
      </c>
      <c r="H717" s="6" t="s">
        <v>4266</v>
      </c>
      <c r="I717" s="6" t="s">
        <v>198</v>
      </c>
      <c r="J717" s="6" t="s">
        <v>123</v>
      </c>
      <c r="K717" s="6" t="s">
        <v>223</v>
      </c>
      <c r="L717" s="6" t="s">
        <v>2451</v>
      </c>
      <c r="M717" s="6" t="s">
        <v>5133</v>
      </c>
      <c r="N717" s="6" t="s">
        <v>5307</v>
      </c>
      <c r="O717" s="6" t="s">
        <v>4758</v>
      </c>
      <c r="P717" s="6">
        <v>42</v>
      </c>
      <c r="Q717" s="6">
        <v>34435235</v>
      </c>
      <c r="R717" s="6">
        <v>0.17</v>
      </c>
      <c r="S717" s="6">
        <v>0.14000000000000001</v>
      </c>
      <c r="T717" s="6">
        <v>32582619.359999999</v>
      </c>
      <c r="U717" s="6">
        <v>27118211.25</v>
      </c>
      <c r="V717" s="6">
        <v>0.36</v>
      </c>
      <c r="W717" s="6">
        <v>0.14000000000000001</v>
      </c>
      <c r="X717" s="6" t="s">
        <v>2452</v>
      </c>
      <c r="Y717" s="6" t="s">
        <v>158</v>
      </c>
      <c r="Z717" s="6">
        <v>7173705.1299999999</v>
      </c>
      <c r="AA717" s="6">
        <v>60</v>
      </c>
      <c r="AB717" s="6">
        <v>32</v>
      </c>
      <c r="AC717" s="6" t="s">
        <v>342</v>
      </c>
      <c r="AD717" s="6" t="s">
        <v>406</v>
      </c>
      <c r="AE717" s="6">
        <v>0.25</v>
      </c>
      <c r="AF717" s="6" t="s">
        <v>4276</v>
      </c>
      <c r="AG717" s="6">
        <v>0.15</v>
      </c>
      <c r="AH717" s="6">
        <v>0.08</v>
      </c>
      <c r="AI717" s="6">
        <v>3</v>
      </c>
      <c r="AJ717" s="6">
        <v>1245</v>
      </c>
      <c r="AK717" s="6">
        <v>1986839.28</v>
      </c>
      <c r="AL717" s="6">
        <v>3889544.28</v>
      </c>
      <c r="AM717" s="6" t="s">
        <v>321</v>
      </c>
      <c r="AN717" s="6" t="s">
        <v>330</v>
      </c>
      <c r="AO717" s="6">
        <v>73.3</v>
      </c>
      <c r="AP717" s="6">
        <v>36</v>
      </c>
      <c r="AQ717" s="6" t="s">
        <v>387</v>
      </c>
      <c r="AR717" s="6" t="s">
        <v>192</v>
      </c>
      <c r="AS717" s="6"/>
    </row>
    <row r="718" spans="1:45" x14ac:dyDescent="0.3">
      <c r="A718" s="7" t="s">
        <v>2453</v>
      </c>
      <c r="B718" s="7" t="s">
        <v>5308</v>
      </c>
      <c r="C718" s="7" t="s">
        <v>211</v>
      </c>
      <c r="D718" s="7" t="s">
        <v>220</v>
      </c>
      <c r="E718" s="7" t="s">
        <v>113</v>
      </c>
      <c r="F718" s="7" t="s">
        <v>367</v>
      </c>
      <c r="G718" s="7" t="s">
        <v>78</v>
      </c>
      <c r="H718" s="7" t="s">
        <v>216</v>
      </c>
      <c r="I718" s="7" t="s">
        <v>233</v>
      </c>
      <c r="J718" s="7" t="s">
        <v>111</v>
      </c>
      <c r="K718" s="7" t="s">
        <v>199</v>
      </c>
      <c r="L718" s="7" t="s">
        <v>2454</v>
      </c>
      <c r="M718" s="7" t="s">
        <v>3965</v>
      </c>
      <c r="N718" s="7" t="s">
        <v>4838</v>
      </c>
      <c r="O718" s="7" t="s">
        <v>4274</v>
      </c>
      <c r="P718" s="7">
        <v>23</v>
      </c>
      <c r="Q718" s="7">
        <v>32223118</v>
      </c>
      <c r="R718" s="7">
        <v>0.08</v>
      </c>
      <c r="S718" s="7">
        <v>0.16</v>
      </c>
      <c r="T718" s="7">
        <v>34388511.530000001</v>
      </c>
      <c r="U718" s="7">
        <v>30084584.760000002</v>
      </c>
      <c r="V718" s="7">
        <v>0.13</v>
      </c>
      <c r="W718" s="7">
        <v>0.15</v>
      </c>
      <c r="X718" s="7" t="s">
        <v>2455</v>
      </c>
      <c r="Y718" s="7">
        <v>19715018.940000001</v>
      </c>
      <c r="Z718" s="7">
        <v>8073750.2199999997</v>
      </c>
      <c r="AA718" s="7">
        <v>60</v>
      </c>
      <c r="AB718" s="7">
        <v>138</v>
      </c>
      <c r="AC718" s="7" t="s">
        <v>329</v>
      </c>
      <c r="AD718" s="7" t="s">
        <v>455</v>
      </c>
      <c r="AE718" s="7">
        <v>0.98</v>
      </c>
      <c r="AF718" s="7" t="s">
        <v>155</v>
      </c>
      <c r="AG718" s="7">
        <v>0.05</v>
      </c>
      <c r="AH718" s="7">
        <v>0.06</v>
      </c>
      <c r="AI718" s="7">
        <v>13</v>
      </c>
      <c r="AJ718" s="7">
        <v>1974</v>
      </c>
      <c r="AK718" s="7">
        <v>6696151.0700000003</v>
      </c>
      <c r="AL718" s="7">
        <v>3546622.12</v>
      </c>
      <c r="AM718" s="7" t="s">
        <v>391</v>
      </c>
      <c r="AN718" s="7" t="s">
        <v>321</v>
      </c>
      <c r="AO718" s="7">
        <v>80.900000000000006</v>
      </c>
      <c r="AP718" s="7">
        <v>24</v>
      </c>
      <c r="AQ718" s="7" t="s">
        <v>4275</v>
      </c>
      <c r="AR718" s="7" t="s">
        <v>206</v>
      </c>
      <c r="AS718" s="7" t="s">
        <v>188</v>
      </c>
    </row>
    <row r="719" spans="1:45" x14ac:dyDescent="0.3">
      <c r="A719" s="6" t="s">
        <v>2456</v>
      </c>
      <c r="B719" s="6" t="s">
        <v>4284</v>
      </c>
      <c r="C719" s="6" t="s">
        <v>252</v>
      </c>
      <c r="D719" s="6" t="s">
        <v>281</v>
      </c>
      <c r="E719" s="6" t="s">
        <v>113</v>
      </c>
      <c r="F719" s="6" t="s">
        <v>367</v>
      </c>
      <c r="G719" s="6" t="s">
        <v>57</v>
      </c>
      <c r="H719" s="6" t="s">
        <v>4280</v>
      </c>
      <c r="I719" s="6" t="s">
        <v>233</v>
      </c>
      <c r="J719" s="6" t="s">
        <v>111</v>
      </c>
      <c r="K719" s="6" t="s">
        <v>326</v>
      </c>
      <c r="L719" s="6" t="s">
        <v>2457</v>
      </c>
      <c r="M719" s="6" t="s">
        <v>3417</v>
      </c>
      <c r="N719" s="6" t="s">
        <v>5309</v>
      </c>
      <c r="O719" s="6" t="s">
        <v>5310</v>
      </c>
      <c r="P719" s="6">
        <v>56</v>
      </c>
      <c r="Q719" s="6">
        <v>472954</v>
      </c>
      <c r="R719" s="6">
        <v>0.27</v>
      </c>
      <c r="S719" s="6">
        <v>0.03</v>
      </c>
      <c r="T719" s="6">
        <v>355614.11</v>
      </c>
      <c r="U719" s="6">
        <v>269469.55</v>
      </c>
      <c r="V719" s="6">
        <v>0.12</v>
      </c>
      <c r="W719" s="6">
        <v>0.18</v>
      </c>
      <c r="X719" s="6" t="s">
        <v>2458</v>
      </c>
      <c r="Y719" s="6">
        <v>202342.65</v>
      </c>
      <c r="Z719" s="6">
        <v>176233.5</v>
      </c>
      <c r="AA719" s="6">
        <v>45</v>
      </c>
      <c r="AB719" s="6">
        <v>127</v>
      </c>
      <c r="AC719" s="6" t="s">
        <v>329</v>
      </c>
      <c r="AD719" s="6" t="s">
        <v>226</v>
      </c>
      <c r="AE719" s="6">
        <v>7.0000000000000007E-2</v>
      </c>
      <c r="AF719" s="6" t="s">
        <v>4303</v>
      </c>
      <c r="AG719" s="6">
        <v>0.05</v>
      </c>
      <c r="AH719" s="6">
        <v>0.01</v>
      </c>
      <c r="AI719" s="6">
        <v>9</v>
      </c>
      <c r="AJ719" s="6">
        <v>3812</v>
      </c>
      <c r="AK719" s="6">
        <v>58714.76</v>
      </c>
      <c r="AL719" s="6">
        <v>49682.93</v>
      </c>
      <c r="AM719" s="6" t="s">
        <v>73</v>
      </c>
      <c r="AN719" s="6" t="s">
        <v>321</v>
      </c>
      <c r="AO719" s="6">
        <v>51.5</v>
      </c>
      <c r="AP719" s="6">
        <v>48</v>
      </c>
      <c r="AQ719" s="6" t="s">
        <v>4275</v>
      </c>
      <c r="AR719" s="6" t="s">
        <v>224</v>
      </c>
      <c r="AS719" s="6" t="s">
        <v>188</v>
      </c>
    </row>
    <row r="720" spans="1:45" x14ac:dyDescent="0.3">
      <c r="A720" s="7" t="s">
        <v>2459</v>
      </c>
      <c r="B720" s="7" t="s">
        <v>4114</v>
      </c>
      <c r="C720" s="7" t="s">
        <v>201</v>
      </c>
      <c r="D720" s="7" t="s">
        <v>394</v>
      </c>
      <c r="E720" s="7" t="s">
        <v>41</v>
      </c>
      <c r="F720" s="7" t="s">
        <v>363</v>
      </c>
      <c r="G720" s="7" t="s">
        <v>80</v>
      </c>
      <c r="H720" s="7" t="s">
        <v>4280</v>
      </c>
      <c r="I720" s="7"/>
      <c r="J720" s="6" t="s">
        <v>130</v>
      </c>
      <c r="K720" s="7" t="s">
        <v>223</v>
      </c>
      <c r="L720" s="7" t="s">
        <v>2460</v>
      </c>
      <c r="M720" s="7" t="s">
        <v>5311</v>
      </c>
      <c r="N720" s="7" t="s">
        <v>4138</v>
      </c>
      <c r="O720" s="7" t="s">
        <v>3731</v>
      </c>
      <c r="P720" s="7">
        <v>21</v>
      </c>
      <c r="Q720" s="7">
        <v>31096533</v>
      </c>
      <c r="R720" s="7">
        <v>0.19</v>
      </c>
      <c r="S720" s="7">
        <v>0.2</v>
      </c>
      <c r="T720" s="7">
        <v>30225830.079999998</v>
      </c>
      <c r="U720" s="7">
        <v>23677219.84</v>
      </c>
      <c r="V720" s="7">
        <v>0.4</v>
      </c>
      <c r="W720" s="7">
        <v>0.12</v>
      </c>
      <c r="X720" s="7" t="s">
        <v>2461</v>
      </c>
      <c r="Y720" s="7">
        <v>5978273.75</v>
      </c>
      <c r="Z720" s="7">
        <v>4897001.5199999996</v>
      </c>
      <c r="AA720" s="7">
        <v>30</v>
      </c>
      <c r="AB720" s="7">
        <v>109</v>
      </c>
      <c r="AC720" s="7" t="s">
        <v>342</v>
      </c>
      <c r="AD720" s="7" t="s">
        <v>336</v>
      </c>
      <c r="AE720" s="7">
        <v>0.56000000000000005</v>
      </c>
      <c r="AF720" s="7" t="s">
        <v>4319</v>
      </c>
      <c r="AG720" s="7">
        <v>0.15</v>
      </c>
      <c r="AH720" s="7">
        <v>0.04</v>
      </c>
      <c r="AI720" s="7">
        <v>0</v>
      </c>
      <c r="AJ720" s="7">
        <v>45</v>
      </c>
      <c r="AK720" s="7">
        <v>6959404.5999999996</v>
      </c>
      <c r="AL720" s="7">
        <v>11793246.890000001</v>
      </c>
      <c r="AM720" s="7" t="s">
        <v>355</v>
      </c>
      <c r="AN720" s="7" t="s">
        <v>322</v>
      </c>
      <c r="AO720" s="7">
        <v>77.900000000000006</v>
      </c>
      <c r="AP720" s="7">
        <v>60</v>
      </c>
      <c r="AQ720" s="7" t="s">
        <v>337</v>
      </c>
      <c r="AR720" s="7" t="s">
        <v>186</v>
      </c>
      <c r="AS720" s="7" t="s">
        <v>324</v>
      </c>
    </row>
    <row r="721" spans="1:45" x14ac:dyDescent="0.3">
      <c r="A721" s="6" t="s">
        <v>2462</v>
      </c>
      <c r="B721" s="6" t="s">
        <v>5312</v>
      </c>
      <c r="C721" s="6" t="s">
        <v>261</v>
      </c>
      <c r="D721" s="6" t="s">
        <v>394</v>
      </c>
      <c r="E721" s="6" t="s">
        <v>4325</v>
      </c>
      <c r="F721" s="6" t="s">
        <v>339</v>
      </c>
      <c r="G721" s="6" t="s">
        <v>70</v>
      </c>
      <c r="H721" s="6"/>
      <c r="I721" s="6" t="s">
        <v>233</v>
      </c>
      <c r="J721" s="6" t="s">
        <v>115</v>
      </c>
      <c r="K721" s="6" t="s">
        <v>184</v>
      </c>
      <c r="L721" s="6" t="s">
        <v>2463</v>
      </c>
      <c r="M721" s="6" t="s">
        <v>4623</v>
      </c>
      <c r="N721" s="6" t="s">
        <v>5313</v>
      </c>
      <c r="O721" s="6" t="s">
        <v>5314</v>
      </c>
      <c r="P721" s="6">
        <v>29</v>
      </c>
      <c r="Q721" s="6">
        <v>21562048</v>
      </c>
      <c r="R721" s="6">
        <v>0.19</v>
      </c>
      <c r="S721" s="6">
        <v>0.18</v>
      </c>
      <c r="T721" s="6">
        <v>20609005.48</v>
      </c>
      <c r="U721" s="6">
        <v>17772127.800000001</v>
      </c>
      <c r="V721" s="6">
        <v>0.06</v>
      </c>
      <c r="W721" s="6">
        <v>0.2</v>
      </c>
      <c r="X721" s="6" t="s">
        <v>2464</v>
      </c>
      <c r="Y721" s="6">
        <v>9051249.7799999993</v>
      </c>
      <c r="Z721" s="6">
        <v>8046412.9800000004</v>
      </c>
      <c r="AA721" s="6">
        <v>45</v>
      </c>
      <c r="AB721" s="6">
        <v>100</v>
      </c>
      <c r="AC721" s="6"/>
      <c r="AD721" s="6" t="s">
        <v>320</v>
      </c>
      <c r="AE721" s="6">
        <v>0.11</v>
      </c>
      <c r="AF721" s="6" t="s">
        <v>155</v>
      </c>
      <c r="AG721" s="6">
        <v>0.05</v>
      </c>
      <c r="AH721" s="6">
        <v>0.03</v>
      </c>
      <c r="AI721" s="6">
        <v>0</v>
      </c>
      <c r="AJ721" s="6">
        <v>3611</v>
      </c>
      <c r="AK721" s="6">
        <v>781083.84</v>
      </c>
      <c r="AL721" s="6">
        <v>10082521.35</v>
      </c>
      <c r="AM721" s="6" t="s">
        <v>385</v>
      </c>
      <c r="AN721" s="6" t="s">
        <v>321</v>
      </c>
      <c r="AO721" s="6">
        <v>97.7</v>
      </c>
      <c r="AP721" s="6">
        <v>48</v>
      </c>
      <c r="AQ721" s="6" t="s">
        <v>337</v>
      </c>
      <c r="AR721" s="6" t="s">
        <v>186</v>
      </c>
      <c r="AS721" s="6" t="s">
        <v>377</v>
      </c>
    </row>
    <row r="722" spans="1:45" x14ac:dyDescent="0.3">
      <c r="A722" s="7" t="s">
        <v>2465</v>
      </c>
      <c r="B722" s="7" t="s">
        <v>4735</v>
      </c>
      <c r="C722" s="7" t="s">
        <v>237</v>
      </c>
      <c r="D722" s="7" t="s">
        <v>245</v>
      </c>
      <c r="E722" s="7" t="s">
        <v>113</v>
      </c>
      <c r="F722" s="7" t="s">
        <v>367</v>
      </c>
      <c r="G722" s="7" t="s">
        <v>16</v>
      </c>
      <c r="H722" s="7" t="s">
        <v>4266</v>
      </c>
      <c r="I722" s="7" t="s">
        <v>240</v>
      </c>
      <c r="J722" s="7" t="s">
        <v>123</v>
      </c>
      <c r="K722" s="7" t="s">
        <v>326</v>
      </c>
      <c r="L722" s="7" t="s">
        <v>2466</v>
      </c>
      <c r="M722" s="7" t="s">
        <v>3932</v>
      </c>
      <c r="N722" s="7" t="s">
        <v>2467</v>
      </c>
      <c r="O722" s="7" t="s">
        <v>4139</v>
      </c>
      <c r="P722" s="7">
        <v>11</v>
      </c>
      <c r="Q722" s="7">
        <v>17113526</v>
      </c>
      <c r="R722" s="7">
        <v>0.09</v>
      </c>
      <c r="S722" s="7">
        <v>0.16</v>
      </c>
      <c r="T722" s="7">
        <v>18065038.050000001</v>
      </c>
      <c r="U722" s="7">
        <v>12701182.59</v>
      </c>
      <c r="V722" s="7">
        <v>0.1</v>
      </c>
      <c r="W722" s="7">
        <v>0.1</v>
      </c>
      <c r="X722" s="7"/>
      <c r="Y722" s="7">
        <v>8531457.6500000004</v>
      </c>
      <c r="Z722" s="7">
        <v>6276538.3200000003</v>
      </c>
      <c r="AA722" s="7">
        <v>90</v>
      </c>
      <c r="AB722" s="7">
        <v>58</v>
      </c>
      <c r="AC722" s="7"/>
      <c r="AD722" s="7" t="s">
        <v>455</v>
      </c>
      <c r="AE722" s="7">
        <v>0.73</v>
      </c>
      <c r="AF722" s="7" t="s">
        <v>153</v>
      </c>
      <c r="AG722" s="7">
        <v>0.05</v>
      </c>
      <c r="AH722" s="7">
        <v>0.04</v>
      </c>
      <c r="AI722" s="7">
        <v>15</v>
      </c>
      <c r="AJ722" s="7">
        <v>3804</v>
      </c>
      <c r="AK722" s="7">
        <v>4444279.92</v>
      </c>
      <c r="AL722" s="7">
        <v>6256946.9000000004</v>
      </c>
      <c r="AM722" s="7" t="s">
        <v>73</v>
      </c>
      <c r="AN722" s="7"/>
      <c r="AO722" s="7">
        <v>72.7</v>
      </c>
      <c r="AP722" s="7" t="s">
        <v>4275</v>
      </c>
      <c r="AQ722" s="7" t="s">
        <v>337</v>
      </c>
      <c r="AR722" s="7" t="s">
        <v>224</v>
      </c>
      <c r="AS722" s="7"/>
    </row>
    <row r="723" spans="1:45" x14ac:dyDescent="0.3">
      <c r="A723" s="6" t="s">
        <v>2468</v>
      </c>
      <c r="B723" s="6" t="s">
        <v>4063</v>
      </c>
      <c r="C723" s="6" t="s">
        <v>257</v>
      </c>
      <c r="D723" s="6" t="s">
        <v>180</v>
      </c>
      <c r="E723" s="6"/>
      <c r="F723" s="6" t="s">
        <v>350</v>
      </c>
      <c r="G723" s="6" t="s">
        <v>73</v>
      </c>
      <c r="H723" s="6" t="s">
        <v>4271</v>
      </c>
      <c r="I723" s="6" t="s">
        <v>4291</v>
      </c>
      <c r="J723" s="6" t="s">
        <v>99</v>
      </c>
      <c r="K723" s="6" t="s">
        <v>210</v>
      </c>
      <c r="L723" s="6" t="s">
        <v>2469</v>
      </c>
      <c r="M723" s="6" t="s">
        <v>5315</v>
      </c>
      <c r="N723" s="6" t="s">
        <v>671</v>
      </c>
      <c r="O723" s="6" t="s">
        <v>5316</v>
      </c>
      <c r="P723" s="6">
        <v>22</v>
      </c>
      <c r="Q723" s="6">
        <v>11181751</v>
      </c>
      <c r="R723" s="6">
        <v>0.16</v>
      </c>
      <c r="S723" s="6">
        <v>0.18</v>
      </c>
      <c r="T723" s="6">
        <v>11083351.59</v>
      </c>
      <c r="U723" s="6">
        <v>8817326.6899999995</v>
      </c>
      <c r="V723" s="6">
        <v>0.16</v>
      </c>
      <c r="W723" s="6">
        <v>0.17</v>
      </c>
      <c r="X723" s="6" t="s">
        <v>2470</v>
      </c>
      <c r="Y723" s="6">
        <v>2752838.29</v>
      </c>
      <c r="Z723" s="6">
        <v>1722516.13</v>
      </c>
      <c r="AA723" s="6">
        <v>120</v>
      </c>
      <c r="AB723" s="6">
        <v>135</v>
      </c>
      <c r="AC723" s="6" t="s">
        <v>353</v>
      </c>
      <c r="AD723" s="6" t="s">
        <v>455</v>
      </c>
      <c r="AE723" s="6">
        <v>0.26</v>
      </c>
      <c r="AF723" s="6" t="s">
        <v>4303</v>
      </c>
      <c r="AG723" s="6">
        <v>0.05</v>
      </c>
      <c r="AH723" s="6">
        <v>7.0000000000000007E-2</v>
      </c>
      <c r="AI723" s="6">
        <v>6</v>
      </c>
      <c r="AJ723" s="6">
        <v>267</v>
      </c>
      <c r="AK723" s="6"/>
      <c r="AL723" s="6"/>
      <c r="AM723" s="6" t="s">
        <v>321</v>
      </c>
      <c r="AN723" s="6" t="s">
        <v>322</v>
      </c>
      <c r="AO723" s="6">
        <v>74.099999999999994</v>
      </c>
      <c r="AP723" s="6">
        <v>48</v>
      </c>
      <c r="AQ723" s="6" t="s">
        <v>323</v>
      </c>
      <c r="AR723" s="6" t="s">
        <v>186</v>
      </c>
      <c r="AS723" s="6" t="s">
        <v>324</v>
      </c>
    </row>
    <row r="724" spans="1:45" x14ac:dyDescent="0.3">
      <c r="A724" s="7" t="s">
        <v>2471</v>
      </c>
      <c r="B724" s="7" t="s">
        <v>5317</v>
      </c>
      <c r="C724" s="7" t="s">
        <v>254</v>
      </c>
      <c r="D724" s="7" t="s">
        <v>180</v>
      </c>
      <c r="E724" s="7" t="s">
        <v>52</v>
      </c>
      <c r="F724" s="7" t="s">
        <v>75</v>
      </c>
      <c r="G724" s="7" t="s">
        <v>38</v>
      </c>
      <c r="H724" s="7"/>
      <c r="I724" s="7" t="s">
        <v>183</v>
      </c>
      <c r="J724" s="7" t="s">
        <v>119</v>
      </c>
      <c r="K724" s="7" t="s">
        <v>204</v>
      </c>
      <c r="L724" s="7" t="s">
        <v>2472</v>
      </c>
      <c r="M724" s="7" t="s">
        <v>5122</v>
      </c>
      <c r="N724" s="7"/>
      <c r="O724" s="7" t="s">
        <v>5318</v>
      </c>
      <c r="P724" s="7">
        <v>55</v>
      </c>
      <c r="Q724" s="7">
        <v>2633338</v>
      </c>
      <c r="R724" s="7">
        <v>0.2</v>
      </c>
      <c r="S724" s="7">
        <v>0.16</v>
      </c>
      <c r="T724" s="7">
        <v>2443737.66</v>
      </c>
      <c r="U724" s="7">
        <v>1832125.02</v>
      </c>
      <c r="V724" s="7">
        <v>0.11</v>
      </c>
      <c r="W724" s="7">
        <v>0.11</v>
      </c>
      <c r="X724" s="7" t="s">
        <v>2473</v>
      </c>
      <c r="Y724" s="7">
        <v>135387.04999999999</v>
      </c>
      <c r="Z724" s="7">
        <v>105308.57</v>
      </c>
      <c r="AA724" s="7">
        <v>90</v>
      </c>
      <c r="AB724" s="7">
        <v>101</v>
      </c>
      <c r="AC724" s="7" t="s">
        <v>342</v>
      </c>
      <c r="AD724" s="7" t="s">
        <v>406</v>
      </c>
      <c r="AE724" s="7">
        <v>0.38</v>
      </c>
      <c r="AF724" s="7" t="s">
        <v>153</v>
      </c>
      <c r="AG724" s="7">
        <v>0.15</v>
      </c>
      <c r="AH724" s="7">
        <v>0.06</v>
      </c>
      <c r="AI724" s="7">
        <v>10</v>
      </c>
      <c r="AJ724" s="7"/>
      <c r="AK724" s="7">
        <v>401397.57</v>
      </c>
      <c r="AL724" s="7">
        <v>639297.75</v>
      </c>
      <c r="AM724" s="7" t="s">
        <v>321</v>
      </c>
      <c r="AN724" s="7" t="s">
        <v>330</v>
      </c>
      <c r="AO724" s="7">
        <v>88.7</v>
      </c>
      <c r="AP724" s="7">
        <v>12</v>
      </c>
      <c r="AQ724" s="7" t="s">
        <v>337</v>
      </c>
      <c r="AR724" s="7" t="s">
        <v>192</v>
      </c>
      <c r="AS724" s="7"/>
    </row>
    <row r="725" spans="1:45" x14ac:dyDescent="0.3">
      <c r="A725" s="6" t="s">
        <v>2474</v>
      </c>
      <c r="B725" s="6" t="s">
        <v>5319</v>
      </c>
      <c r="C725" s="6" t="s">
        <v>264</v>
      </c>
      <c r="D725" s="6" t="s">
        <v>232</v>
      </c>
      <c r="E725" s="6" t="s">
        <v>52</v>
      </c>
      <c r="F725" s="6"/>
      <c r="G725" s="6" t="s">
        <v>50</v>
      </c>
      <c r="H725" s="6" t="s">
        <v>4326</v>
      </c>
      <c r="I725" s="6" t="s">
        <v>4372</v>
      </c>
      <c r="J725" s="6" t="s">
        <v>133</v>
      </c>
      <c r="K725" s="6" t="s">
        <v>204</v>
      </c>
      <c r="L725" s="6" t="s">
        <v>2475</v>
      </c>
      <c r="M725" s="6" t="s">
        <v>5320</v>
      </c>
      <c r="N725" s="6" t="s">
        <v>5321</v>
      </c>
      <c r="O725" s="6" t="s">
        <v>4274</v>
      </c>
      <c r="P725" s="6">
        <v>60</v>
      </c>
      <c r="Q725" s="6">
        <v>27523084</v>
      </c>
      <c r="R725" s="6">
        <v>0.1</v>
      </c>
      <c r="S725" s="6">
        <v>-0.01</v>
      </c>
      <c r="T725" s="6">
        <v>24523067.84</v>
      </c>
      <c r="U725" s="6">
        <v>18668072.579999998</v>
      </c>
      <c r="V725" s="6">
        <v>0.18</v>
      </c>
      <c r="W725" s="6">
        <v>0.15</v>
      </c>
      <c r="X725" s="6"/>
      <c r="Y725" s="6">
        <v>10780951.99</v>
      </c>
      <c r="Z725" s="6">
        <v>6861231.4500000002</v>
      </c>
      <c r="AA725" s="6">
        <v>60</v>
      </c>
      <c r="AB725" s="6">
        <v>63</v>
      </c>
      <c r="AC725" s="6" t="s">
        <v>329</v>
      </c>
      <c r="AD725" s="6" t="s">
        <v>381</v>
      </c>
      <c r="AE725" s="6">
        <v>0.34</v>
      </c>
      <c r="AF725" s="6" t="s">
        <v>4276</v>
      </c>
      <c r="AG725" s="6">
        <v>0.15</v>
      </c>
      <c r="AH725" s="6">
        <v>7.0000000000000007E-2</v>
      </c>
      <c r="AI725" s="6">
        <v>13</v>
      </c>
      <c r="AJ725" s="6">
        <v>581</v>
      </c>
      <c r="AK725" s="6">
        <v>5462976.0499999998</v>
      </c>
      <c r="AL725" s="6">
        <v>10195355.6</v>
      </c>
      <c r="AM725" s="6" t="s">
        <v>321</v>
      </c>
      <c r="AN725" s="6" t="s">
        <v>348</v>
      </c>
      <c r="AO725" s="6">
        <v>65.8</v>
      </c>
      <c r="AP725" s="6">
        <v>24</v>
      </c>
      <c r="AQ725" s="6" t="s">
        <v>323</v>
      </c>
      <c r="AR725" s="6" t="s">
        <v>224</v>
      </c>
      <c r="AS725" s="6" t="s">
        <v>377</v>
      </c>
    </row>
    <row r="726" spans="1:45" x14ac:dyDescent="0.3">
      <c r="A726" s="7" t="s">
        <v>2476</v>
      </c>
      <c r="B726" s="7" t="s">
        <v>4140</v>
      </c>
      <c r="C726" s="7" t="s">
        <v>280</v>
      </c>
      <c r="D726" s="7" t="s">
        <v>232</v>
      </c>
      <c r="E726" s="7" t="s">
        <v>20</v>
      </c>
      <c r="F726" s="7" t="s">
        <v>31</v>
      </c>
      <c r="G726" s="7" t="s">
        <v>46</v>
      </c>
      <c r="H726" s="7" t="s">
        <v>4326</v>
      </c>
      <c r="I726" s="7" t="s">
        <v>246</v>
      </c>
      <c r="J726" s="7" t="s">
        <v>136</v>
      </c>
      <c r="K726" s="7" t="s">
        <v>326</v>
      </c>
      <c r="L726" s="7" t="s">
        <v>2477</v>
      </c>
      <c r="M726" s="7" t="s">
        <v>5322</v>
      </c>
      <c r="N726" s="7"/>
      <c r="O726" s="7" t="s">
        <v>5323</v>
      </c>
      <c r="P726" s="7">
        <v>21</v>
      </c>
      <c r="Q726" s="7">
        <v>44415906</v>
      </c>
      <c r="R726" s="7">
        <v>0.09</v>
      </c>
      <c r="S726" s="7">
        <v>0.19</v>
      </c>
      <c r="T726" s="7">
        <v>48097984.609999999</v>
      </c>
      <c r="U726" s="7">
        <v>40331423.229999997</v>
      </c>
      <c r="V726" s="7">
        <v>0.27</v>
      </c>
      <c r="W726" s="7">
        <v>0.17</v>
      </c>
      <c r="X726" s="7" t="s">
        <v>2478</v>
      </c>
      <c r="Y726" s="7">
        <v>7879128.6500000004</v>
      </c>
      <c r="Z726" s="7">
        <v>8412077.4499999993</v>
      </c>
      <c r="AA726" s="7">
        <v>90</v>
      </c>
      <c r="AB726" s="7">
        <v>72</v>
      </c>
      <c r="AC726" s="7"/>
      <c r="AD726" s="7" t="s">
        <v>354</v>
      </c>
      <c r="AE726" s="7">
        <v>0.33</v>
      </c>
      <c r="AF726" s="7" t="s">
        <v>4319</v>
      </c>
      <c r="AG726" s="7">
        <v>0.1</v>
      </c>
      <c r="AH726" s="7">
        <v>0.03</v>
      </c>
      <c r="AI726" s="7">
        <v>4</v>
      </c>
      <c r="AJ726" s="7">
        <v>2398</v>
      </c>
      <c r="AK726" s="7">
        <v>2883980.56</v>
      </c>
      <c r="AL726" s="7">
        <v>15948139.800000001</v>
      </c>
      <c r="AM726" s="7" t="s">
        <v>73</v>
      </c>
      <c r="AN726" s="7"/>
      <c r="AO726" s="7"/>
      <c r="AP726" s="7">
        <v>48</v>
      </c>
      <c r="AQ726" s="7" t="s">
        <v>392</v>
      </c>
      <c r="AR726" s="7" t="s">
        <v>186</v>
      </c>
      <c r="AS726" s="7" t="s">
        <v>324</v>
      </c>
    </row>
    <row r="727" spans="1:45" x14ac:dyDescent="0.3">
      <c r="A727" s="6" t="s">
        <v>2479</v>
      </c>
      <c r="B727" s="6" t="s">
        <v>5324</v>
      </c>
      <c r="C727" s="6" t="s">
        <v>252</v>
      </c>
      <c r="D727" s="6" t="s">
        <v>190</v>
      </c>
      <c r="E727" s="6" t="s">
        <v>4265</v>
      </c>
      <c r="F727" s="6" t="s">
        <v>350</v>
      </c>
      <c r="G727" s="6" t="s">
        <v>62</v>
      </c>
      <c r="H727" s="6" t="s">
        <v>263</v>
      </c>
      <c r="I727" s="6" t="s">
        <v>213</v>
      </c>
      <c r="J727" s="6" t="s">
        <v>130</v>
      </c>
      <c r="K727" s="6" t="s">
        <v>199</v>
      </c>
      <c r="L727" s="6" t="s">
        <v>2480</v>
      </c>
      <c r="M727" s="6" t="s">
        <v>4599</v>
      </c>
      <c r="N727" s="6" t="s">
        <v>5325</v>
      </c>
      <c r="O727" s="6" t="s">
        <v>4141</v>
      </c>
      <c r="P727" s="6">
        <v>16</v>
      </c>
      <c r="Q727" s="6">
        <v>23597746</v>
      </c>
      <c r="R727" s="6">
        <v>0.34</v>
      </c>
      <c r="S727" s="6">
        <v>7.0000000000000007E-2</v>
      </c>
      <c r="T727" s="6">
        <v>16664728.23</v>
      </c>
      <c r="U727" s="6">
        <v>13667151.720000001</v>
      </c>
      <c r="V727" s="6">
        <v>0.26</v>
      </c>
      <c r="W727" s="6">
        <v>0.09</v>
      </c>
      <c r="X727" s="6" t="s">
        <v>2481</v>
      </c>
      <c r="Y727" s="6">
        <v>11808531.689999999</v>
      </c>
      <c r="Z727" s="6">
        <v>12682469.880000001</v>
      </c>
      <c r="AA727" s="6">
        <v>45</v>
      </c>
      <c r="AB727" s="6">
        <v>73</v>
      </c>
      <c r="AC727" s="6" t="s">
        <v>347</v>
      </c>
      <c r="AD727" s="6" t="s">
        <v>381</v>
      </c>
      <c r="AE727" s="6">
        <v>0.53</v>
      </c>
      <c r="AF727" s="6" t="s">
        <v>4319</v>
      </c>
      <c r="AG727" s="6">
        <v>0.05</v>
      </c>
      <c r="AH727" s="6">
        <v>0.01</v>
      </c>
      <c r="AI727" s="6">
        <v>11</v>
      </c>
      <c r="AJ727" s="6">
        <v>178</v>
      </c>
      <c r="AK727" s="6">
        <v>1135407.6200000001</v>
      </c>
      <c r="AL727" s="6">
        <v>7217474.5800000001</v>
      </c>
      <c r="AM727" s="6"/>
      <c r="AN727" s="6" t="s">
        <v>386</v>
      </c>
      <c r="AO727" s="6">
        <v>77</v>
      </c>
      <c r="AP727" s="6">
        <v>24</v>
      </c>
      <c r="AQ727" s="6" t="s">
        <v>392</v>
      </c>
      <c r="AR727" s="6" t="s">
        <v>224</v>
      </c>
      <c r="AS727" s="6" t="s">
        <v>377</v>
      </c>
    </row>
    <row r="728" spans="1:45" x14ac:dyDescent="0.3">
      <c r="A728" s="7" t="s">
        <v>2482</v>
      </c>
      <c r="B728" s="7" t="s">
        <v>5297</v>
      </c>
      <c r="C728" s="7" t="s">
        <v>275</v>
      </c>
      <c r="D728" s="7" t="s">
        <v>265</v>
      </c>
      <c r="E728" s="7" t="s">
        <v>4325</v>
      </c>
      <c r="F728" s="7" t="s">
        <v>339</v>
      </c>
      <c r="G728" s="7" t="s">
        <v>46</v>
      </c>
      <c r="H728" s="7" t="s">
        <v>212</v>
      </c>
      <c r="I728" s="7" t="s">
        <v>198</v>
      </c>
      <c r="J728" s="7" t="s">
        <v>115</v>
      </c>
      <c r="K728" s="7" t="s">
        <v>199</v>
      </c>
      <c r="L728" s="7" t="s">
        <v>2483</v>
      </c>
      <c r="M728" s="7" t="s">
        <v>4047</v>
      </c>
      <c r="N728" s="7" t="s">
        <v>3450</v>
      </c>
      <c r="O728" s="7" t="s">
        <v>4274</v>
      </c>
      <c r="P728" s="7">
        <v>41</v>
      </c>
      <c r="Q728" s="7">
        <v>44492318</v>
      </c>
      <c r="R728" s="7">
        <v>0.18</v>
      </c>
      <c r="S728" s="7">
        <v>0.03</v>
      </c>
      <c r="T728" s="7">
        <v>37578211.780000001</v>
      </c>
      <c r="U728" s="7">
        <v>25425429.420000002</v>
      </c>
      <c r="V728" s="7">
        <v>0.22</v>
      </c>
      <c r="W728" s="7">
        <v>0.14000000000000001</v>
      </c>
      <c r="X728" s="7" t="s">
        <v>2484</v>
      </c>
      <c r="Y728" s="7">
        <v>10265971.560000001</v>
      </c>
      <c r="Z728" s="7">
        <v>7151571.6600000001</v>
      </c>
      <c r="AA728" s="7">
        <v>120</v>
      </c>
      <c r="AB728" s="7">
        <v>130</v>
      </c>
      <c r="AC728" s="7" t="s">
        <v>342</v>
      </c>
      <c r="AD728" s="7" t="s">
        <v>406</v>
      </c>
      <c r="AE728" s="7">
        <v>0.6</v>
      </c>
      <c r="AF728" s="7" t="s">
        <v>4294</v>
      </c>
      <c r="AG728" s="7">
        <v>0.1</v>
      </c>
      <c r="AH728" s="7">
        <v>7.0000000000000007E-2</v>
      </c>
      <c r="AI728" s="7">
        <v>14</v>
      </c>
      <c r="AJ728" s="7">
        <v>2703</v>
      </c>
      <c r="AK728" s="7">
        <v>9139786.1799999997</v>
      </c>
      <c r="AL728" s="7">
        <v>12610004.07</v>
      </c>
      <c r="AM728" s="7" t="s">
        <v>73</v>
      </c>
      <c r="AN728" s="7"/>
      <c r="AO728" s="7">
        <v>82</v>
      </c>
      <c r="AP728" s="7">
        <v>24</v>
      </c>
      <c r="AQ728" s="7" t="s">
        <v>4275</v>
      </c>
      <c r="AR728" s="7" t="s">
        <v>186</v>
      </c>
      <c r="AS728" s="7" t="s">
        <v>361</v>
      </c>
    </row>
    <row r="729" spans="1:45" x14ac:dyDescent="0.3">
      <c r="A729" s="6" t="s">
        <v>2485</v>
      </c>
      <c r="B729" s="6" t="s">
        <v>4142</v>
      </c>
      <c r="C729" s="6" t="s">
        <v>272</v>
      </c>
      <c r="D729" s="6" t="s">
        <v>215</v>
      </c>
      <c r="E729" s="6" t="s">
        <v>52</v>
      </c>
      <c r="F729" s="6" t="s">
        <v>75</v>
      </c>
      <c r="G729" s="6" t="s">
        <v>70</v>
      </c>
      <c r="H729" s="6" t="s">
        <v>4271</v>
      </c>
      <c r="I729" s="6" t="s">
        <v>198</v>
      </c>
      <c r="J729" s="7" t="s">
        <v>133</v>
      </c>
      <c r="K729" s="6" t="s">
        <v>333</v>
      </c>
      <c r="L729" s="6" t="s">
        <v>2486</v>
      </c>
      <c r="M729" s="6" t="s">
        <v>5326</v>
      </c>
      <c r="N729" s="6" t="s">
        <v>4513</v>
      </c>
      <c r="O729" s="6" t="s">
        <v>4274</v>
      </c>
      <c r="P729" s="6">
        <v>44</v>
      </c>
      <c r="Q729" s="6">
        <v>45757715</v>
      </c>
      <c r="R729" s="6">
        <v>0.28000000000000003</v>
      </c>
      <c r="S729" s="6">
        <v>0.09</v>
      </c>
      <c r="T729" s="6">
        <v>35910654.729999997</v>
      </c>
      <c r="U729" s="6">
        <v>31681606.07</v>
      </c>
      <c r="V729" s="6">
        <v>0.33</v>
      </c>
      <c r="W729" s="6">
        <v>0.08</v>
      </c>
      <c r="X729" s="6" t="s">
        <v>2487</v>
      </c>
      <c r="Y729" s="6">
        <v>8649127.2400000002</v>
      </c>
      <c r="Z729" s="6">
        <v>6102421.29</v>
      </c>
      <c r="AA729" s="6">
        <v>60</v>
      </c>
      <c r="AB729" s="6">
        <v>116</v>
      </c>
      <c r="AC729" s="6" t="s">
        <v>347</v>
      </c>
      <c r="AD729" s="6" t="s">
        <v>226</v>
      </c>
      <c r="AE729" s="6">
        <v>0.96</v>
      </c>
      <c r="AF729" s="6" t="s">
        <v>152</v>
      </c>
      <c r="AG729" s="6">
        <v>0.15</v>
      </c>
      <c r="AH729" s="6">
        <v>0.02</v>
      </c>
      <c r="AI729" s="6">
        <v>5</v>
      </c>
      <c r="AJ729" s="6">
        <v>786</v>
      </c>
      <c r="AK729" s="6">
        <v>3852343.19</v>
      </c>
      <c r="AL729" s="6">
        <v>5637943.0300000003</v>
      </c>
      <c r="AM729" s="6" t="s">
        <v>73</v>
      </c>
      <c r="AN729" s="6" t="s">
        <v>386</v>
      </c>
      <c r="AO729" s="6">
        <v>66.5</v>
      </c>
      <c r="AP729" s="6">
        <v>12</v>
      </c>
      <c r="AQ729" s="6" t="s">
        <v>387</v>
      </c>
      <c r="AR729" s="6" t="s">
        <v>206</v>
      </c>
      <c r="AS729" s="6" t="s">
        <v>361</v>
      </c>
    </row>
    <row r="730" spans="1:45" x14ac:dyDescent="0.3">
      <c r="A730" s="7" t="s">
        <v>2488</v>
      </c>
      <c r="B730" s="7" t="s">
        <v>4635</v>
      </c>
      <c r="C730" s="7" t="s">
        <v>231</v>
      </c>
      <c r="D730" s="7" t="s">
        <v>215</v>
      </c>
      <c r="E730" s="7" t="s">
        <v>4265</v>
      </c>
      <c r="F730" s="7" t="s">
        <v>228</v>
      </c>
      <c r="G730" s="7" t="s">
        <v>16</v>
      </c>
      <c r="H730" s="7" t="s">
        <v>212</v>
      </c>
      <c r="I730" s="7" t="s">
        <v>4372</v>
      </c>
      <c r="J730" s="6" t="s">
        <v>130</v>
      </c>
      <c r="K730" s="7" t="s">
        <v>333</v>
      </c>
      <c r="L730" s="7" t="s">
        <v>2489</v>
      </c>
      <c r="M730" s="7" t="s">
        <v>4061</v>
      </c>
      <c r="N730" s="7" t="s">
        <v>2490</v>
      </c>
      <c r="O730" s="7" t="s">
        <v>3476</v>
      </c>
      <c r="P730" s="7">
        <v>35</v>
      </c>
      <c r="Q730" s="7">
        <v>35217665</v>
      </c>
      <c r="R730" s="7">
        <v>0.24</v>
      </c>
      <c r="S730" s="7">
        <v>0.14000000000000001</v>
      </c>
      <c r="T730" s="7">
        <v>30512584.960000001</v>
      </c>
      <c r="U730" s="7">
        <v>22662268.920000002</v>
      </c>
      <c r="V730" s="7">
        <v>0.08</v>
      </c>
      <c r="W730" s="7">
        <v>0.18</v>
      </c>
      <c r="X730" s="7" t="s">
        <v>2491</v>
      </c>
      <c r="Y730" s="7">
        <v>24294259.390000001</v>
      </c>
      <c r="Z730" s="7">
        <v>8384456.6500000004</v>
      </c>
      <c r="AA730" s="7">
        <v>30</v>
      </c>
      <c r="AB730" s="7">
        <v>90</v>
      </c>
      <c r="AC730" s="7" t="s">
        <v>353</v>
      </c>
      <c r="AD730" s="7" t="s">
        <v>354</v>
      </c>
      <c r="AE730" s="7">
        <v>0.16</v>
      </c>
      <c r="AF730" s="7" t="s">
        <v>4303</v>
      </c>
      <c r="AG730" s="7">
        <v>0.05</v>
      </c>
      <c r="AH730" s="7">
        <v>0.09</v>
      </c>
      <c r="AI730" s="7">
        <v>7</v>
      </c>
      <c r="AJ730" s="7">
        <v>225</v>
      </c>
      <c r="AK730" s="7">
        <v>3740696.03</v>
      </c>
      <c r="AL730" s="7">
        <v>4235460.9400000004</v>
      </c>
      <c r="AM730" s="7" t="s">
        <v>391</v>
      </c>
      <c r="AN730" s="7" t="s">
        <v>322</v>
      </c>
      <c r="AO730" s="7">
        <v>88</v>
      </c>
      <c r="AP730" s="7">
        <v>36</v>
      </c>
      <c r="AQ730" s="7" t="s">
        <v>323</v>
      </c>
      <c r="AR730" s="7" t="s">
        <v>186</v>
      </c>
      <c r="AS730" s="7" t="s">
        <v>324</v>
      </c>
    </row>
    <row r="731" spans="1:45" x14ac:dyDescent="0.3">
      <c r="A731" s="6" t="s">
        <v>2492</v>
      </c>
      <c r="B731" s="6" t="s">
        <v>4551</v>
      </c>
      <c r="C731" s="6" t="s">
        <v>267</v>
      </c>
      <c r="D731" s="6" t="s">
        <v>248</v>
      </c>
      <c r="E731" s="6"/>
      <c r="F731" s="6" t="s">
        <v>75</v>
      </c>
      <c r="G731" s="6" t="s">
        <v>66</v>
      </c>
      <c r="H731" s="6" t="s">
        <v>263</v>
      </c>
      <c r="I731" s="6"/>
      <c r="J731" s="6" t="s">
        <v>99</v>
      </c>
      <c r="K731" s="6" t="s">
        <v>204</v>
      </c>
      <c r="L731" s="6" t="s">
        <v>2493</v>
      </c>
      <c r="M731" s="6" t="s">
        <v>4143</v>
      </c>
      <c r="N731" s="6" t="s">
        <v>5327</v>
      </c>
      <c r="O731" s="6" t="s">
        <v>3716</v>
      </c>
      <c r="P731" s="6">
        <v>4</v>
      </c>
      <c r="Q731" s="6">
        <v>45735523</v>
      </c>
      <c r="R731" s="6">
        <v>0.21</v>
      </c>
      <c r="S731" s="6">
        <v>0.19</v>
      </c>
      <c r="T731" s="6">
        <v>42995965.170000002</v>
      </c>
      <c r="U731" s="6">
        <v>33266649.879999999</v>
      </c>
      <c r="V731" s="6">
        <v>0.34</v>
      </c>
      <c r="W731" s="6">
        <v>0.11</v>
      </c>
      <c r="X731" s="6" t="s">
        <v>2494</v>
      </c>
      <c r="Y731" s="6">
        <v>30029973.809999999</v>
      </c>
      <c r="Z731" s="6">
        <v>18242947.399999999</v>
      </c>
      <c r="AA731" s="6">
        <v>60</v>
      </c>
      <c r="AB731" s="6">
        <v>172</v>
      </c>
      <c r="AC731" s="6" t="s">
        <v>347</v>
      </c>
      <c r="AD731" s="6" t="s">
        <v>406</v>
      </c>
      <c r="AE731" s="6">
        <v>0.24</v>
      </c>
      <c r="AF731" s="6" t="s">
        <v>4276</v>
      </c>
      <c r="AG731" s="6">
        <v>0.1</v>
      </c>
      <c r="AH731" s="6">
        <v>0.01</v>
      </c>
      <c r="AI731" s="6">
        <v>4</v>
      </c>
      <c r="AJ731" s="6">
        <v>3093</v>
      </c>
      <c r="AK731" s="6">
        <v>10438768.17</v>
      </c>
      <c r="AL731" s="6">
        <v>5238494.46</v>
      </c>
      <c r="AM731" s="6" t="s">
        <v>385</v>
      </c>
      <c r="AN731" s="6" t="s">
        <v>330</v>
      </c>
      <c r="AO731" s="6">
        <v>53.9</v>
      </c>
      <c r="AP731" s="6">
        <v>36</v>
      </c>
      <c r="AQ731" s="6" t="s">
        <v>392</v>
      </c>
      <c r="AR731" s="6" t="s">
        <v>229</v>
      </c>
      <c r="AS731" s="6" t="s">
        <v>377</v>
      </c>
    </row>
    <row r="732" spans="1:45" x14ac:dyDescent="0.3">
      <c r="A732" s="7" t="s">
        <v>2495</v>
      </c>
      <c r="B732" s="7" t="s">
        <v>5014</v>
      </c>
      <c r="C732" s="7" t="s">
        <v>286</v>
      </c>
      <c r="D732" s="7" t="s">
        <v>265</v>
      </c>
      <c r="E732" s="7" t="s">
        <v>113</v>
      </c>
      <c r="F732" s="7" t="s">
        <v>181</v>
      </c>
      <c r="G732" s="7" t="s">
        <v>23</v>
      </c>
      <c r="H732" s="7" t="s">
        <v>4275</v>
      </c>
      <c r="I732" s="7" t="s">
        <v>198</v>
      </c>
      <c r="J732" s="7" t="s">
        <v>111</v>
      </c>
      <c r="K732" s="7" t="s">
        <v>326</v>
      </c>
      <c r="L732" s="7" t="s">
        <v>2496</v>
      </c>
      <c r="M732" s="7" t="s">
        <v>3522</v>
      </c>
      <c r="N732" s="7" t="s">
        <v>5328</v>
      </c>
      <c r="O732" s="7" t="s">
        <v>4144</v>
      </c>
      <c r="P732" s="7">
        <v>24</v>
      </c>
      <c r="Q732" s="7">
        <v>46799427</v>
      </c>
      <c r="R732" s="7">
        <v>0.11</v>
      </c>
      <c r="S732" s="7">
        <v>0.04</v>
      </c>
      <c r="T732" s="7">
        <v>43317549.630000003</v>
      </c>
      <c r="U732" s="7">
        <v>36873446.560000002</v>
      </c>
      <c r="V732" s="7">
        <v>0.34</v>
      </c>
      <c r="W732" s="7">
        <v>0.17</v>
      </c>
      <c r="X732" s="7" t="s">
        <v>2497</v>
      </c>
      <c r="Y732" s="7">
        <v>33247678.469999999</v>
      </c>
      <c r="Z732" s="7">
        <v>32476130.77</v>
      </c>
      <c r="AA732" s="7">
        <v>90</v>
      </c>
      <c r="AB732" s="7">
        <v>93</v>
      </c>
      <c r="AC732" s="7" t="s">
        <v>376</v>
      </c>
      <c r="AD732" s="7" t="s">
        <v>354</v>
      </c>
      <c r="AE732" s="7">
        <v>0.75</v>
      </c>
      <c r="AF732" s="7" t="s">
        <v>4276</v>
      </c>
      <c r="AG732" s="7">
        <v>0.05</v>
      </c>
      <c r="AH732" s="7">
        <v>0.08</v>
      </c>
      <c r="AI732" s="7">
        <v>15</v>
      </c>
      <c r="AJ732" s="7">
        <v>4030</v>
      </c>
      <c r="AK732" s="7">
        <v>1566770.89</v>
      </c>
      <c r="AL732" s="7">
        <v>11572039.92</v>
      </c>
      <c r="AM732" s="7" t="s">
        <v>73</v>
      </c>
      <c r="AN732" s="7" t="s">
        <v>386</v>
      </c>
      <c r="AO732" s="7">
        <v>93.8</v>
      </c>
      <c r="AP732" s="7">
        <v>12</v>
      </c>
      <c r="AQ732" s="7" t="s">
        <v>323</v>
      </c>
      <c r="AR732" s="7" t="s">
        <v>192</v>
      </c>
      <c r="AS732" s="7" t="s">
        <v>361</v>
      </c>
    </row>
    <row r="733" spans="1:45" x14ac:dyDescent="0.3">
      <c r="A733" s="6" t="s">
        <v>2498</v>
      </c>
      <c r="B733" s="6" t="s">
        <v>470</v>
      </c>
      <c r="C733" s="6" t="s">
        <v>214</v>
      </c>
      <c r="D733" s="6" t="s">
        <v>220</v>
      </c>
      <c r="E733" s="6" t="s">
        <v>113</v>
      </c>
      <c r="F733" s="6" t="s">
        <v>367</v>
      </c>
      <c r="G733" s="6" t="s">
        <v>62</v>
      </c>
      <c r="H733" s="6" t="s">
        <v>4326</v>
      </c>
      <c r="I733" s="6"/>
      <c r="J733" s="6" t="s">
        <v>127</v>
      </c>
      <c r="K733" s="6" t="s">
        <v>326</v>
      </c>
      <c r="L733" s="6" t="s">
        <v>2499</v>
      </c>
      <c r="M733" s="6" t="s">
        <v>4489</v>
      </c>
      <c r="N733" s="6"/>
      <c r="O733" s="6" t="s">
        <v>4118</v>
      </c>
      <c r="P733" s="6">
        <v>58</v>
      </c>
      <c r="Q733" s="6">
        <v>29179668</v>
      </c>
      <c r="R733" s="6">
        <v>0.15</v>
      </c>
      <c r="S733" s="6">
        <v>0.05</v>
      </c>
      <c r="T733" s="6">
        <v>26042853.690000001</v>
      </c>
      <c r="U733" s="6">
        <v>17336633.379999999</v>
      </c>
      <c r="V733" s="6">
        <v>0.31</v>
      </c>
      <c r="W733" s="6">
        <v>0.13</v>
      </c>
      <c r="X733" s="6" t="s">
        <v>2500</v>
      </c>
      <c r="Y733" s="6">
        <v>2510393.92</v>
      </c>
      <c r="Z733" s="6">
        <v>1623652.8</v>
      </c>
      <c r="AA733" s="6">
        <v>90</v>
      </c>
      <c r="AB733" s="6">
        <v>15</v>
      </c>
      <c r="AC733" s="6" t="s">
        <v>376</v>
      </c>
      <c r="AD733" s="6" t="s">
        <v>336</v>
      </c>
      <c r="AE733" s="6">
        <v>0.36</v>
      </c>
      <c r="AF733" s="6" t="s">
        <v>4361</v>
      </c>
      <c r="AG733" s="6">
        <v>0.05</v>
      </c>
      <c r="AH733" s="6">
        <v>0.03</v>
      </c>
      <c r="AI733" s="6">
        <v>3</v>
      </c>
      <c r="AJ733" s="6">
        <v>1264</v>
      </c>
      <c r="AK733" s="6">
        <v>1819435.3</v>
      </c>
      <c r="AL733" s="6">
        <v>6805183.96</v>
      </c>
      <c r="AM733" s="6" t="s">
        <v>73</v>
      </c>
      <c r="AN733" s="6" t="s">
        <v>386</v>
      </c>
      <c r="AO733" s="6">
        <v>72.599999999999994</v>
      </c>
      <c r="AP733" s="6">
        <v>48</v>
      </c>
      <c r="AQ733" s="6" t="s">
        <v>387</v>
      </c>
      <c r="AR733" s="6" t="s">
        <v>224</v>
      </c>
      <c r="AS733" s="6" t="s">
        <v>361</v>
      </c>
    </row>
    <row r="734" spans="1:45" x14ac:dyDescent="0.3">
      <c r="A734" s="7" t="s">
        <v>2501</v>
      </c>
      <c r="B734" s="7" t="s">
        <v>3666</v>
      </c>
      <c r="C734" s="7" t="s">
        <v>284</v>
      </c>
      <c r="D734" s="7" t="s">
        <v>242</v>
      </c>
      <c r="E734" s="7"/>
      <c r="F734" s="7" t="s">
        <v>75</v>
      </c>
      <c r="G734" s="7" t="s">
        <v>33</v>
      </c>
      <c r="H734" s="7" t="s">
        <v>4280</v>
      </c>
      <c r="I734" s="7" t="s">
        <v>246</v>
      </c>
      <c r="J734" s="7" t="s">
        <v>99</v>
      </c>
      <c r="K734" s="7" t="s">
        <v>204</v>
      </c>
      <c r="L734" s="7" t="s">
        <v>2502</v>
      </c>
      <c r="M734" s="7" t="s">
        <v>4098</v>
      </c>
      <c r="N734" s="7" t="s">
        <v>3473</v>
      </c>
      <c r="O734" s="7" t="s">
        <v>3554</v>
      </c>
      <c r="P734" s="7">
        <v>23</v>
      </c>
      <c r="Q734" s="7">
        <v>2599457</v>
      </c>
      <c r="R734" s="7">
        <v>0.2</v>
      </c>
      <c r="S734" s="7">
        <v>0.06</v>
      </c>
      <c r="T734" s="7">
        <v>2204339.54</v>
      </c>
      <c r="U734" s="7">
        <v>1506812.63</v>
      </c>
      <c r="V734" s="7">
        <v>0.28000000000000003</v>
      </c>
      <c r="W734" s="7">
        <v>0.17</v>
      </c>
      <c r="X734" s="7" t="s">
        <v>2503</v>
      </c>
      <c r="Y734" s="7">
        <v>1795378.32</v>
      </c>
      <c r="Z734" s="7">
        <v>908236.61</v>
      </c>
      <c r="AA734" s="7">
        <v>60</v>
      </c>
      <c r="AB734" s="7">
        <v>152</v>
      </c>
      <c r="AC734" s="7" t="s">
        <v>347</v>
      </c>
      <c r="AD734" s="7" t="s">
        <v>226</v>
      </c>
      <c r="AE734" s="7">
        <v>0.98</v>
      </c>
      <c r="AF734" s="7" t="s">
        <v>159</v>
      </c>
      <c r="AG734" s="7">
        <v>0.05</v>
      </c>
      <c r="AH734" s="7">
        <v>0.02</v>
      </c>
      <c r="AI734" s="7">
        <v>6</v>
      </c>
      <c r="AJ734" s="7">
        <v>4422</v>
      </c>
      <c r="AK734" s="7">
        <v>157001.12</v>
      </c>
      <c r="AL734" s="7">
        <v>951991.21</v>
      </c>
      <c r="AM734" s="7" t="s">
        <v>343</v>
      </c>
      <c r="AN734" s="7" t="s">
        <v>356</v>
      </c>
      <c r="AO734" s="7">
        <v>95.3</v>
      </c>
      <c r="AP734" s="7" t="s">
        <v>4275</v>
      </c>
      <c r="AQ734" s="7"/>
      <c r="AR734" s="7" t="s">
        <v>206</v>
      </c>
      <c r="AS734" s="7" t="s">
        <v>357</v>
      </c>
    </row>
    <row r="735" spans="1:45" x14ac:dyDescent="0.3">
      <c r="A735" s="6" t="s">
        <v>2504</v>
      </c>
      <c r="B735" s="6" t="s">
        <v>4145</v>
      </c>
      <c r="C735" s="6" t="s">
        <v>280</v>
      </c>
      <c r="D735" s="6" t="s">
        <v>238</v>
      </c>
      <c r="E735" s="6" t="s">
        <v>4325</v>
      </c>
      <c r="F735" s="6" t="s">
        <v>339</v>
      </c>
      <c r="G735" s="6" t="s">
        <v>73</v>
      </c>
      <c r="H735" s="6" t="s">
        <v>216</v>
      </c>
      <c r="I735" s="6" t="s">
        <v>4307</v>
      </c>
      <c r="J735" s="6" t="s">
        <v>115</v>
      </c>
      <c r="K735" s="6" t="s">
        <v>184</v>
      </c>
      <c r="L735" s="6" t="s">
        <v>2505</v>
      </c>
      <c r="M735" s="6" t="s">
        <v>4146</v>
      </c>
      <c r="N735" s="6" t="s">
        <v>4037</v>
      </c>
      <c r="O735" s="6" t="s">
        <v>3343</v>
      </c>
      <c r="P735" s="6">
        <v>56</v>
      </c>
      <c r="Q735" s="6">
        <v>1772571</v>
      </c>
      <c r="R735" s="6">
        <v>0.02</v>
      </c>
      <c r="S735" s="6">
        <v>0.18</v>
      </c>
      <c r="T735" s="6">
        <v>2049801.1</v>
      </c>
      <c r="U735" s="6">
        <v>1758812.41</v>
      </c>
      <c r="V735" s="6">
        <v>0.27</v>
      </c>
      <c r="W735" s="6">
        <v>0.18</v>
      </c>
      <c r="X735" s="6" t="s">
        <v>2506</v>
      </c>
      <c r="Y735" s="6">
        <v>1137680.96</v>
      </c>
      <c r="Z735" s="6">
        <v>617864.35</v>
      </c>
      <c r="AA735" s="6">
        <v>60</v>
      </c>
      <c r="AB735" s="6">
        <v>73</v>
      </c>
      <c r="AC735" s="6" t="s">
        <v>353</v>
      </c>
      <c r="AD735" s="6" t="s">
        <v>381</v>
      </c>
      <c r="AE735" s="6">
        <v>0.61</v>
      </c>
      <c r="AF735" s="6" t="s">
        <v>155</v>
      </c>
      <c r="AG735" s="6">
        <v>0.05</v>
      </c>
      <c r="AH735" s="6">
        <v>0.08</v>
      </c>
      <c r="AI735" s="6">
        <v>2</v>
      </c>
      <c r="AJ735" s="6">
        <v>2289</v>
      </c>
      <c r="AK735" s="6">
        <v>41919.43</v>
      </c>
      <c r="AL735" s="6">
        <v>589350.37</v>
      </c>
      <c r="AM735" s="6" t="s">
        <v>385</v>
      </c>
      <c r="AN735" s="6" t="s">
        <v>330</v>
      </c>
      <c r="AO735" s="6"/>
      <c r="AP735" s="6">
        <v>12</v>
      </c>
      <c r="AQ735" s="6" t="s">
        <v>4275</v>
      </c>
      <c r="AR735" s="6" t="s">
        <v>192</v>
      </c>
      <c r="AS735" s="6" t="s">
        <v>357</v>
      </c>
    </row>
    <row r="736" spans="1:45" x14ac:dyDescent="0.3">
      <c r="A736" s="7" t="s">
        <v>2507</v>
      </c>
      <c r="B736" s="7" t="s">
        <v>3902</v>
      </c>
      <c r="C736" s="7" t="s">
        <v>272</v>
      </c>
      <c r="D736" s="7" t="s">
        <v>262</v>
      </c>
      <c r="E736" s="7" t="s">
        <v>4270</v>
      </c>
      <c r="F736" s="7" t="s">
        <v>367</v>
      </c>
      <c r="G736" s="7" t="s">
        <v>23</v>
      </c>
      <c r="H736" s="7" t="s">
        <v>197</v>
      </c>
      <c r="I736" s="7" t="s">
        <v>203</v>
      </c>
      <c r="J736" s="7" t="s">
        <v>111</v>
      </c>
      <c r="K736" s="7" t="s">
        <v>333</v>
      </c>
      <c r="L736" s="7" t="s">
        <v>2508</v>
      </c>
      <c r="M736" s="7" t="s">
        <v>4898</v>
      </c>
      <c r="N736" s="7" t="s">
        <v>4921</v>
      </c>
      <c r="O736" s="7" t="s">
        <v>4547</v>
      </c>
      <c r="P736" s="7">
        <v>26</v>
      </c>
      <c r="Q736" s="7">
        <v>42013933</v>
      </c>
      <c r="R736" s="7">
        <v>0.23</v>
      </c>
      <c r="S736" s="7">
        <v>7.0000000000000007E-2</v>
      </c>
      <c r="T736" s="7">
        <v>34615279.399999999</v>
      </c>
      <c r="U736" s="7">
        <v>26715264.199999999</v>
      </c>
      <c r="V736" s="7">
        <v>0.1</v>
      </c>
      <c r="W736" s="7">
        <v>0.18</v>
      </c>
      <c r="X736" s="7" t="s">
        <v>2509</v>
      </c>
      <c r="Y736" s="7">
        <v>21860944.989999998</v>
      </c>
      <c r="Z736" s="7">
        <v>23609289.859999999</v>
      </c>
      <c r="AA736" s="7">
        <v>60</v>
      </c>
      <c r="AB736" s="7">
        <v>180</v>
      </c>
      <c r="AC736" s="7" t="s">
        <v>342</v>
      </c>
      <c r="AD736" s="7" t="s">
        <v>381</v>
      </c>
      <c r="AE736" s="7">
        <v>0.51</v>
      </c>
      <c r="AF736" s="7"/>
      <c r="AG736" s="7">
        <v>0.1</v>
      </c>
      <c r="AH736" s="7">
        <v>0.1</v>
      </c>
      <c r="AI736" s="7">
        <v>1</v>
      </c>
      <c r="AJ736" s="7">
        <v>3993</v>
      </c>
      <c r="AK736" s="7">
        <v>4461884.16</v>
      </c>
      <c r="AL736" s="7">
        <v>11454268.560000001</v>
      </c>
      <c r="AM736" s="7" t="s">
        <v>343</v>
      </c>
      <c r="AN736" s="7" t="s">
        <v>330</v>
      </c>
      <c r="AO736" s="7">
        <v>63.1</v>
      </c>
      <c r="AP736" s="7">
        <v>24</v>
      </c>
      <c r="AQ736" s="7" t="s">
        <v>4275</v>
      </c>
      <c r="AR736" s="7" t="s">
        <v>186</v>
      </c>
      <c r="AS736" s="7" t="s">
        <v>188</v>
      </c>
    </row>
    <row r="737" spans="1:45" x14ac:dyDescent="0.3">
      <c r="A737" s="6" t="s">
        <v>2510</v>
      </c>
      <c r="B737" s="6" t="s">
        <v>5329</v>
      </c>
      <c r="C737" s="6" t="s">
        <v>268</v>
      </c>
      <c r="D737" s="6" t="s">
        <v>250</v>
      </c>
      <c r="E737" s="6" t="s">
        <v>4376</v>
      </c>
      <c r="F737" s="6" t="s">
        <v>196</v>
      </c>
      <c r="G737" s="6" t="s">
        <v>38</v>
      </c>
      <c r="H737" s="6" t="s">
        <v>4275</v>
      </c>
      <c r="I737" s="6" t="s">
        <v>203</v>
      </c>
      <c r="J737" s="6" t="s">
        <v>136</v>
      </c>
      <c r="K737" s="6" t="s">
        <v>221</v>
      </c>
      <c r="L737" s="6" t="s">
        <v>2511</v>
      </c>
      <c r="M737" s="6" t="s">
        <v>4762</v>
      </c>
      <c r="N737" s="6"/>
      <c r="O737" s="6" t="s">
        <v>4067</v>
      </c>
      <c r="P737" s="6">
        <v>32</v>
      </c>
      <c r="Q737" s="6">
        <v>13521566</v>
      </c>
      <c r="R737" s="6">
        <v>0.25</v>
      </c>
      <c r="S737" s="6">
        <v>0.01</v>
      </c>
      <c r="T737" s="6">
        <v>10242586.24</v>
      </c>
      <c r="U737" s="6">
        <v>6658198.9500000002</v>
      </c>
      <c r="V737" s="6">
        <v>0.28999999999999998</v>
      </c>
      <c r="W737" s="6">
        <v>0.16</v>
      </c>
      <c r="X737" s="6"/>
      <c r="Y737" s="6">
        <v>7371219.1100000003</v>
      </c>
      <c r="Z737" s="6">
        <v>2750369.04</v>
      </c>
      <c r="AA737" s="6">
        <v>120</v>
      </c>
      <c r="AB737" s="6">
        <v>163</v>
      </c>
      <c r="AC737" s="6" t="s">
        <v>376</v>
      </c>
      <c r="AD737" s="6" t="s">
        <v>455</v>
      </c>
      <c r="AE737" s="6">
        <v>0.05</v>
      </c>
      <c r="AF737" s="6" t="s">
        <v>4361</v>
      </c>
      <c r="AG737" s="6">
        <v>0.05</v>
      </c>
      <c r="AH737" s="6">
        <v>0.04</v>
      </c>
      <c r="AI737" s="6">
        <v>10</v>
      </c>
      <c r="AJ737" s="6">
        <v>2872</v>
      </c>
      <c r="AK737" s="6">
        <v>1341648.44</v>
      </c>
      <c r="AL737" s="6">
        <v>2796025</v>
      </c>
      <c r="AM737" s="6" t="s">
        <v>385</v>
      </c>
      <c r="AN737" s="6" t="s">
        <v>322</v>
      </c>
      <c r="AO737" s="6">
        <v>62.6</v>
      </c>
      <c r="AP737" s="6">
        <v>24</v>
      </c>
      <c r="AQ737" s="6" t="s">
        <v>392</v>
      </c>
      <c r="AR737" s="6" t="s">
        <v>192</v>
      </c>
      <c r="AS737" s="6" t="s">
        <v>357</v>
      </c>
    </row>
    <row r="738" spans="1:45" x14ac:dyDescent="0.3">
      <c r="A738" s="7" t="s">
        <v>2512</v>
      </c>
      <c r="B738" s="7" t="s">
        <v>4147</v>
      </c>
      <c r="C738" s="7" t="s">
        <v>258</v>
      </c>
      <c r="D738" s="7" t="s">
        <v>253</v>
      </c>
      <c r="E738" s="7" t="s">
        <v>4325</v>
      </c>
      <c r="F738" s="7" t="s">
        <v>339</v>
      </c>
      <c r="G738" s="7" t="s">
        <v>66</v>
      </c>
      <c r="H738" s="7" t="s">
        <v>4266</v>
      </c>
      <c r="I738" s="7" t="s">
        <v>191</v>
      </c>
      <c r="J738" s="7" t="s">
        <v>115</v>
      </c>
      <c r="K738" s="7" t="s">
        <v>326</v>
      </c>
      <c r="L738" s="7" t="s">
        <v>2513</v>
      </c>
      <c r="M738" s="7" t="s">
        <v>5330</v>
      </c>
      <c r="N738" s="7" t="s">
        <v>4148</v>
      </c>
      <c r="O738" s="7" t="s">
        <v>4995</v>
      </c>
      <c r="P738" s="7">
        <v>26</v>
      </c>
      <c r="Q738" s="7">
        <v>47810894</v>
      </c>
      <c r="R738" s="7">
        <v>0.1</v>
      </c>
      <c r="S738" s="7">
        <v>0.12</v>
      </c>
      <c r="T738" s="7">
        <v>48193381.149999999</v>
      </c>
      <c r="U738" s="7">
        <v>30838639.530000001</v>
      </c>
      <c r="V738" s="7">
        <v>0.2</v>
      </c>
      <c r="W738" s="7">
        <v>0.16</v>
      </c>
      <c r="X738" s="7" t="s">
        <v>2514</v>
      </c>
      <c r="Y738" s="7">
        <v>34005369.450000003</v>
      </c>
      <c r="Z738" s="7">
        <v>29800438.32</v>
      </c>
      <c r="AA738" s="7">
        <v>30</v>
      </c>
      <c r="AB738" s="7">
        <v>79</v>
      </c>
      <c r="AC738" s="7" t="s">
        <v>353</v>
      </c>
      <c r="AD738" s="7" t="s">
        <v>226</v>
      </c>
      <c r="AE738" s="7">
        <v>0.79</v>
      </c>
      <c r="AF738" s="7" t="s">
        <v>4319</v>
      </c>
      <c r="AG738" s="7">
        <v>0.05</v>
      </c>
      <c r="AH738" s="7">
        <v>7.0000000000000007E-2</v>
      </c>
      <c r="AI738" s="7">
        <v>9</v>
      </c>
      <c r="AJ738" s="7"/>
      <c r="AK738" s="7">
        <v>3158221.38</v>
      </c>
      <c r="AL738" s="7">
        <v>22961759.030000001</v>
      </c>
      <c r="AM738" s="7"/>
      <c r="AN738" s="7" t="s">
        <v>356</v>
      </c>
      <c r="AO738" s="7">
        <v>98.6</v>
      </c>
      <c r="AP738" s="7">
        <v>24</v>
      </c>
      <c r="AQ738" s="7" t="s">
        <v>387</v>
      </c>
      <c r="AR738" s="7" t="s">
        <v>229</v>
      </c>
      <c r="AS738" s="7" t="s">
        <v>377</v>
      </c>
    </row>
    <row r="739" spans="1:45" x14ac:dyDescent="0.3">
      <c r="A739" s="6" t="s">
        <v>2515</v>
      </c>
      <c r="B739" s="6" t="s">
        <v>5331</v>
      </c>
      <c r="C739" s="6" t="s">
        <v>269</v>
      </c>
      <c r="D739" s="6" t="s">
        <v>394</v>
      </c>
      <c r="E739" s="6" t="s">
        <v>20</v>
      </c>
      <c r="F739" s="6" t="s">
        <v>196</v>
      </c>
      <c r="G739" s="6"/>
      <c r="H739" s="6" t="s">
        <v>4275</v>
      </c>
      <c r="I739" s="6" t="s">
        <v>4272</v>
      </c>
      <c r="J739" s="6" t="s">
        <v>136</v>
      </c>
      <c r="K739" s="6" t="s">
        <v>221</v>
      </c>
      <c r="L739" s="6" t="s">
        <v>2516</v>
      </c>
      <c r="M739" s="6" t="s">
        <v>3453</v>
      </c>
      <c r="N739" s="6" t="s">
        <v>2517</v>
      </c>
      <c r="O739" s="6" t="s">
        <v>5332</v>
      </c>
      <c r="P739" s="6">
        <v>34</v>
      </c>
      <c r="Q739" s="6">
        <v>36762257</v>
      </c>
      <c r="R739" s="6">
        <v>0.18</v>
      </c>
      <c r="S739" s="6">
        <v>0.12</v>
      </c>
      <c r="T739" s="6">
        <v>33762456.829999998</v>
      </c>
      <c r="U739" s="6">
        <v>24196754.25</v>
      </c>
      <c r="V739" s="6">
        <v>0.17</v>
      </c>
      <c r="W739" s="6">
        <v>7.0000000000000007E-2</v>
      </c>
      <c r="X739" s="6" t="s">
        <v>2518</v>
      </c>
      <c r="Y739" s="6">
        <v>7759030.9500000002</v>
      </c>
      <c r="Z739" s="6">
        <v>5354064.28</v>
      </c>
      <c r="AA739" s="6">
        <v>45</v>
      </c>
      <c r="AB739" s="6">
        <v>113</v>
      </c>
      <c r="AC739" s="6" t="s">
        <v>376</v>
      </c>
      <c r="AD739" s="6" t="s">
        <v>455</v>
      </c>
      <c r="AE739" s="6">
        <v>0.98</v>
      </c>
      <c r="AF739" s="6" t="s">
        <v>4276</v>
      </c>
      <c r="AG739" s="6">
        <v>0.15</v>
      </c>
      <c r="AH739" s="6">
        <v>0.06</v>
      </c>
      <c r="AI739" s="6">
        <v>0</v>
      </c>
      <c r="AJ739" s="6">
        <v>1693</v>
      </c>
      <c r="AK739" s="6">
        <v>6667086.2000000002</v>
      </c>
      <c r="AL739" s="6">
        <v>12513814.449999999</v>
      </c>
      <c r="AM739" s="6" t="s">
        <v>321</v>
      </c>
      <c r="AN739" s="6" t="s">
        <v>386</v>
      </c>
      <c r="AO739" s="6">
        <v>57.7</v>
      </c>
      <c r="AP739" s="6">
        <v>24</v>
      </c>
      <c r="AQ739" s="6" t="s">
        <v>323</v>
      </c>
      <c r="AR739" s="6" t="s">
        <v>229</v>
      </c>
      <c r="AS739" s="6" t="s">
        <v>357</v>
      </c>
    </row>
    <row r="740" spans="1:45" x14ac:dyDescent="0.3">
      <c r="A740" s="7" t="s">
        <v>2519</v>
      </c>
      <c r="B740" s="7" t="s">
        <v>5333</v>
      </c>
      <c r="C740" s="7" t="s">
        <v>208</v>
      </c>
      <c r="D740" s="7" t="s">
        <v>281</v>
      </c>
      <c r="E740" s="7" t="s">
        <v>41</v>
      </c>
      <c r="F740" s="7" t="s">
        <v>350</v>
      </c>
      <c r="G740" s="7" t="s">
        <v>50</v>
      </c>
      <c r="H740" s="7" t="s">
        <v>4326</v>
      </c>
      <c r="I740" s="7"/>
      <c r="J740" s="6" t="s">
        <v>130</v>
      </c>
      <c r="K740" s="7" t="s">
        <v>204</v>
      </c>
      <c r="L740" s="7" t="s">
        <v>2520</v>
      </c>
      <c r="M740" s="7" t="s">
        <v>5334</v>
      </c>
      <c r="N740" s="7" t="s">
        <v>3860</v>
      </c>
      <c r="O740" s="7" t="s">
        <v>3620</v>
      </c>
      <c r="P740" s="7">
        <v>43</v>
      </c>
      <c r="Q740" s="7">
        <v>37713915</v>
      </c>
      <c r="R740" s="7">
        <v>0.24</v>
      </c>
      <c r="S740" s="7">
        <v>0.19</v>
      </c>
      <c r="T740" s="7">
        <v>34108464.729999997</v>
      </c>
      <c r="U740" s="7"/>
      <c r="V740" s="7">
        <v>0.17</v>
      </c>
      <c r="W740" s="7">
        <v>0.19</v>
      </c>
      <c r="X740" s="7" t="s">
        <v>2521</v>
      </c>
      <c r="Y740" s="7">
        <v>2991651.69</v>
      </c>
      <c r="Z740" s="7">
        <v>2641969.35</v>
      </c>
      <c r="AA740" s="7">
        <v>120</v>
      </c>
      <c r="AB740" s="7">
        <v>152</v>
      </c>
      <c r="AC740" s="7" t="s">
        <v>376</v>
      </c>
      <c r="AD740" s="7" t="s">
        <v>226</v>
      </c>
      <c r="AE740" s="7" t="s">
        <v>4467</v>
      </c>
      <c r="AF740" s="7" t="s">
        <v>4319</v>
      </c>
      <c r="AG740" s="7">
        <v>0.05</v>
      </c>
      <c r="AH740" s="7">
        <v>0.06</v>
      </c>
      <c r="AI740" s="7">
        <v>8</v>
      </c>
      <c r="AJ740" s="7">
        <v>2468</v>
      </c>
      <c r="AK740" s="7"/>
      <c r="AL740" s="7">
        <v>5704453.5899999999</v>
      </c>
      <c r="AM740" s="7" t="s">
        <v>385</v>
      </c>
      <c r="AN740" s="7"/>
      <c r="AO740" s="7">
        <v>58.8</v>
      </c>
      <c r="AP740" s="7">
        <v>60</v>
      </c>
      <c r="AQ740" s="7"/>
      <c r="AR740" s="7" t="s">
        <v>206</v>
      </c>
      <c r="AS740" s="7" t="s">
        <v>324</v>
      </c>
    </row>
    <row r="741" spans="1:45" x14ac:dyDescent="0.3">
      <c r="A741" s="6" t="s">
        <v>2522</v>
      </c>
      <c r="B741" s="6" t="s">
        <v>5335</v>
      </c>
      <c r="C741" s="6" t="s">
        <v>237</v>
      </c>
      <c r="D741" s="6" t="s">
        <v>232</v>
      </c>
      <c r="E741" s="6" t="s">
        <v>4270</v>
      </c>
      <c r="F741" s="6" t="s">
        <v>181</v>
      </c>
      <c r="G741" s="6" t="s">
        <v>50</v>
      </c>
      <c r="H741" s="6" t="s">
        <v>4266</v>
      </c>
      <c r="I741" s="6" t="s">
        <v>198</v>
      </c>
      <c r="J741" s="6" t="s">
        <v>123</v>
      </c>
      <c r="K741" s="6" t="s">
        <v>221</v>
      </c>
      <c r="L741" s="6" t="s">
        <v>2523</v>
      </c>
      <c r="M741" s="6" t="s">
        <v>4149</v>
      </c>
      <c r="N741" s="6" t="s">
        <v>2490</v>
      </c>
      <c r="O741" s="6" t="s">
        <v>4316</v>
      </c>
      <c r="P741" s="6">
        <v>53</v>
      </c>
      <c r="Q741" s="6">
        <v>2283878</v>
      </c>
      <c r="R741" s="6">
        <v>0.19</v>
      </c>
      <c r="S741" s="6">
        <v>-0.03</v>
      </c>
      <c r="T741" s="6">
        <v>1794442.94</v>
      </c>
      <c r="U741" s="6">
        <v>1494291.91</v>
      </c>
      <c r="V741" s="6">
        <v>0.26</v>
      </c>
      <c r="W741" s="6">
        <v>0.15</v>
      </c>
      <c r="X741" s="6" t="s">
        <v>2524</v>
      </c>
      <c r="Y741" s="6">
        <v>1456170.96</v>
      </c>
      <c r="Z741" s="6">
        <v>973176.29</v>
      </c>
      <c r="AA741" s="6">
        <v>60</v>
      </c>
      <c r="AB741" s="6">
        <v>153</v>
      </c>
      <c r="AC741" s="6" t="s">
        <v>342</v>
      </c>
      <c r="AD741" s="6" t="s">
        <v>455</v>
      </c>
      <c r="AE741" s="6">
        <v>0.75</v>
      </c>
      <c r="AF741" s="6" t="s">
        <v>4319</v>
      </c>
      <c r="AG741" s="6">
        <v>0.05</v>
      </c>
      <c r="AH741" s="6">
        <v>7.0000000000000007E-2</v>
      </c>
      <c r="AI741" s="6">
        <v>0</v>
      </c>
      <c r="AJ741" s="6">
        <v>1981</v>
      </c>
      <c r="AK741" s="6"/>
      <c r="AL741" s="6">
        <v>516065.78</v>
      </c>
      <c r="AM741" s="6" t="s">
        <v>73</v>
      </c>
      <c r="AN741" s="6" t="s">
        <v>348</v>
      </c>
      <c r="AO741" s="6"/>
      <c r="AP741" s="6">
        <v>36</v>
      </c>
      <c r="AQ741" s="6" t="s">
        <v>392</v>
      </c>
      <c r="AR741" s="6" t="s">
        <v>206</v>
      </c>
      <c r="AS741" s="6"/>
    </row>
    <row r="742" spans="1:45" x14ac:dyDescent="0.3">
      <c r="A742" s="7" t="s">
        <v>2525</v>
      </c>
      <c r="B742" s="7" t="s">
        <v>2898</v>
      </c>
      <c r="C742" s="7" t="s">
        <v>201</v>
      </c>
      <c r="D742" s="7"/>
      <c r="E742" s="7" t="s">
        <v>4376</v>
      </c>
      <c r="F742" s="7" t="s">
        <v>196</v>
      </c>
      <c r="G742" s="7" t="s">
        <v>50</v>
      </c>
      <c r="H742" s="7" t="s">
        <v>197</v>
      </c>
      <c r="I742" s="7" t="s">
        <v>4307</v>
      </c>
      <c r="J742" s="7" t="s">
        <v>136</v>
      </c>
      <c r="K742" s="7" t="s">
        <v>184</v>
      </c>
      <c r="L742" s="7" t="s">
        <v>2526</v>
      </c>
      <c r="M742" s="7" t="s">
        <v>4150</v>
      </c>
      <c r="N742" s="7" t="s">
        <v>4029</v>
      </c>
      <c r="O742" s="7" t="s">
        <v>4151</v>
      </c>
      <c r="P742" s="7">
        <v>37</v>
      </c>
      <c r="Q742" s="7">
        <v>2411046</v>
      </c>
      <c r="R742" s="7">
        <v>0.03</v>
      </c>
      <c r="S742" s="7">
        <v>0.08</v>
      </c>
      <c r="T742" s="7">
        <v>2525811.79</v>
      </c>
      <c r="U742" s="7">
        <v>2130706.5299999998</v>
      </c>
      <c r="V742" s="7" t="s">
        <v>4374</v>
      </c>
      <c r="W742" s="7">
        <v>0.08</v>
      </c>
      <c r="X742" s="7"/>
      <c r="Y742" s="7">
        <v>1729783.42</v>
      </c>
      <c r="Z742" s="7">
        <v>905401.18</v>
      </c>
      <c r="AA742" s="7">
        <v>45</v>
      </c>
      <c r="AB742" s="7">
        <v>154</v>
      </c>
      <c r="AC742" s="7" t="s">
        <v>347</v>
      </c>
      <c r="AD742" s="7" t="s">
        <v>381</v>
      </c>
      <c r="AE742" s="7">
        <v>0.14000000000000001</v>
      </c>
      <c r="AF742" s="7"/>
      <c r="AG742" s="7">
        <v>0.15</v>
      </c>
      <c r="AH742" s="7">
        <v>0.09</v>
      </c>
      <c r="AI742" s="7">
        <v>3</v>
      </c>
      <c r="AJ742" s="7">
        <v>742</v>
      </c>
      <c r="AK742" s="7">
        <v>379575.37</v>
      </c>
      <c r="AL742" s="7"/>
      <c r="AM742" s="7" t="s">
        <v>343</v>
      </c>
      <c r="AN742" s="7"/>
      <c r="AO742" s="7">
        <v>69.099999999999994</v>
      </c>
      <c r="AP742" s="7">
        <v>12</v>
      </c>
      <c r="AQ742" s="7" t="s">
        <v>323</v>
      </c>
      <c r="AR742" s="7" t="s">
        <v>224</v>
      </c>
      <c r="AS742" s="7" t="s">
        <v>377</v>
      </c>
    </row>
    <row r="743" spans="1:45" x14ac:dyDescent="0.3">
      <c r="A743" s="6" t="s">
        <v>2527</v>
      </c>
      <c r="B743" s="6" t="s">
        <v>4070</v>
      </c>
      <c r="C743" s="6" t="s">
        <v>284</v>
      </c>
      <c r="D743" s="6" t="s">
        <v>238</v>
      </c>
      <c r="E743" s="6" t="s">
        <v>4325</v>
      </c>
      <c r="F743" s="6" t="s">
        <v>19</v>
      </c>
      <c r="G743" s="6"/>
      <c r="H743" s="6" t="s">
        <v>4271</v>
      </c>
      <c r="I743" s="6" t="s">
        <v>4372</v>
      </c>
      <c r="J743" s="6" t="s">
        <v>115</v>
      </c>
      <c r="K743" s="6" t="s">
        <v>184</v>
      </c>
      <c r="L743" s="6" t="s">
        <v>2528</v>
      </c>
      <c r="M743" s="6" t="s">
        <v>4369</v>
      </c>
      <c r="N743" s="6"/>
      <c r="O743" s="6" t="s">
        <v>5336</v>
      </c>
      <c r="P743" s="6">
        <v>47</v>
      </c>
      <c r="Q743" s="6">
        <v>21933478</v>
      </c>
      <c r="R743" s="6">
        <v>0.03</v>
      </c>
      <c r="S743" s="6">
        <v>0.05</v>
      </c>
      <c r="T743" s="6">
        <v>22339247.34</v>
      </c>
      <c r="U743" s="6">
        <v>19809937.91</v>
      </c>
      <c r="V743" s="6" t="s">
        <v>4374</v>
      </c>
      <c r="W743" s="6">
        <v>0.16</v>
      </c>
      <c r="X743" s="6"/>
      <c r="Y743" s="6">
        <v>13216973.92</v>
      </c>
      <c r="Z743" s="6">
        <v>5615639.1299999999</v>
      </c>
      <c r="AA743" s="6">
        <v>120</v>
      </c>
      <c r="AB743" s="6">
        <v>167</v>
      </c>
      <c r="AC743" s="6" t="s">
        <v>347</v>
      </c>
      <c r="AD743" s="6" t="s">
        <v>455</v>
      </c>
      <c r="AE743" s="6">
        <v>7.0000000000000007E-2</v>
      </c>
      <c r="AF743" s="6" t="s">
        <v>4319</v>
      </c>
      <c r="AG743" s="6">
        <v>0.05</v>
      </c>
      <c r="AH743" s="6">
        <v>7.0000000000000007E-2</v>
      </c>
      <c r="AI743" s="6">
        <v>1</v>
      </c>
      <c r="AJ743" s="6">
        <v>2978</v>
      </c>
      <c r="AK743" s="6"/>
      <c r="AL743" s="6">
        <v>8580567.2799999993</v>
      </c>
      <c r="AM743" s="6" t="s">
        <v>343</v>
      </c>
      <c r="AN743" s="6" t="s">
        <v>322</v>
      </c>
      <c r="AO743" s="6">
        <v>94.4</v>
      </c>
      <c r="AP743" s="6">
        <v>36</v>
      </c>
      <c r="AQ743" s="6" t="s">
        <v>4275</v>
      </c>
      <c r="AR743" s="6" t="s">
        <v>229</v>
      </c>
      <c r="AS743" s="6" t="s">
        <v>361</v>
      </c>
    </row>
    <row r="744" spans="1:45" x14ac:dyDescent="0.3">
      <c r="A744" s="7" t="s">
        <v>2529</v>
      </c>
      <c r="B744" s="7" t="s">
        <v>4882</v>
      </c>
      <c r="C744" s="7" t="s">
        <v>275</v>
      </c>
      <c r="D744" s="7" t="s">
        <v>238</v>
      </c>
      <c r="E744" s="7" t="s">
        <v>52</v>
      </c>
      <c r="F744" s="7" t="s">
        <v>75</v>
      </c>
      <c r="G744" s="7" t="s">
        <v>78</v>
      </c>
      <c r="H744" s="7" t="s">
        <v>212</v>
      </c>
      <c r="I744" s="7" t="s">
        <v>4307</v>
      </c>
      <c r="J744" s="7" t="s">
        <v>133</v>
      </c>
      <c r="K744" s="7" t="s">
        <v>221</v>
      </c>
      <c r="L744" s="7" t="s">
        <v>2530</v>
      </c>
      <c r="M744" s="7" t="s">
        <v>4550</v>
      </c>
      <c r="N744" s="7"/>
      <c r="O744" s="7" t="s">
        <v>4353</v>
      </c>
      <c r="P744" s="7">
        <v>15</v>
      </c>
      <c r="Q744" s="7">
        <v>2582064</v>
      </c>
      <c r="R744" s="7">
        <v>0.31</v>
      </c>
      <c r="S744" s="7">
        <v>0.04</v>
      </c>
      <c r="T744" s="7">
        <v>1852889.13</v>
      </c>
      <c r="U744" s="7">
        <v>1167975.6200000001</v>
      </c>
      <c r="V744" s="7">
        <v>0.23</v>
      </c>
      <c r="W744" s="7">
        <v>0.16</v>
      </c>
      <c r="X744" s="7" t="s">
        <v>2531</v>
      </c>
      <c r="Y744" s="7">
        <v>210164.87</v>
      </c>
      <c r="Z744" s="7">
        <v>185655.05</v>
      </c>
      <c r="AA744" s="7">
        <v>60</v>
      </c>
      <c r="AB744" s="7">
        <v>26</v>
      </c>
      <c r="AC744" s="7" t="s">
        <v>353</v>
      </c>
      <c r="AD744" s="7" t="s">
        <v>406</v>
      </c>
      <c r="AE744" s="7">
        <v>0.24</v>
      </c>
      <c r="AF744" s="7" t="s">
        <v>159</v>
      </c>
      <c r="AG744" s="7">
        <v>0.15</v>
      </c>
      <c r="AH744" s="7">
        <v>0.02</v>
      </c>
      <c r="AI744" s="7">
        <v>12</v>
      </c>
      <c r="AJ744" s="7">
        <v>2963</v>
      </c>
      <c r="AK744" s="7"/>
      <c r="AL744" s="7">
        <v>504374.67</v>
      </c>
      <c r="AM744" s="7" t="s">
        <v>385</v>
      </c>
      <c r="AN744" s="7" t="s">
        <v>321</v>
      </c>
      <c r="AO744" s="7">
        <v>64.900000000000006</v>
      </c>
      <c r="AP744" s="7">
        <v>12</v>
      </c>
      <c r="AQ744" s="7" t="s">
        <v>323</v>
      </c>
      <c r="AR744" s="7" t="s">
        <v>186</v>
      </c>
      <c r="AS744" s="7" t="s">
        <v>357</v>
      </c>
    </row>
    <row r="745" spans="1:45" x14ac:dyDescent="0.3">
      <c r="A745" s="6" t="s">
        <v>2532</v>
      </c>
      <c r="B745" s="6" t="s">
        <v>3703</v>
      </c>
      <c r="C745" s="6" t="s">
        <v>179</v>
      </c>
      <c r="D745" s="6" t="s">
        <v>250</v>
      </c>
      <c r="E745" s="6" t="s">
        <v>41</v>
      </c>
      <c r="F745" s="6" t="s">
        <v>350</v>
      </c>
      <c r="G745" s="6" t="s">
        <v>16</v>
      </c>
      <c r="H745" s="6" t="s">
        <v>263</v>
      </c>
      <c r="I745" s="6" t="s">
        <v>233</v>
      </c>
      <c r="J745" s="6" t="s">
        <v>130</v>
      </c>
      <c r="K745" s="6" t="s">
        <v>184</v>
      </c>
      <c r="L745" s="6" t="s">
        <v>2533</v>
      </c>
      <c r="M745" s="6" t="s">
        <v>5277</v>
      </c>
      <c r="N745" s="6"/>
      <c r="O745" s="6" t="s">
        <v>3357</v>
      </c>
      <c r="P745" s="6">
        <v>60</v>
      </c>
      <c r="Q745" s="6">
        <v>34483988</v>
      </c>
      <c r="R745" s="6">
        <v>0.25</v>
      </c>
      <c r="S745" s="6">
        <v>0.13</v>
      </c>
      <c r="T745" s="6">
        <v>29225179.829999998</v>
      </c>
      <c r="U745" s="6">
        <v>23093716.510000002</v>
      </c>
      <c r="V745" s="6">
        <v>0.15</v>
      </c>
      <c r="W745" s="6">
        <v>0.06</v>
      </c>
      <c r="X745" s="6" t="s">
        <v>2534</v>
      </c>
      <c r="Y745" s="6" t="s">
        <v>158</v>
      </c>
      <c r="Z745" s="6">
        <v>15316272.48</v>
      </c>
      <c r="AA745" s="6">
        <v>60</v>
      </c>
      <c r="AB745" s="6">
        <v>165</v>
      </c>
      <c r="AC745" s="6"/>
      <c r="AD745" s="6" t="s">
        <v>406</v>
      </c>
      <c r="AE745" s="6">
        <v>0.2</v>
      </c>
      <c r="AF745" s="6" t="s">
        <v>4276</v>
      </c>
      <c r="AG745" s="6">
        <v>0.05</v>
      </c>
      <c r="AH745" s="6">
        <v>0.06</v>
      </c>
      <c r="AI745" s="6">
        <v>0</v>
      </c>
      <c r="AJ745" s="6">
        <v>2334</v>
      </c>
      <c r="AK745" s="6">
        <v>5514054.0300000003</v>
      </c>
      <c r="AL745" s="6">
        <v>6964672.1600000001</v>
      </c>
      <c r="AM745" s="6" t="s">
        <v>73</v>
      </c>
      <c r="AN745" s="6" t="s">
        <v>330</v>
      </c>
      <c r="AO745" s="6">
        <v>83.1</v>
      </c>
      <c r="AP745" s="6">
        <v>60</v>
      </c>
      <c r="AQ745" s="6" t="s">
        <v>323</v>
      </c>
      <c r="AR745" s="6" t="s">
        <v>206</v>
      </c>
      <c r="AS745" s="6" t="s">
        <v>357</v>
      </c>
    </row>
    <row r="746" spans="1:45" x14ac:dyDescent="0.3">
      <c r="A746" s="7" t="s">
        <v>2535</v>
      </c>
      <c r="B746" s="7" t="s">
        <v>3366</v>
      </c>
      <c r="C746" s="7" t="s">
        <v>241</v>
      </c>
      <c r="D746" s="7" t="s">
        <v>242</v>
      </c>
      <c r="E746" s="7"/>
      <c r="F746" s="7" t="s">
        <v>350</v>
      </c>
      <c r="G746" s="7" t="s">
        <v>70</v>
      </c>
      <c r="H746" s="7" t="s">
        <v>212</v>
      </c>
      <c r="I746" s="7" t="s">
        <v>4272</v>
      </c>
      <c r="J746" s="7" t="s">
        <v>99</v>
      </c>
      <c r="K746" s="7" t="s">
        <v>184</v>
      </c>
      <c r="L746" s="7" t="s">
        <v>2536</v>
      </c>
      <c r="M746" s="7" t="s">
        <v>3456</v>
      </c>
      <c r="N746" s="7" t="s">
        <v>5337</v>
      </c>
      <c r="O746" s="7" t="s">
        <v>4481</v>
      </c>
      <c r="P746" s="7">
        <v>15</v>
      </c>
      <c r="Q746" s="7">
        <v>5591040</v>
      </c>
      <c r="R746" s="7">
        <v>0.31</v>
      </c>
      <c r="S746" s="7">
        <v>0.16</v>
      </c>
      <c r="T746" s="7">
        <v>4475068.42</v>
      </c>
      <c r="U746" s="7">
        <v>3255243.52</v>
      </c>
      <c r="V746" s="7">
        <v>0.1</v>
      </c>
      <c r="W746" s="7">
        <v>0.12</v>
      </c>
      <c r="X746" s="7" t="s">
        <v>2537</v>
      </c>
      <c r="Y746" s="7">
        <v>1682337.18</v>
      </c>
      <c r="Z746" s="7">
        <v>1411314.1</v>
      </c>
      <c r="AA746" s="7">
        <v>45</v>
      </c>
      <c r="AB746" s="7">
        <v>73</v>
      </c>
      <c r="AC746" s="7"/>
      <c r="AD746" s="7" t="s">
        <v>226</v>
      </c>
      <c r="AE746" s="7">
        <v>0.51</v>
      </c>
      <c r="AF746" s="7" t="s">
        <v>4294</v>
      </c>
      <c r="AG746" s="7">
        <v>0.1</v>
      </c>
      <c r="AH746" s="7">
        <v>0.02</v>
      </c>
      <c r="AI746" s="7">
        <v>9</v>
      </c>
      <c r="AJ746" s="7">
        <v>213</v>
      </c>
      <c r="AK746" s="7">
        <v>1057435.08</v>
      </c>
      <c r="AL746" s="7">
        <v>548977.26</v>
      </c>
      <c r="AM746" s="7" t="s">
        <v>321</v>
      </c>
      <c r="AN746" s="7" t="s">
        <v>322</v>
      </c>
      <c r="AO746" s="7">
        <v>60.2</v>
      </c>
      <c r="AP746" s="7">
        <v>36</v>
      </c>
      <c r="AQ746" s="7" t="s">
        <v>387</v>
      </c>
      <c r="AR746" s="7" t="s">
        <v>224</v>
      </c>
      <c r="AS746" s="7"/>
    </row>
    <row r="747" spans="1:45" x14ac:dyDescent="0.3">
      <c r="A747" s="6" t="s">
        <v>2538</v>
      </c>
      <c r="B747" s="6" t="s">
        <v>4109</v>
      </c>
      <c r="C747" s="6" t="s">
        <v>189</v>
      </c>
      <c r="D747" s="6" t="s">
        <v>262</v>
      </c>
      <c r="E747" s="6" t="s">
        <v>113</v>
      </c>
      <c r="F747" s="6" t="s">
        <v>367</v>
      </c>
      <c r="G747" s="6" t="s">
        <v>33</v>
      </c>
      <c r="H747" s="6" t="s">
        <v>212</v>
      </c>
      <c r="I747" s="6" t="s">
        <v>4272</v>
      </c>
      <c r="J747" s="6" t="s">
        <v>111</v>
      </c>
      <c r="K747" s="6" t="s">
        <v>184</v>
      </c>
      <c r="L747" s="6" t="s">
        <v>2539</v>
      </c>
      <c r="M747" s="6" t="s">
        <v>4152</v>
      </c>
      <c r="N747" s="6"/>
      <c r="O747" s="6" t="s">
        <v>4297</v>
      </c>
      <c r="P747" s="6">
        <v>38</v>
      </c>
      <c r="Q747" s="6">
        <v>604707</v>
      </c>
      <c r="R747" s="6">
        <v>0.16</v>
      </c>
      <c r="S747" s="6">
        <v>-0.02</v>
      </c>
      <c r="T747" s="6">
        <v>497794.8</v>
      </c>
      <c r="U747" s="6">
        <v>323276.39</v>
      </c>
      <c r="V747" s="6">
        <v>0.12</v>
      </c>
      <c r="W747" s="6">
        <v>0.08</v>
      </c>
      <c r="X747" s="6" t="s">
        <v>2540</v>
      </c>
      <c r="Y747" s="6">
        <v>49959.33</v>
      </c>
      <c r="Z747" s="6">
        <v>32089.56</v>
      </c>
      <c r="AA747" s="6">
        <v>45</v>
      </c>
      <c r="AB747" s="6">
        <v>45</v>
      </c>
      <c r="AC747" s="6" t="s">
        <v>342</v>
      </c>
      <c r="AD747" s="6" t="s">
        <v>406</v>
      </c>
      <c r="AE747" s="6">
        <v>0.39</v>
      </c>
      <c r="AF747" s="6" t="s">
        <v>152</v>
      </c>
      <c r="AG747" s="6">
        <v>0.1</v>
      </c>
      <c r="AH747" s="6">
        <v>0.04</v>
      </c>
      <c r="AI747" s="6">
        <v>6</v>
      </c>
      <c r="AJ747" s="6"/>
      <c r="AK747" s="6">
        <v>97342.14</v>
      </c>
      <c r="AL747" s="6">
        <v>82362.02</v>
      </c>
      <c r="AM747" s="6" t="s">
        <v>321</v>
      </c>
      <c r="AN747" s="6"/>
      <c r="AO747" s="6">
        <v>87.1</v>
      </c>
      <c r="AP747" s="6">
        <v>36</v>
      </c>
      <c r="AQ747" s="6" t="s">
        <v>323</v>
      </c>
      <c r="AR747" s="6" t="s">
        <v>229</v>
      </c>
      <c r="AS747" s="6"/>
    </row>
    <row r="748" spans="1:45" x14ac:dyDescent="0.3">
      <c r="A748" s="7" t="s">
        <v>2541</v>
      </c>
      <c r="B748" s="7" t="s">
        <v>5300</v>
      </c>
      <c r="C748" s="7" t="s">
        <v>271</v>
      </c>
      <c r="D748" s="7" t="s">
        <v>394</v>
      </c>
      <c r="E748" s="7" t="s">
        <v>20</v>
      </c>
      <c r="F748" s="7" t="s">
        <v>196</v>
      </c>
      <c r="G748" s="7" t="s">
        <v>66</v>
      </c>
      <c r="H748" s="7" t="s">
        <v>263</v>
      </c>
      <c r="I748" s="7" t="s">
        <v>4372</v>
      </c>
      <c r="J748" s="7" t="s">
        <v>136</v>
      </c>
      <c r="K748" s="7" t="s">
        <v>204</v>
      </c>
      <c r="L748" s="7" t="s">
        <v>2542</v>
      </c>
      <c r="M748" s="7" t="s">
        <v>4153</v>
      </c>
      <c r="N748" s="7"/>
      <c r="O748" s="7" t="s">
        <v>4274</v>
      </c>
      <c r="P748" s="7">
        <v>24</v>
      </c>
      <c r="Q748" s="7">
        <v>48575601</v>
      </c>
      <c r="R748" s="7">
        <v>0.15</v>
      </c>
      <c r="S748" s="7">
        <v>0.19</v>
      </c>
      <c r="T748" s="7">
        <v>49134220.409999996</v>
      </c>
      <c r="U748" s="7">
        <v>31058749.379999999</v>
      </c>
      <c r="V748" s="7">
        <v>0.28999999999999998</v>
      </c>
      <c r="W748" s="7">
        <v>7.0000000000000007E-2</v>
      </c>
      <c r="X748" s="7"/>
      <c r="Y748" s="7">
        <v>22482986.02</v>
      </c>
      <c r="Z748" s="7">
        <v>11416203.609999999</v>
      </c>
      <c r="AA748" s="7">
        <v>120</v>
      </c>
      <c r="AB748" s="7">
        <v>92</v>
      </c>
      <c r="AC748" s="7" t="s">
        <v>376</v>
      </c>
      <c r="AD748" s="7" t="s">
        <v>226</v>
      </c>
      <c r="AE748" s="7">
        <v>0.41</v>
      </c>
      <c r="AF748" s="7" t="s">
        <v>155</v>
      </c>
      <c r="AG748" s="7">
        <v>0.1</v>
      </c>
      <c r="AH748" s="7">
        <v>0.09</v>
      </c>
      <c r="AI748" s="7">
        <v>8</v>
      </c>
      <c r="AJ748" s="7">
        <v>3363</v>
      </c>
      <c r="AK748" s="7">
        <v>7361112.1699999999</v>
      </c>
      <c r="AL748" s="7">
        <v>23869840.859999999</v>
      </c>
      <c r="AM748" s="7"/>
      <c r="AN748" s="7" t="s">
        <v>356</v>
      </c>
      <c r="AO748" s="7">
        <v>50.6</v>
      </c>
      <c r="AP748" s="7">
        <v>60</v>
      </c>
      <c r="AQ748" s="7" t="s">
        <v>337</v>
      </c>
      <c r="AR748" s="7" t="s">
        <v>224</v>
      </c>
      <c r="AS748" s="7" t="s">
        <v>357</v>
      </c>
    </row>
    <row r="749" spans="1:45" x14ac:dyDescent="0.3">
      <c r="A749" s="6" t="s">
        <v>2543</v>
      </c>
      <c r="B749" s="6" t="s">
        <v>4154</v>
      </c>
      <c r="C749" s="6" t="s">
        <v>286</v>
      </c>
      <c r="D749" s="6" t="s">
        <v>242</v>
      </c>
      <c r="E749" s="6"/>
      <c r="F749" s="6" t="s">
        <v>367</v>
      </c>
      <c r="G749" s="6" t="s">
        <v>57</v>
      </c>
      <c r="H749" s="6" t="s">
        <v>4266</v>
      </c>
      <c r="I749" s="6" t="s">
        <v>240</v>
      </c>
      <c r="J749" s="6" t="s">
        <v>99</v>
      </c>
      <c r="K749" s="6" t="s">
        <v>210</v>
      </c>
      <c r="L749" s="6" t="s">
        <v>2544</v>
      </c>
      <c r="M749" s="6" t="s">
        <v>5338</v>
      </c>
      <c r="N749" s="6"/>
      <c r="O749" s="6" t="s">
        <v>5339</v>
      </c>
      <c r="P749" s="6" t="s">
        <v>4275</v>
      </c>
      <c r="Q749" s="6">
        <v>40782733</v>
      </c>
      <c r="R749" s="6">
        <v>0.27</v>
      </c>
      <c r="S749" s="6">
        <v>0.17</v>
      </c>
      <c r="T749" s="6">
        <v>34832532.259999998</v>
      </c>
      <c r="U749" s="6">
        <v>25968028.859999999</v>
      </c>
      <c r="V749" s="6">
        <v>0.32</v>
      </c>
      <c r="W749" s="6">
        <v>0.1</v>
      </c>
      <c r="X749" s="6" t="s">
        <v>2545</v>
      </c>
      <c r="Y749" s="6">
        <v>26914081.93</v>
      </c>
      <c r="Z749" s="6">
        <v>15370358.449999999</v>
      </c>
      <c r="AA749" s="6">
        <v>30</v>
      </c>
      <c r="AB749" s="6">
        <v>111</v>
      </c>
      <c r="AC749" s="6"/>
      <c r="AD749" s="6" t="s">
        <v>406</v>
      </c>
      <c r="AE749" s="6">
        <v>0.51</v>
      </c>
      <c r="AF749" s="6" t="s">
        <v>153</v>
      </c>
      <c r="AG749" s="6">
        <v>0.05</v>
      </c>
      <c r="AH749" s="6">
        <v>0.08</v>
      </c>
      <c r="AI749" s="6">
        <v>7</v>
      </c>
      <c r="AJ749" s="6">
        <v>3734</v>
      </c>
      <c r="AK749" s="6">
        <v>4468651.6900000004</v>
      </c>
      <c r="AL749" s="6">
        <v>7735449.6900000004</v>
      </c>
      <c r="AM749" s="6" t="s">
        <v>355</v>
      </c>
      <c r="AN749" s="6" t="s">
        <v>356</v>
      </c>
      <c r="AO749" s="6">
        <v>92.5</v>
      </c>
      <c r="AP749" s="6">
        <v>36</v>
      </c>
      <c r="AQ749" s="6" t="s">
        <v>387</v>
      </c>
      <c r="AR749" s="6" t="s">
        <v>206</v>
      </c>
      <c r="AS749" s="6" t="s">
        <v>377</v>
      </c>
    </row>
    <row r="750" spans="1:45" x14ac:dyDescent="0.3">
      <c r="A750" s="7" t="s">
        <v>2546</v>
      </c>
      <c r="B750" s="7" t="s">
        <v>3924</v>
      </c>
      <c r="C750" s="7" t="s">
        <v>256</v>
      </c>
      <c r="D750" s="7" t="s">
        <v>215</v>
      </c>
      <c r="E750" s="7"/>
      <c r="F750" s="7"/>
      <c r="G750" s="7"/>
      <c r="H750" s="7" t="s">
        <v>4326</v>
      </c>
      <c r="I750" s="7"/>
      <c r="J750" s="7" t="s">
        <v>99</v>
      </c>
      <c r="K750" s="7" t="s">
        <v>210</v>
      </c>
      <c r="L750" s="7" t="s">
        <v>2547</v>
      </c>
      <c r="M750" s="7" t="s">
        <v>4284</v>
      </c>
      <c r="N750" s="7"/>
      <c r="O750" s="7" t="s">
        <v>4923</v>
      </c>
      <c r="P750" s="7">
        <v>39</v>
      </c>
      <c r="Q750" s="7">
        <v>42138458</v>
      </c>
      <c r="R750" s="7">
        <v>7.0000000000000007E-2</v>
      </c>
      <c r="S750" s="7">
        <v>0.04</v>
      </c>
      <c r="T750" s="7">
        <v>40756316.579999998</v>
      </c>
      <c r="U750" s="7">
        <v>29882015.719999999</v>
      </c>
      <c r="V750" s="7">
        <v>0.24</v>
      </c>
      <c r="W750" s="7">
        <v>0.15</v>
      </c>
      <c r="X750" s="7" t="s">
        <v>2548</v>
      </c>
      <c r="Y750" s="7">
        <v>27564828.07</v>
      </c>
      <c r="Z750" s="7">
        <v>13265973.6</v>
      </c>
      <c r="AA750" s="7">
        <v>90</v>
      </c>
      <c r="AB750" s="7">
        <v>56</v>
      </c>
      <c r="AC750" s="7" t="s">
        <v>342</v>
      </c>
      <c r="AD750" s="7" t="s">
        <v>320</v>
      </c>
      <c r="AE750" s="7">
        <v>0.21</v>
      </c>
      <c r="AF750" s="7" t="s">
        <v>4361</v>
      </c>
      <c r="AG750" s="7">
        <v>0.1</v>
      </c>
      <c r="AH750" s="7">
        <v>0.1</v>
      </c>
      <c r="AI750" s="7">
        <v>15</v>
      </c>
      <c r="AJ750" s="7">
        <v>3866</v>
      </c>
      <c r="AK750" s="7">
        <v>2316294.09</v>
      </c>
      <c r="AL750" s="7">
        <v>18188696.670000002</v>
      </c>
      <c r="AM750" s="7" t="s">
        <v>321</v>
      </c>
      <c r="AN750" s="7" t="s">
        <v>356</v>
      </c>
      <c r="AO750" s="7">
        <v>96.6</v>
      </c>
      <c r="AP750" s="7">
        <v>24</v>
      </c>
      <c r="AQ750" s="7" t="s">
        <v>392</v>
      </c>
      <c r="AR750" s="7" t="s">
        <v>192</v>
      </c>
      <c r="AS750" s="7" t="s">
        <v>377</v>
      </c>
    </row>
    <row r="751" spans="1:45" x14ac:dyDescent="0.3">
      <c r="A751" s="6" t="s">
        <v>2549</v>
      </c>
      <c r="B751" s="6" t="s">
        <v>4632</v>
      </c>
      <c r="C751" s="6" t="s">
        <v>189</v>
      </c>
      <c r="D751" s="6" t="s">
        <v>209</v>
      </c>
      <c r="E751" s="6" t="s">
        <v>4306</v>
      </c>
      <c r="F751" s="6" t="s">
        <v>75</v>
      </c>
      <c r="G751" s="6" t="s">
        <v>50</v>
      </c>
      <c r="H751" s="6" t="s">
        <v>263</v>
      </c>
      <c r="I751" s="6" t="s">
        <v>203</v>
      </c>
      <c r="J751" s="7" t="s">
        <v>133</v>
      </c>
      <c r="K751" s="6" t="s">
        <v>223</v>
      </c>
      <c r="L751" s="6" t="s">
        <v>2550</v>
      </c>
      <c r="M751" s="6" t="s">
        <v>4011</v>
      </c>
      <c r="N751" s="6"/>
      <c r="O751" s="6" t="s">
        <v>3626</v>
      </c>
      <c r="P751" s="6">
        <v>31</v>
      </c>
      <c r="Q751" s="6">
        <v>14819987</v>
      </c>
      <c r="R751" s="6">
        <v>0.34</v>
      </c>
      <c r="S751" s="6">
        <v>0.08</v>
      </c>
      <c r="T751" s="6">
        <v>10563686.73</v>
      </c>
      <c r="U751" s="6">
        <v>9475058.0800000001</v>
      </c>
      <c r="V751" s="6">
        <v>0.08</v>
      </c>
      <c r="W751" s="6">
        <v>0.11</v>
      </c>
      <c r="X751" s="6" t="s">
        <v>2551</v>
      </c>
      <c r="Y751" s="6">
        <v>2887844.37</v>
      </c>
      <c r="Z751" s="6">
        <v>1529963.25</v>
      </c>
      <c r="AA751" s="6">
        <v>45</v>
      </c>
      <c r="AB751" s="6">
        <v>89</v>
      </c>
      <c r="AC751" s="6" t="s">
        <v>376</v>
      </c>
      <c r="AD751" s="6" t="s">
        <v>354</v>
      </c>
      <c r="AE751" s="6">
        <v>0.86</v>
      </c>
      <c r="AF751" s="6" t="s">
        <v>152</v>
      </c>
      <c r="AG751" s="6">
        <v>0.1</v>
      </c>
      <c r="AH751" s="6">
        <v>7.0000000000000007E-2</v>
      </c>
      <c r="AI751" s="6">
        <v>13</v>
      </c>
      <c r="AJ751" s="6">
        <v>164</v>
      </c>
      <c r="AK751" s="6"/>
      <c r="AL751" s="6">
        <v>3264952.91</v>
      </c>
      <c r="AM751" s="6" t="s">
        <v>391</v>
      </c>
      <c r="AN751" s="6" t="s">
        <v>348</v>
      </c>
      <c r="AO751" s="6">
        <v>58.8</v>
      </c>
      <c r="AP751" s="6">
        <v>24</v>
      </c>
      <c r="AQ751" s="6" t="s">
        <v>337</v>
      </c>
      <c r="AR751" s="6" t="s">
        <v>206</v>
      </c>
      <c r="AS751" s="6" t="s">
        <v>324</v>
      </c>
    </row>
    <row r="752" spans="1:45" x14ac:dyDescent="0.3">
      <c r="A752" s="7" t="s">
        <v>2552</v>
      </c>
      <c r="B752" s="7" t="s">
        <v>4155</v>
      </c>
      <c r="C752" s="7" t="s">
        <v>208</v>
      </c>
      <c r="D752" s="7" t="s">
        <v>248</v>
      </c>
      <c r="E752" s="7"/>
      <c r="F752" s="7" t="s">
        <v>228</v>
      </c>
      <c r="G752" s="7" t="s">
        <v>28</v>
      </c>
      <c r="H752" s="7" t="s">
        <v>212</v>
      </c>
      <c r="I752" s="7" t="s">
        <v>240</v>
      </c>
      <c r="J752" s="7" t="s">
        <v>99</v>
      </c>
      <c r="K752" s="7" t="s">
        <v>333</v>
      </c>
      <c r="L752" s="7" t="s">
        <v>2553</v>
      </c>
      <c r="M752" s="7" t="s">
        <v>4156</v>
      </c>
      <c r="N752" s="7" t="s">
        <v>5023</v>
      </c>
      <c r="O752" s="7" t="s">
        <v>3328</v>
      </c>
      <c r="P752" s="7">
        <v>15</v>
      </c>
      <c r="Q752" s="7">
        <v>7182617</v>
      </c>
      <c r="R752" s="7">
        <v>0.15</v>
      </c>
      <c r="S752" s="7">
        <v>0.18</v>
      </c>
      <c r="T752" s="7">
        <v>7204164.8499999996</v>
      </c>
      <c r="U752" s="7">
        <v>4611450.2699999996</v>
      </c>
      <c r="V752" s="7">
        <v>0.31</v>
      </c>
      <c r="W752" s="7">
        <v>0.13</v>
      </c>
      <c r="X752" s="7" t="s">
        <v>2554</v>
      </c>
      <c r="Y752" s="7">
        <v>420057.19</v>
      </c>
      <c r="Z752" s="7">
        <v>303958.44</v>
      </c>
      <c r="AA752" s="7">
        <v>30</v>
      </c>
      <c r="AB752" s="7">
        <v>174</v>
      </c>
      <c r="AC752" s="7" t="s">
        <v>342</v>
      </c>
      <c r="AD752" s="7" t="s">
        <v>320</v>
      </c>
      <c r="AE752" s="7">
        <v>0.79</v>
      </c>
      <c r="AF752" s="7" t="s">
        <v>4303</v>
      </c>
      <c r="AG752" s="7">
        <v>0.1</v>
      </c>
      <c r="AH752" s="7">
        <v>0.09</v>
      </c>
      <c r="AI752" s="7">
        <v>1</v>
      </c>
      <c r="AJ752" s="7">
        <v>4307</v>
      </c>
      <c r="AK752" s="7">
        <v>524946.46</v>
      </c>
      <c r="AL752" s="7">
        <v>2606559.25</v>
      </c>
      <c r="AM752" s="7"/>
      <c r="AN752" s="7" t="s">
        <v>321</v>
      </c>
      <c r="AO752" s="7">
        <v>50.3</v>
      </c>
      <c r="AP752" s="7">
        <v>48</v>
      </c>
      <c r="AQ752" s="7"/>
      <c r="AR752" s="7" t="s">
        <v>229</v>
      </c>
      <c r="AS752" s="7" t="s">
        <v>377</v>
      </c>
    </row>
    <row r="753" spans="1:45" x14ac:dyDescent="0.3">
      <c r="A753" s="6" t="s">
        <v>2555</v>
      </c>
      <c r="B753" s="6" t="s">
        <v>3890</v>
      </c>
      <c r="C753" s="6" t="s">
        <v>195</v>
      </c>
      <c r="D753" s="6" t="s">
        <v>274</v>
      </c>
      <c r="E753" s="6" t="s">
        <v>20</v>
      </c>
      <c r="F753" s="6" t="s">
        <v>35</v>
      </c>
      <c r="G753" s="6" t="s">
        <v>46</v>
      </c>
      <c r="H753" s="6" t="s">
        <v>216</v>
      </c>
      <c r="I753" s="6" t="s">
        <v>4372</v>
      </c>
      <c r="J753" s="6" t="s">
        <v>136</v>
      </c>
      <c r="K753" s="6" t="s">
        <v>221</v>
      </c>
      <c r="L753" s="6" t="s">
        <v>2556</v>
      </c>
      <c r="M753" s="6" t="s">
        <v>4998</v>
      </c>
      <c r="N753" s="6"/>
      <c r="O753" s="6" t="s">
        <v>5340</v>
      </c>
      <c r="P753" s="6">
        <v>12</v>
      </c>
      <c r="Q753" s="6">
        <v>6626314</v>
      </c>
      <c r="R753" s="6">
        <v>0.08</v>
      </c>
      <c r="S753" s="6">
        <v>0.01</v>
      </c>
      <c r="T753" s="6">
        <v>6157170.9699999997</v>
      </c>
      <c r="U753" s="6">
        <v>4266496.67</v>
      </c>
      <c r="V753" s="6">
        <v>0.22</v>
      </c>
      <c r="W753" s="6">
        <v>0.11</v>
      </c>
      <c r="X753" s="6" t="s">
        <v>2557</v>
      </c>
      <c r="Y753" s="6">
        <v>4118228.57</v>
      </c>
      <c r="Z753" s="6">
        <v>3373571.76</v>
      </c>
      <c r="AA753" s="6">
        <v>45</v>
      </c>
      <c r="AB753" s="6">
        <v>163</v>
      </c>
      <c r="AC753" s="6" t="s">
        <v>342</v>
      </c>
      <c r="AD753" s="6" t="s">
        <v>406</v>
      </c>
      <c r="AE753" s="6">
        <v>0.51</v>
      </c>
      <c r="AF753" s="6" t="s">
        <v>4312</v>
      </c>
      <c r="AG753" s="6">
        <v>0.15</v>
      </c>
      <c r="AH753" s="6">
        <v>0.08</v>
      </c>
      <c r="AI753" s="6">
        <v>3</v>
      </c>
      <c r="AJ753" s="6">
        <v>2043</v>
      </c>
      <c r="AK753" s="6">
        <v>714313.3</v>
      </c>
      <c r="AL753" s="6">
        <v>1043354.83</v>
      </c>
      <c r="AM753" s="6" t="s">
        <v>355</v>
      </c>
      <c r="AN753" s="6" t="s">
        <v>356</v>
      </c>
      <c r="AO753" s="6">
        <v>76.5</v>
      </c>
      <c r="AP753" s="6">
        <v>24</v>
      </c>
      <c r="AQ753" s="6" t="s">
        <v>4275</v>
      </c>
      <c r="AR753" s="6" t="s">
        <v>206</v>
      </c>
      <c r="AS753" s="6" t="s">
        <v>188</v>
      </c>
    </row>
    <row r="754" spans="1:45" x14ac:dyDescent="0.3">
      <c r="A754" s="7" t="s">
        <v>2558</v>
      </c>
      <c r="B754" s="7" t="s">
        <v>4125</v>
      </c>
      <c r="C754" s="7" t="s">
        <v>195</v>
      </c>
      <c r="D754" s="7" t="s">
        <v>209</v>
      </c>
      <c r="E754" s="7" t="s">
        <v>4265</v>
      </c>
      <c r="F754" s="7" t="s">
        <v>363</v>
      </c>
      <c r="G754" s="7" t="s">
        <v>33</v>
      </c>
      <c r="H754" s="7" t="s">
        <v>212</v>
      </c>
      <c r="I754" s="7" t="s">
        <v>4289</v>
      </c>
      <c r="J754" s="6" t="s">
        <v>105</v>
      </c>
      <c r="K754" s="7" t="s">
        <v>210</v>
      </c>
      <c r="L754" s="7" t="s">
        <v>2559</v>
      </c>
      <c r="M754" s="7" t="s">
        <v>3886</v>
      </c>
      <c r="N754" s="7" t="s">
        <v>4126</v>
      </c>
      <c r="O754" s="7" t="s">
        <v>3810</v>
      </c>
      <c r="P754" s="7">
        <v>4</v>
      </c>
      <c r="Q754" s="7">
        <v>4083138</v>
      </c>
      <c r="R754" s="7">
        <v>0.27</v>
      </c>
      <c r="S754" s="7">
        <v>0.17</v>
      </c>
      <c r="T754" s="7">
        <v>3487408.17</v>
      </c>
      <c r="U754" s="7">
        <v>2695072.82</v>
      </c>
      <c r="V754" s="7">
        <v>0.06</v>
      </c>
      <c r="W754" s="7">
        <v>0.06</v>
      </c>
      <c r="X754" s="7" t="s">
        <v>2560</v>
      </c>
      <c r="Y754" s="7">
        <v>3036523.09</v>
      </c>
      <c r="Z754" s="7">
        <v>2836804.69</v>
      </c>
      <c r="AA754" s="7">
        <v>90</v>
      </c>
      <c r="AB754" s="7">
        <v>166</v>
      </c>
      <c r="AC754" s="7" t="s">
        <v>329</v>
      </c>
      <c r="AD754" s="7" t="s">
        <v>354</v>
      </c>
      <c r="AE754" s="7">
        <v>0.95</v>
      </c>
      <c r="AF754" s="7" t="s">
        <v>4303</v>
      </c>
      <c r="AG754" s="7">
        <v>0.05</v>
      </c>
      <c r="AH754" s="7">
        <v>0.03</v>
      </c>
      <c r="AI754" s="7">
        <v>11</v>
      </c>
      <c r="AJ754" s="7">
        <v>871</v>
      </c>
      <c r="AK754" s="7">
        <v>781191.49</v>
      </c>
      <c r="AL754" s="7">
        <v>1725872.41</v>
      </c>
      <c r="AM754" s="7" t="s">
        <v>355</v>
      </c>
      <c r="AN754" s="7" t="s">
        <v>356</v>
      </c>
      <c r="AO754" s="7">
        <v>92.4</v>
      </c>
      <c r="AP754" s="7">
        <v>48</v>
      </c>
      <c r="AQ754" s="7" t="s">
        <v>337</v>
      </c>
      <c r="AR754" s="7" t="s">
        <v>224</v>
      </c>
      <c r="AS754" s="7" t="s">
        <v>324</v>
      </c>
    </row>
    <row r="755" spans="1:45" x14ac:dyDescent="0.3">
      <c r="A755" s="6" t="s">
        <v>2561</v>
      </c>
      <c r="B755" s="6" t="s">
        <v>5341</v>
      </c>
      <c r="C755" s="6" t="s">
        <v>269</v>
      </c>
      <c r="D755" s="6" t="s">
        <v>248</v>
      </c>
      <c r="E755" s="6" t="s">
        <v>4325</v>
      </c>
      <c r="F755" s="6" t="s">
        <v>339</v>
      </c>
      <c r="G755" s="6" t="s">
        <v>73</v>
      </c>
      <c r="H755" s="6" t="s">
        <v>216</v>
      </c>
      <c r="I755" s="6" t="s">
        <v>4307</v>
      </c>
      <c r="J755" s="6" t="s">
        <v>115</v>
      </c>
      <c r="K755" s="6" t="s">
        <v>326</v>
      </c>
      <c r="L755" s="6" t="s">
        <v>2562</v>
      </c>
      <c r="M755" s="6" t="s">
        <v>5342</v>
      </c>
      <c r="N755" s="6" t="s">
        <v>4157</v>
      </c>
      <c r="O755" s="6" t="s">
        <v>5343</v>
      </c>
      <c r="P755" s="6">
        <v>33</v>
      </c>
      <c r="Q755" s="6">
        <v>30309994</v>
      </c>
      <c r="R755" s="6">
        <v>0.2</v>
      </c>
      <c r="S755" s="6">
        <v>0.19</v>
      </c>
      <c r="T755" s="6">
        <v>28855114.289999999</v>
      </c>
      <c r="U755" s="6">
        <v>24522161.030000001</v>
      </c>
      <c r="V755" s="6">
        <v>0.08</v>
      </c>
      <c r="W755" s="6">
        <v>0.18</v>
      </c>
      <c r="X755" s="6" t="s">
        <v>2563</v>
      </c>
      <c r="Y755" s="6">
        <v>11884533.689999999</v>
      </c>
      <c r="Z755" s="6">
        <v>4233024.46</v>
      </c>
      <c r="AA755" s="6">
        <v>45</v>
      </c>
      <c r="AB755" s="6">
        <v>34</v>
      </c>
      <c r="AC755" s="6" t="s">
        <v>347</v>
      </c>
      <c r="AD755" s="6" t="s">
        <v>354</v>
      </c>
      <c r="AE755" s="6">
        <v>0.8</v>
      </c>
      <c r="AF755" s="6" t="s">
        <v>4361</v>
      </c>
      <c r="AG755" s="6">
        <v>0.1</v>
      </c>
      <c r="AH755" s="6">
        <v>0.1</v>
      </c>
      <c r="AI755" s="6">
        <v>0</v>
      </c>
      <c r="AJ755" s="6">
        <v>4307</v>
      </c>
      <c r="AK755" s="6">
        <v>1493601.49</v>
      </c>
      <c r="AL755" s="6">
        <v>14018260.460000001</v>
      </c>
      <c r="AM755" s="6" t="s">
        <v>385</v>
      </c>
      <c r="AN755" s="6" t="s">
        <v>386</v>
      </c>
      <c r="AO755" s="6">
        <v>67.099999999999994</v>
      </c>
      <c r="AP755" s="6">
        <v>48</v>
      </c>
      <c r="AQ755" s="6" t="s">
        <v>4275</v>
      </c>
      <c r="AR755" s="6" t="s">
        <v>186</v>
      </c>
      <c r="AS755" s="6" t="s">
        <v>188</v>
      </c>
    </row>
    <row r="756" spans="1:45" x14ac:dyDescent="0.3">
      <c r="A756" s="7" t="s">
        <v>2564</v>
      </c>
      <c r="B756" s="7" t="s">
        <v>4917</v>
      </c>
      <c r="C756" s="7" t="s">
        <v>227</v>
      </c>
      <c r="D756" s="7" t="s">
        <v>253</v>
      </c>
      <c r="E756" s="7" t="s">
        <v>52</v>
      </c>
      <c r="F756" s="7" t="s">
        <v>75</v>
      </c>
      <c r="G756" s="7" t="s">
        <v>78</v>
      </c>
      <c r="H756" s="7" t="s">
        <v>4280</v>
      </c>
      <c r="I756" s="7" t="s">
        <v>246</v>
      </c>
      <c r="J756" s="7" t="s">
        <v>119</v>
      </c>
      <c r="K756" s="7" t="s">
        <v>326</v>
      </c>
      <c r="L756" s="7" t="s">
        <v>2565</v>
      </c>
      <c r="M756" s="7" t="s">
        <v>5344</v>
      </c>
      <c r="N756" s="7" t="s">
        <v>3433</v>
      </c>
      <c r="O756" s="7" t="s">
        <v>4414</v>
      </c>
      <c r="P756" s="7" t="s">
        <v>4275</v>
      </c>
      <c r="Q756" s="7">
        <v>36527822</v>
      </c>
      <c r="R756" s="7">
        <v>0.31</v>
      </c>
      <c r="S756" s="7">
        <v>0.18</v>
      </c>
      <c r="T756" s="7">
        <v>29740952.670000002</v>
      </c>
      <c r="U756" s="7">
        <v>22376451.84</v>
      </c>
      <c r="V756" s="7">
        <v>0.38</v>
      </c>
      <c r="W756" s="7">
        <v>0.1</v>
      </c>
      <c r="X756" s="7" t="s">
        <v>2566</v>
      </c>
      <c r="Y756" s="7">
        <v>6292969.0099999998</v>
      </c>
      <c r="Z756" s="7">
        <v>5006526</v>
      </c>
      <c r="AA756" s="7">
        <v>90</v>
      </c>
      <c r="AB756" s="7">
        <v>10</v>
      </c>
      <c r="AC756" s="7" t="s">
        <v>376</v>
      </c>
      <c r="AD756" s="7" t="s">
        <v>226</v>
      </c>
      <c r="AE756" s="7">
        <v>0.32</v>
      </c>
      <c r="AF756" s="7" t="s">
        <v>4361</v>
      </c>
      <c r="AG756" s="7">
        <v>0.1</v>
      </c>
      <c r="AH756" s="7">
        <v>0.03</v>
      </c>
      <c r="AI756" s="7">
        <v>0</v>
      </c>
      <c r="AJ756" s="7">
        <v>88</v>
      </c>
      <c r="AK756" s="7">
        <v>3162183.74</v>
      </c>
      <c r="AL756" s="7">
        <v>4403129.1100000003</v>
      </c>
      <c r="AM756" s="7"/>
      <c r="AN756" s="7" t="s">
        <v>330</v>
      </c>
      <c r="AO756" s="7">
        <v>81.3</v>
      </c>
      <c r="AP756" s="7">
        <v>12</v>
      </c>
      <c r="AQ756" s="7" t="s">
        <v>323</v>
      </c>
      <c r="AR756" s="7" t="s">
        <v>206</v>
      </c>
      <c r="AS756" s="7"/>
    </row>
    <row r="757" spans="1:45" x14ac:dyDescent="0.3">
      <c r="A757" s="6" t="s">
        <v>2567</v>
      </c>
      <c r="B757" s="6" t="s">
        <v>4347</v>
      </c>
      <c r="C757" s="6" t="s">
        <v>252</v>
      </c>
      <c r="D757" s="6" t="s">
        <v>253</v>
      </c>
      <c r="E757" s="6" t="s">
        <v>20</v>
      </c>
      <c r="F757" s="6" t="s">
        <v>35</v>
      </c>
      <c r="G757" s="6" t="s">
        <v>23</v>
      </c>
      <c r="H757" s="6" t="s">
        <v>4280</v>
      </c>
      <c r="I757" s="6" t="s">
        <v>213</v>
      </c>
      <c r="J757" s="6" t="s">
        <v>136</v>
      </c>
      <c r="K757" s="6" t="s">
        <v>333</v>
      </c>
      <c r="L757" s="6" t="s">
        <v>2568</v>
      </c>
      <c r="M757" s="6" t="s">
        <v>5345</v>
      </c>
      <c r="N757" s="6" t="s">
        <v>4322</v>
      </c>
      <c r="O757" s="6" t="s">
        <v>4980</v>
      </c>
      <c r="P757" s="6">
        <v>43</v>
      </c>
      <c r="Q757" s="6">
        <v>42119249</v>
      </c>
      <c r="R757" s="6" t="s">
        <v>3273</v>
      </c>
      <c r="S757" s="6">
        <v>0.12</v>
      </c>
      <c r="T757" s="6">
        <v>33964962.390000001</v>
      </c>
      <c r="U757" s="6">
        <v>28918870.640000001</v>
      </c>
      <c r="V757" s="6">
        <v>0.25</v>
      </c>
      <c r="W757" s="6">
        <v>0.05</v>
      </c>
      <c r="X757" s="6" t="s">
        <v>2569</v>
      </c>
      <c r="Y757" s="6">
        <v>8480178.9199999999</v>
      </c>
      <c r="Z757" s="6">
        <v>6767059.7300000004</v>
      </c>
      <c r="AA757" s="6">
        <v>30</v>
      </c>
      <c r="AB757" s="6">
        <v>43</v>
      </c>
      <c r="AC757" s="6"/>
      <c r="AD757" s="6" t="s">
        <v>320</v>
      </c>
      <c r="AE757" s="6">
        <v>0.69</v>
      </c>
      <c r="AF757" s="6" t="s">
        <v>4294</v>
      </c>
      <c r="AG757" s="6">
        <v>0.1</v>
      </c>
      <c r="AH757" s="6">
        <v>0.06</v>
      </c>
      <c r="AI757" s="6">
        <v>5</v>
      </c>
      <c r="AJ757" s="6">
        <v>557</v>
      </c>
      <c r="AK757" s="6">
        <v>2192305.71</v>
      </c>
      <c r="AL757" s="6"/>
      <c r="AM757" s="6"/>
      <c r="AN757" s="6" t="s">
        <v>321</v>
      </c>
      <c r="AO757" s="6">
        <v>96.4</v>
      </c>
      <c r="AP757" s="6">
        <v>12</v>
      </c>
      <c r="AQ757" s="6"/>
      <c r="AR757" s="6" t="s">
        <v>229</v>
      </c>
      <c r="AS757" s="6" t="s">
        <v>361</v>
      </c>
    </row>
    <row r="758" spans="1:45" x14ac:dyDescent="0.3">
      <c r="A758" s="7" t="s">
        <v>2570</v>
      </c>
      <c r="B758" s="7" t="s">
        <v>5081</v>
      </c>
      <c r="C758" s="7" t="s">
        <v>251</v>
      </c>
      <c r="D758" s="7" t="s">
        <v>265</v>
      </c>
      <c r="E758" s="7" t="s">
        <v>20</v>
      </c>
      <c r="F758" s="7"/>
      <c r="G758" s="7" t="s">
        <v>16</v>
      </c>
      <c r="H758" s="7" t="s">
        <v>4280</v>
      </c>
      <c r="I758" s="7" t="s">
        <v>4291</v>
      </c>
      <c r="J758" s="7" t="s">
        <v>136</v>
      </c>
      <c r="K758" s="7" t="s">
        <v>326</v>
      </c>
      <c r="L758" s="7" t="s">
        <v>2571</v>
      </c>
      <c r="M758" s="7" t="s">
        <v>3301</v>
      </c>
      <c r="N758" s="7" t="s">
        <v>3277</v>
      </c>
      <c r="O758" s="7" t="s">
        <v>5164</v>
      </c>
      <c r="P758" s="7">
        <v>21</v>
      </c>
      <c r="Q758" s="7">
        <v>39785584</v>
      </c>
      <c r="R758" s="7">
        <v>0.04</v>
      </c>
      <c r="S758" s="7">
        <v>-0.03</v>
      </c>
      <c r="T758" s="7">
        <v>37048335.82</v>
      </c>
      <c r="U758" s="7">
        <v>24373689.48</v>
      </c>
      <c r="V758" s="7">
        <v>0.38</v>
      </c>
      <c r="W758" s="7">
        <v>0.13</v>
      </c>
      <c r="X758" s="7" t="s">
        <v>2572</v>
      </c>
      <c r="Y758" s="7">
        <v>8557567.3499999996</v>
      </c>
      <c r="Z758" s="7">
        <v>7764432.96</v>
      </c>
      <c r="AA758" s="7">
        <v>90</v>
      </c>
      <c r="AB758" s="7">
        <v>159</v>
      </c>
      <c r="AC758" s="7" t="s">
        <v>329</v>
      </c>
      <c r="AD758" s="7" t="s">
        <v>406</v>
      </c>
      <c r="AE758" s="7">
        <v>0.97</v>
      </c>
      <c r="AF758" s="7" t="s">
        <v>162</v>
      </c>
      <c r="AG758" s="7">
        <v>0.1</v>
      </c>
      <c r="AH758" s="7">
        <v>0.05</v>
      </c>
      <c r="AI758" s="7">
        <v>11</v>
      </c>
      <c r="AJ758" s="7">
        <v>1985</v>
      </c>
      <c r="AK758" s="7">
        <v>5959856.2300000004</v>
      </c>
      <c r="AL758" s="7">
        <v>6048742.1799999997</v>
      </c>
      <c r="AM758" s="7" t="s">
        <v>321</v>
      </c>
      <c r="AN758" s="7" t="s">
        <v>386</v>
      </c>
      <c r="AO758" s="7">
        <v>56.9</v>
      </c>
      <c r="AP758" s="7">
        <v>60</v>
      </c>
      <c r="AQ758" s="7"/>
      <c r="AR758" s="7" t="s">
        <v>224</v>
      </c>
      <c r="AS758" s="7" t="s">
        <v>188</v>
      </c>
    </row>
    <row r="759" spans="1:45" x14ac:dyDescent="0.3">
      <c r="A759" s="6" t="s">
        <v>2573</v>
      </c>
      <c r="B759" s="6" t="s">
        <v>5346</v>
      </c>
      <c r="C759" s="6" t="s">
        <v>276</v>
      </c>
      <c r="D759" s="6" t="s">
        <v>245</v>
      </c>
      <c r="E759" s="6" t="s">
        <v>59</v>
      </c>
      <c r="F759" s="6"/>
      <c r="G759" s="6" t="s">
        <v>46</v>
      </c>
      <c r="H759" s="6" t="s">
        <v>4280</v>
      </c>
      <c r="I759" s="6" t="s">
        <v>233</v>
      </c>
      <c r="J759" s="6" t="s">
        <v>99</v>
      </c>
      <c r="K759" s="6" t="s">
        <v>210</v>
      </c>
      <c r="L759" s="6" t="s">
        <v>2574</v>
      </c>
      <c r="M759" s="6" t="s">
        <v>3319</v>
      </c>
      <c r="N759" s="6" t="s">
        <v>4465</v>
      </c>
      <c r="O759" s="6" t="s">
        <v>4274</v>
      </c>
      <c r="P759" s="6">
        <v>32</v>
      </c>
      <c r="Q759" s="6">
        <v>46270731</v>
      </c>
      <c r="R759" s="6">
        <v>7.0000000000000007E-2</v>
      </c>
      <c r="S759" s="6">
        <v>0.15</v>
      </c>
      <c r="T759" s="6">
        <v>49486546.799999997</v>
      </c>
      <c r="U759" s="6">
        <v>35328132.579999998</v>
      </c>
      <c r="V759" s="6">
        <v>0.18</v>
      </c>
      <c r="W759" s="6">
        <v>0.14000000000000001</v>
      </c>
      <c r="X759" s="6" t="s">
        <v>2575</v>
      </c>
      <c r="Y759" s="6">
        <v>14028261.59</v>
      </c>
      <c r="Z759" s="6">
        <v>13746154.99</v>
      </c>
      <c r="AA759" s="6">
        <v>60</v>
      </c>
      <c r="AB759" s="6">
        <v>85</v>
      </c>
      <c r="AC759" s="6" t="s">
        <v>376</v>
      </c>
      <c r="AD759" s="6" t="s">
        <v>406</v>
      </c>
      <c r="AE759" s="6">
        <v>0.83</v>
      </c>
      <c r="AF759" s="6" t="s">
        <v>4319</v>
      </c>
      <c r="AG759" s="6">
        <v>0.15</v>
      </c>
      <c r="AH759" s="6">
        <v>0.06</v>
      </c>
      <c r="AI759" s="6">
        <v>0</v>
      </c>
      <c r="AJ759" s="6">
        <v>3147</v>
      </c>
      <c r="AK759" s="6">
        <v>6315490.2699999996</v>
      </c>
      <c r="AL759" s="6">
        <v>14284840.27</v>
      </c>
      <c r="AM759" s="6" t="s">
        <v>355</v>
      </c>
      <c r="AN759" s="6" t="s">
        <v>356</v>
      </c>
      <c r="AO759" s="6">
        <v>87.2</v>
      </c>
      <c r="AP759" s="6">
        <v>48</v>
      </c>
      <c r="AQ759" s="6" t="s">
        <v>323</v>
      </c>
      <c r="AR759" s="6" t="s">
        <v>186</v>
      </c>
      <c r="AS759" s="6"/>
    </row>
    <row r="760" spans="1:45" x14ac:dyDescent="0.3">
      <c r="A760" s="7" t="s">
        <v>2576</v>
      </c>
      <c r="B760" s="7" t="s">
        <v>5347</v>
      </c>
      <c r="C760" s="7" t="s">
        <v>285</v>
      </c>
      <c r="D760" s="7" t="s">
        <v>180</v>
      </c>
      <c r="E760" s="7"/>
      <c r="F760" s="7" t="s">
        <v>339</v>
      </c>
      <c r="G760" s="7" t="s">
        <v>50</v>
      </c>
      <c r="H760" s="7" t="s">
        <v>4271</v>
      </c>
      <c r="I760" s="7" t="s">
        <v>240</v>
      </c>
      <c r="J760" s="7" t="s">
        <v>99</v>
      </c>
      <c r="K760" s="7" t="s">
        <v>184</v>
      </c>
      <c r="L760" s="7" t="s">
        <v>2577</v>
      </c>
      <c r="M760" s="7" t="s">
        <v>4186</v>
      </c>
      <c r="N760" s="7" t="s">
        <v>4134</v>
      </c>
      <c r="O760" s="7" t="s">
        <v>3599</v>
      </c>
      <c r="P760" s="7">
        <v>18</v>
      </c>
      <c r="Q760" s="7">
        <v>45164011</v>
      </c>
      <c r="R760" s="7">
        <v>0.02</v>
      </c>
      <c r="S760" s="7">
        <v>-0.01</v>
      </c>
      <c r="T760" s="7">
        <v>43818123.469999999</v>
      </c>
      <c r="U760" s="7">
        <v>26792645.120000001</v>
      </c>
      <c r="V760" s="7">
        <v>0.27</v>
      </c>
      <c r="W760" s="7">
        <v>0.14000000000000001</v>
      </c>
      <c r="X760" s="7" t="s">
        <v>2578</v>
      </c>
      <c r="Y760" s="7">
        <v>28443817.989999998</v>
      </c>
      <c r="Z760" s="7">
        <v>28634991.260000002</v>
      </c>
      <c r="AA760" s="7">
        <v>60</v>
      </c>
      <c r="AB760" s="7">
        <v>77</v>
      </c>
      <c r="AC760" s="7" t="s">
        <v>347</v>
      </c>
      <c r="AD760" s="7" t="s">
        <v>320</v>
      </c>
      <c r="AE760" s="7">
        <v>0.24</v>
      </c>
      <c r="AF760" s="7" t="s">
        <v>152</v>
      </c>
      <c r="AG760" s="7">
        <v>0.15</v>
      </c>
      <c r="AH760" s="7">
        <v>0.06</v>
      </c>
      <c r="AI760" s="7">
        <v>12</v>
      </c>
      <c r="AJ760" s="7">
        <v>3718</v>
      </c>
      <c r="AK760" s="7">
        <v>3901394.79</v>
      </c>
      <c r="AL760" s="7">
        <v>7020742.2199999997</v>
      </c>
      <c r="AM760" s="7" t="s">
        <v>343</v>
      </c>
      <c r="AN760" s="7" t="s">
        <v>356</v>
      </c>
      <c r="AO760" s="7">
        <v>64.599999999999994</v>
      </c>
      <c r="AP760" s="7">
        <v>12</v>
      </c>
      <c r="AQ760" s="7" t="s">
        <v>387</v>
      </c>
      <c r="AR760" s="7" t="s">
        <v>229</v>
      </c>
      <c r="AS760" s="7"/>
    </row>
    <row r="761" spans="1:45" x14ac:dyDescent="0.3">
      <c r="A761" s="6" t="s">
        <v>2579</v>
      </c>
      <c r="B761" s="6" t="s">
        <v>3791</v>
      </c>
      <c r="C761" s="6" t="s">
        <v>276</v>
      </c>
      <c r="D761" s="6"/>
      <c r="E761" s="6" t="s">
        <v>41</v>
      </c>
      <c r="F761" s="6" t="s">
        <v>350</v>
      </c>
      <c r="G761" s="6" t="s">
        <v>16</v>
      </c>
      <c r="H761" s="6" t="s">
        <v>216</v>
      </c>
      <c r="I761" s="6" t="s">
        <v>213</v>
      </c>
      <c r="J761" s="6" t="s">
        <v>130</v>
      </c>
      <c r="K761" s="6" t="s">
        <v>223</v>
      </c>
      <c r="L761" s="6" t="s">
        <v>2580</v>
      </c>
      <c r="M761" s="6" t="s">
        <v>4108</v>
      </c>
      <c r="N761" s="6"/>
      <c r="O761" s="6" t="s">
        <v>4501</v>
      </c>
      <c r="P761" s="6">
        <v>41</v>
      </c>
      <c r="Q761" s="6">
        <v>3878442</v>
      </c>
      <c r="R761" s="6" t="s">
        <v>3273</v>
      </c>
      <c r="S761" s="6">
        <v>0.2</v>
      </c>
      <c r="T761" s="6">
        <v>3862928.23</v>
      </c>
      <c r="U761" s="6">
        <v>3459400.93</v>
      </c>
      <c r="V761" s="6">
        <v>0.38</v>
      </c>
      <c r="W761" s="6">
        <v>0.18</v>
      </c>
      <c r="X761" s="6" t="s">
        <v>2581</v>
      </c>
      <c r="Y761" s="6">
        <v>3056624.42</v>
      </c>
      <c r="Z761" s="6">
        <v>1517768.32</v>
      </c>
      <c r="AA761" s="6">
        <v>30</v>
      </c>
      <c r="AB761" s="6">
        <v>65</v>
      </c>
      <c r="AC761" s="6" t="s">
        <v>342</v>
      </c>
      <c r="AD761" s="6" t="s">
        <v>354</v>
      </c>
      <c r="AE761" s="6">
        <v>0.41</v>
      </c>
      <c r="AF761" s="6" t="s">
        <v>4303</v>
      </c>
      <c r="AG761" s="6">
        <v>0.05</v>
      </c>
      <c r="AH761" s="6">
        <v>0.03</v>
      </c>
      <c r="AI761" s="6">
        <v>5</v>
      </c>
      <c r="AJ761" s="6">
        <v>3935</v>
      </c>
      <c r="AK761" s="6">
        <v>136829.53</v>
      </c>
      <c r="AL761" s="6">
        <v>1014144.55</v>
      </c>
      <c r="AM761" s="6"/>
      <c r="AN761" s="6" t="s">
        <v>330</v>
      </c>
      <c r="AO761" s="6">
        <v>65.2</v>
      </c>
      <c r="AP761" s="6">
        <v>60</v>
      </c>
      <c r="AQ761" s="6" t="s">
        <v>392</v>
      </c>
      <c r="AR761" s="6" t="s">
        <v>224</v>
      </c>
      <c r="AS761" s="6"/>
    </row>
    <row r="762" spans="1:45" x14ac:dyDescent="0.3">
      <c r="A762" s="7" t="s">
        <v>2582</v>
      </c>
      <c r="B762" s="7" t="s">
        <v>5348</v>
      </c>
      <c r="C762" s="7" t="s">
        <v>254</v>
      </c>
      <c r="D762" s="7" t="s">
        <v>274</v>
      </c>
      <c r="E762" s="7" t="s">
        <v>4376</v>
      </c>
      <c r="F762" s="7" t="s">
        <v>196</v>
      </c>
      <c r="G762" s="7" t="s">
        <v>50</v>
      </c>
      <c r="H762" s="7" t="s">
        <v>4280</v>
      </c>
      <c r="I762" s="7" t="s">
        <v>213</v>
      </c>
      <c r="J762" s="7" t="s">
        <v>136</v>
      </c>
      <c r="K762" s="7" t="s">
        <v>223</v>
      </c>
      <c r="L762" s="7" t="s">
        <v>2583</v>
      </c>
      <c r="M762" s="7" t="s">
        <v>3881</v>
      </c>
      <c r="N762" s="7"/>
      <c r="O762" s="7" t="s">
        <v>4158</v>
      </c>
      <c r="P762" s="7" t="s">
        <v>4275</v>
      </c>
      <c r="Q762" s="7">
        <v>36045548</v>
      </c>
      <c r="R762" s="7">
        <v>0.05</v>
      </c>
      <c r="S762" s="7">
        <v>-0.05</v>
      </c>
      <c r="T762" s="7">
        <v>32531107.07</v>
      </c>
      <c r="U762" s="7">
        <v>19825149.379999999</v>
      </c>
      <c r="V762" s="7">
        <v>0.11</v>
      </c>
      <c r="W762" s="7">
        <v>0.13</v>
      </c>
      <c r="X762" s="7" t="s">
        <v>2584</v>
      </c>
      <c r="Y762" s="7">
        <v>7098306.9900000002</v>
      </c>
      <c r="Z762" s="7">
        <v>6355668.3700000001</v>
      </c>
      <c r="AA762" s="7">
        <v>90</v>
      </c>
      <c r="AB762" s="7">
        <v>34</v>
      </c>
      <c r="AC762" s="7"/>
      <c r="AD762" s="7" t="s">
        <v>320</v>
      </c>
      <c r="AE762" s="7">
        <v>0.33</v>
      </c>
      <c r="AF762" s="7" t="s">
        <v>155</v>
      </c>
      <c r="AG762" s="7">
        <v>0.15</v>
      </c>
      <c r="AH762" s="7">
        <v>0.06</v>
      </c>
      <c r="AI762" s="7">
        <v>9</v>
      </c>
      <c r="AJ762" s="7">
        <v>4836</v>
      </c>
      <c r="AK762" s="7">
        <v>791132.01</v>
      </c>
      <c r="AL762" s="7">
        <v>8267080.2400000002</v>
      </c>
      <c r="AM762" s="7" t="s">
        <v>321</v>
      </c>
      <c r="AN762" s="7" t="s">
        <v>322</v>
      </c>
      <c r="AO762" s="7">
        <v>95.9</v>
      </c>
      <c r="AP762" s="7" t="s">
        <v>4275</v>
      </c>
      <c r="AQ762" s="7" t="s">
        <v>387</v>
      </c>
      <c r="AR762" s="7" t="s">
        <v>192</v>
      </c>
      <c r="AS762" s="7" t="s">
        <v>324</v>
      </c>
    </row>
    <row r="763" spans="1:45" x14ac:dyDescent="0.3">
      <c r="A763" s="6" t="s">
        <v>2585</v>
      </c>
      <c r="B763" s="6" t="s">
        <v>4117</v>
      </c>
      <c r="C763" s="6" t="s">
        <v>276</v>
      </c>
      <c r="D763" s="6" t="s">
        <v>238</v>
      </c>
      <c r="E763" s="6" t="s">
        <v>41</v>
      </c>
      <c r="F763" s="6" t="s">
        <v>350</v>
      </c>
      <c r="G763" s="6" t="s">
        <v>46</v>
      </c>
      <c r="H763" s="6" t="s">
        <v>4266</v>
      </c>
      <c r="I763" s="6" t="s">
        <v>4272</v>
      </c>
      <c r="J763" s="6" t="s">
        <v>105</v>
      </c>
      <c r="K763" s="6" t="s">
        <v>221</v>
      </c>
      <c r="L763" s="6" t="s">
        <v>2586</v>
      </c>
      <c r="M763" s="6" t="s">
        <v>5349</v>
      </c>
      <c r="N763" s="6"/>
      <c r="O763" s="6" t="s">
        <v>4903</v>
      </c>
      <c r="P763" s="6">
        <v>4</v>
      </c>
      <c r="Q763" s="6">
        <v>5543954</v>
      </c>
      <c r="R763" s="6">
        <v>0.21</v>
      </c>
      <c r="S763" s="6">
        <v>0.17</v>
      </c>
      <c r="T763" s="6">
        <v>5124276.68</v>
      </c>
      <c r="U763" s="6">
        <v>3486174.98</v>
      </c>
      <c r="V763" s="6">
        <v>0.21</v>
      </c>
      <c r="W763" s="6">
        <v>0.19</v>
      </c>
      <c r="X763" s="6" t="s">
        <v>2587</v>
      </c>
      <c r="Y763" s="6">
        <v>1075699.22</v>
      </c>
      <c r="Z763" s="6">
        <v>998794.68</v>
      </c>
      <c r="AA763" s="6">
        <v>60</v>
      </c>
      <c r="AB763" s="6">
        <v>35</v>
      </c>
      <c r="AC763" s="6" t="s">
        <v>353</v>
      </c>
      <c r="AD763" s="6" t="s">
        <v>381</v>
      </c>
      <c r="AE763" s="6">
        <v>0.81</v>
      </c>
      <c r="AF763" s="6" t="s">
        <v>155</v>
      </c>
      <c r="AG763" s="6">
        <v>0.05</v>
      </c>
      <c r="AH763" s="6">
        <v>0.1</v>
      </c>
      <c r="AI763" s="6">
        <v>3</v>
      </c>
      <c r="AJ763" s="6">
        <v>2991</v>
      </c>
      <c r="AK763" s="6"/>
      <c r="AL763" s="6">
        <v>646333.44999999995</v>
      </c>
      <c r="AM763" s="6" t="s">
        <v>73</v>
      </c>
      <c r="AN763" s="6" t="s">
        <v>321</v>
      </c>
      <c r="AO763" s="6">
        <v>91.3</v>
      </c>
      <c r="AP763" s="6">
        <v>60</v>
      </c>
      <c r="AQ763" s="6" t="s">
        <v>387</v>
      </c>
      <c r="AR763" s="6" t="s">
        <v>229</v>
      </c>
      <c r="AS763" s="6" t="s">
        <v>357</v>
      </c>
    </row>
    <row r="764" spans="1:45" x14ac:dyDescent="0.3">
      <c r="A764" s="7" t="s">
        <v>2588</v>
      </c>
      <c r="B764" s="7" t="s">
        <v>5350</v>
      </c>
      <c r="C764" s="7" t="s">
        <v>278</v>
      </c>
      <c r="D764" s="7" t="s">
        <v>232</v>
      </c>
      <c r="E764" s="7" t="s">
        <v>20</v>
      </c>
      <c r="F764" s="7" t="s">
        <v>31</v>
      </c>
      <c r="G764" s="7" t="s">
        <v>57</v>
      </c>
      <c r="H764" s="7" t="s">
        <v>212</v>
      </c>
      <c r="I764" s="7" t="s">
        <v>4272</v>
      </c>
      <c r="J764" s="7" t="s">
        <v>136</v>
      </c>
      <c r="K764" s="7" t="s">
        <v>210</v>
      </c>
      <c r="L764" s="7" t="s">
        <v>2589</v>
      </c>
      <c r="M764" s="7" t="s">
        <v>5351</v>
      </c>
      <c r="N764" s="7" t="s">
        <v>4426</v>
      </c>
      <c r="O764" s="7" t="s">
        <v>4873</v>
      </c>
      <c r="P764" s="7">
        <v>24</v>
      </c>
      <c r="Q764" s="7">
        <v>9632387</v>
      </c>
      <c r="R764" s="7">
        <v>0.08</v>
      </c>
      <c r="S764" s="7">
        <v>0.11</v>
      </c>
      <c r="T764" s="7">
        <v>9836593.5999999996</v>
      </c>
      <c r="U764" s="7">
        <v>8746701.4000000004</v>
      </c>
      <c r="V764" s="7">
        <v>0.34</v>
      </c>
      <c r="W764" s="7">
        <v>0.13</v>
      </c>
      <c r="X764" s="7" t="s">
        <v>2590</v>
      </c>
      <c r="Y764" s="7">
        <v>4070604.94</v>
      </c>
      <c r="Z764" s="7">
        <v>3504433.08</v>
      </c>
      <c r="AA764" s="7">
        <v>60</v>
      </c>
      <c r="AB764" s="7">
        <v>73</v>
      </c>
      <c r="AC764" s="7" t="s">
        <v>353</v>
      </c>
      <c r="AD764" s="7" t="s">
        <v>226</v>
      </c>
      <c r="AE764" s="7">
        <v>0.45</v>
      </c>
      <c r="AF764" s="7" t="s">
        <v>4303</v>
      </c>
      <c r="AG764" s="7">
        <v>0.05</v>
      </c>
      <c r="AH764" s="7">
        <v>0.02</v>
      </c>
      <c r="AI764" s="7">
        <v>1</v>
      </c>
      <c r="AJ764" s="7">
        <v>703</v>
      </c>
      <c r="AK764" s="7">
        <v>757946.08</v>
      </c>
      <c r="AL764" s="7">
        <v>2977669.41</v>
      </c>
      <c r="AM764" s="7" t="s">
        <v>385</v>
      </c>
      <c r="AN764" s="7"/>
      <c r="AO764" s="7">
        <v>87.4</v>
      </c>
      <c r="AP764" s="7">
        <v>48</v>
      </c>
      <c r="AQ764" s="7"/>
      <c r="AR764" s="7" t="s">
        <v>192</v>
      </c>
      <c r="AS764" s="7"/>
    </row>
    <row r="765" spans="1:45" x14ac:dyDescent="0.3">
      <c r="A765" s="6" t="s">
        <v>2591</v>
      </c>
      <c r="B765" s="6" t="s">
        <v>3988</v>
      </c>
      <c r="C765" s="6" t="s">
        <v>254</v>
      </c>
      <c r="D765" s="6" t="s">
        <v>562</v>
      </c>
      <c r="E765" s="6"/>
      <c r="F765" s="6" t="s">
        <v>196</v>
      </c>
      <c r="G765" s="6" t="s">
        <v>80</v>
      </c>
      <c r="H765" s="6" t="s">
        <v>197</v>
      </c>
      <c r="I765" s="6" t="s">
        <v>4289</v>
      </c>
      <c r="J765" s="6" t="s">
        <v>99</v>
      </c>
      <c r="K765" s="6" t="s">
        <v>223</v>
      </c>
      <c r="L765" s="6" t="s">
        <v>2592</v>
      </c>
      <c r="M765" s="6" t="s">
        <v>5352</v>
      </c>
      <c r="N765" s="6"/>
      <c r="O765" s="6" t="s">
        <v>4608</v>
      </c>
      <c r="P765" s="6">
        <v>17</v>
      </c>
      <c r="Q765" s="6">
        <v>45341465</v>
      </c>
      <c r="R765" s="6">
        <v>0.1</v>
      </c>
      <c r="S765" s="6">
        <v>-0.03</v>
      </c>
      <c r="T765" s="6">
        <v>39583098.950000003</v>
      </c>
      <c r="U765" s="6">
        <v>30104667.489999998</v>
      </c>
      <c r="V765" s="6">
        <v>0.13</v>
      </c>
      <c r="W765" s="6">
        <v>0.16</v>
      </c>
      <c r="X765" s="6" t="s">
        <v>2593</v>
      </c>
      <c r="Y765" s="6">
        <v>31232122.68</v>
      </c>
      <c r="Z765" s="6">
        <v>17297396.27</v>
      </c>
      <c r="AA765" s="6">
        <v>60</v>
      </c>
      <c r="AB765" s="6">
        <v>179</v>
      </c>
      <c r="AC765" s="6" t="s">
        <v>347</v>
      </c>
      <c r="AD765" s="6" t="s">
        <v>336</v>
      </c>
      <c r="AE765" s="6">
        <v>0.87</v>
      </c>
      <c r="AF765" s="6" t="s">
        <v>155</v>
      </c>
      <c r="AG765" s="6">
        <v>0.05</v>
      </c>
      <c r="AH765" s="6">
        <v>7.0000000000000007E-2</v>
      </c>
      <c r="AI765" s="6">
        <v>1</v>
      </c>
      <c r="AJ765" s="6">
        <v>2092</v>
      </c>
      <c r="AK765" s="6">
        <v>1348664.35</v>
      </c>
      <c r="AL765" s="6">
        <v>16302329.939999999</v>
      </c>
      <c r="AM765" s="6" t="s">
        <v>321</v>
      </c>
      <c r="AN765" s="6"/>
      <c r="AO765" s="6">
        <v>94.6</v>
      </c>
      <c r="AP765" s="6">
        <v>24</v>
      </c>
      <c r="AQ765" s="6" t="s">
        <v>387</v>
      </c>
      <c r="AR765" s="6" t="s">
        <v>192</v>
      </c>
      <c r="AS765" s="6" t="s">
        <v>324</v>
      </c>
    </row>
    <row r="766" spans="1:45" x14ac:dyDescent="0.3">
      <c r="A766" s="7" t="s">
        <v>2594</v>
      </c>
      <c r="B766" s="7" t="s">
        <v>5255</v>
      </c>
      <c r="C766" s="7" t="s">
        <v>222</v>
      </c>
      <c r="D766" s="7" t="s">
        <v>245</v>
      </c>
      <c r="E766" s="7" t="s">
        <v>20</v>
      </c>
      <c r="F766" s="7" t="s">
        <v>196</v>
      </c>
      <c r="G766" s="7" t="s">
        <v>66</v>
      </c>
      <c r="H766" s="7" t="s">
        <v>197</v>
      </c>
      <c r="I766" s="7" t="s">
        <v>4289</v>
      </c>
      <c r="J766" s="7" t="s">
        <v>136</v>
      </c>
      <c r="K766" s="7" t="s">
        <v>333</v>
      </c>
      <c r="L766" s="7" t="s">
        <v>2595</v>
      </c>
      <c r="M766" s="7" t="s">
        <v>5353</v>
      </c>
      <c r="N766" s="7" t="s">
        <v>5354</v>
      </c>
      <c r="O766" s="7" t="s">
        <v>4682</v>
      </c>
      <c r="P766" s="7">
        <v>4</v>
      </c>
      <c r="Q766" s="7">
        <v>46138724</v>
      </c>
      <c r="R766" s="7">
        <v>7.0000000000000007E-2</v>
      </c>
      <c r="S766" s="7">
        <v>-0.04</v>
      </c>
      <c r="T766" s="7">
        <v>41192652.789999999</v>
      </c>
      <c r="U766" s="7">
        <v>29054457.510000002</v>
      </c>
      <c r="V766" s="7">
        <v>0.23</v>
      </c>
      <c r="W766" s="7">
        <v>0.1</v>
      </c>
      <c r="X766" s="7" t="s">
        <v>2596</v>
      </c>
      <c r="Y766" s="7">
        <v>3388253.45</v>
      </c>
      <c r="Z766" s="7">
        <v>3073839.96</v>
      </c>
      <c r="AA766" s="7">
        <v>45</v>
      </c>
      <c r="AB766" s="7">
        <v>48</v>
      </c>
      <c r="AC766" s="7" t="s">
        <v>342</v>
      </c>
      <c r="AD766" s="7" t="s">
        <v>320</v>
      </c>
      <c r="AE766" s="7">
        <v>0.75</v>
      </c>
      <c r="AF766" s="7"/>
      <c r="AG766" s="7">
        <v>0.05</v>
      </c>
      <c r="AH766" s="7">
        <v>0.09</v>
      </c>
      <c r="AI766" s="7">
        <v>4</v>
      </c>
      <c r="AJ766" s="7"/>
      <c r="AK766" s="7">
        <v>4046119.74</v>
      </c>
      <c r="AL766" s="7">
        <v>18438896.390000001</v>
      </c>
      <c r="AM766" s="7"/>
      <c r="AN766" s="7" t="s">
        <v>330</v>
      </c>
      <c r="AO766" s="7">
        <v>76.5</v>
      </c>
      <c r="AP766" s="7">
        <v>60</v>
      </c>
      <c r="AQ766" s="7"/>
      <c r="AR766" s="7" t="s">
        <v>206</v>
      </c>
      <c r="AS766" s="7"/>
    </row>
    <row r="767" spans="1:45" x14ac:dyDescent="0.3">
      <c r="A767" s="6" t="s">
        <v>2597</v>
      </c>
      <c r="B767" s="6" t="s">
        <v>4094</v>
      </c>
      <c r="C767" s="6" t="s">
        <v>275</v>
      </c>
      <c r="D767" s="6" t="s">
        <v>245</v>
      </c>
      <c r="E767" s="6"/>
      <c r="F767" s="6" t="s">
        <v>31</v>
      </c>
      <c r="G767" s="6" t="s">
        <v>38</v>
      </c>
      <c r="H767" s="6" t="s">
        <v>197</v>
      </c>
      <c r="I767" s="6"/>
      <c r="J767" s="6" t="s">
        <v>99</v>
      </c>
      <c r="K767" s="6" t="s">
        <v>333</v>
      </c>
      <c r="L767" s="6" t="s">
        <v>2598</v>
      </c>
      <c r="M767" s="6" t="s">
        <v>5355</v>
      </c>
      <c r="N767" s="6" t="s">
        <v>4970</v>
      </c>
      <c r="O767" s="6" t="s">
        <v>4495</v>
      </c>
      <c r="P767" s="6">
        <v>45</v>
      </c>
      <c r="Q767" s="6">
        <v>29202087</v>
      </c>
      <c r="R767" s="6">
        <v>0.28999999999999998</v>
      </c>
      <c r="S767" s="6">
        <v>0.11</v>
      </c>
      <c r="T767" s="6">
        <v>23014164.760000002</v>
      </c>
      <c r="U767" s="6">
        <v>14123648.109999999</v>
      </c>
      <c r="V767" s="6">
        <v>0.36</v>
      </c>
      <c r="W767" s="6">
        <v>0.19</v>
      </c>
      <c r="X767" s="6"/>
      <c r="Y767" s="6">
        <v>12663227.789999999</v>
      </c>
      <c r="Z767" s="6">
        <v>11567864.810000001</v>
      </c>
      <c r="AA767" s="6">
        <v>120</v>
      </c>
      <c r="AB767" s="6">
        <v>75</v>
      </c>
      <c r="AC767" s="6" t="s">
        <v>353</v>
      </c>
      <c r="AD767" s="6" t="s">
        <v>320</v>
      </c>
      <c r="AE767" s="6">
        <v>0.43</v>
      </c>
      <c r="AF767" s="6" t="s">
        <v>4303</v>
      </c>
      <c r="AG767" s="6">
        <v>0.15</v>
      </c>
      <c r="AH767" s="6">
        <v>7.0000000000000007E-2</v>
      </c>
      <c r="AI767" s="6">
        <v>0</v>
      </c>
      <c r="AJ767" s="6">
        <v>4376</v>
      </c>
      <c r="AK767" s="6">
        <v>5730310.3899999997</v>
      </c>
      <c r="AL767" s="6">
        <v>3845637.66</v>
      </c>
      <c r="AM767" s="6" t="s">
        <v>391</v>
      </c>
      <c r="AN767" s="6" t="s">
        <v>330</v>
      </c>
      <c r="AO767" s="6">
        <v>60.4</v>
      </c>
      <c r="AP767" s="6">
        <v>36</v>
      </c>
      <c r="AQ767" s="6" t="s">
        <v>387</v>
      </c>
      <c r="AR767" s="6" t="s">
        <v>229</v>
      </c>
      <c r="AS767" s="6" t="s">
        <v>357</v>
      </c>
    </row>
    <row r="768" spans="1:45" x14ac:dyDescent="0.3">
      <c r="A768" s="7" t="s">
        <v>2599</v>
      </c>
      <c r="B768" s="7" t="s">
        <v>4159</v>
      </c>
      <c r="C768" s="7" t="s">
        <v>256</v>
      </c>
      <c r="D768" s="7" t="s">
        <v>245</v>
      </c>
      <c r="E768" s="7" t="s">
        <v>52</v>
      </c>
      <c r="F768" s="7" t="s">
        <v>75</v>
      </c>
      <c r="G768" s="7" t="s">
        <v>73</v>
      </c>
      <c r="H768" s="7" t="s">
        <v>4326</v>
      </c>
      <c r="I768" s="7" t="s">
        <v>240</v>
      </c>
      <c r="J768" s="7" t="s">
        <v>133</v>
      </c>
      <c r="K768" s="7" t="s">
        <v>221</v>
      </c>
      <c r="L768" s="7" t="s">
        <v>2600</v>
      </c>
      <c r="M768" s="7" t="s">
        <v>4160</v>
      </c>
      <c r="N768" s="7" t="s">
        <v>5321</v>
      </c>
      <c r="O768" s="7" t="s">
        <v>4274</v>
      </c>
      <c r="P768" s="7">
        <v>4</v>
      </c>
      <c r="Q768" s="7">
        <v>36534060</v>
      </c>
      <c r="R768" s="7">
        <v>0.23</v>
      </c>
      <c r="S768" s="7">
        <v>0.14000000000000001</v>
      </c>
      <c r="T768" s="7">
        <v>32069597.870000001</v>
      </c>
      <c r="U768" s="7">
        <v>20265390.010000002</v>
      </c>
      <c r="V768" s="7">
        <v>0.36</v>
      </c>
      <c r="W768" s="7">
        <v>0.16</v>
      </c>
      <c r="X768" s="7" t="s">
        <v>2601</v>
      </c>
      <c r="Y768" s="7">
        <v>1614827.53</v>
      </c>
      <c r="Z768" s="7">
        <v>571736.1</v>
      </c>
      <c r="AA768" s="7">
        <v>30</v>
      </c>
      <c r="AB768" s="7">
        <v>51</v>
      </c>
      <c r="AC768" s="7" t="s">
        <v>342</v>
      </c>
      <c r="AD768" s="7" t="s">
        <v>336</v>
      </c>
      <c r="AE768" s="7">
        <v>0.76</v>
      </c>
      <c r="AF768" s="7" t="s">
        <v>159</v>
      </c>
      <c r="AG768" s="7">
        <v>0.1</v>
      </c>
      <c r="AH768" s="7">
        <v>0.09</v>
      </c>
      <c r="AI768" s="7">
        <v>2</v>
      </c>
      <c r="AJ768" s="7">
        <v>1822</v>
      </c>
      <c r="AK768" s="7">
        <v>3079383.14</v>
      </c>
      <c r="AL768" s="7">
        <v>15199659.5</v>
      </c>
      <c r="AM768" s="7" t="s">
        <v>385</v>
      </c>
      <c r="AN768" s="7" t="s">
        <v>321</v>
      </c>
      <c r="AO768" s="7">
        <v>53.8</v>
      </c>
      <c r="AP768" s="7" t="s">
        <v>4275</v>
      </c>
      <c r="AQ768" s="7" t="s">
        <v>387</v>
      </c>
      <c r="AR768" s="7" t="s">
        <v>192</v>
      </c>
      <c r="AS768" s="7" t="s">
        <v>188</v>
      </c>
    </row>
    <row r="769" spans="1:45" x14ac:dyDescent="0.3">
      <c r="A769" s="6" t="s">
        <v>2602</v>
      </c>
      <c r="B769" s="6" t="s">
        <v>4531</v>
      </c>
      <c r="C769" s="6" t="s">
        <v>257</v>
      </c>
      <c r="D769" s="6" t="s">
        <v>562</v>
      </c>
      <c r="E769" s="6" t="s">
        <v>20</v>
      </c>
      <c r="F769" s="6" t="s">
        <v>35</v>
      </c>
      <c r="G769" s="6" t="s">
        <v>38</v>
      </c>
      <c r="H769" s="6" t="s">
        <v>212</v>
      </c>
      <c r="I769" s="6" t="s">
        <v>246</v>
      </c>
      <c r="J769" s="6" t="s">
        <v>136</v>
      </c>
      <c r="K769" s="6" t="s">
        <v>204</v>
      </c>
      <c r="L769" s="6" t="s">
        <v>2603</v>
      </c>
      <c r="M769" s="6" t="s">
        <v>5356</v>
      </c>
      <c r="N769" s="6"/>
      <c r="O769" s="6" t="s">
        <v>4274</v>
      </c>
      <c r="P769" s="6" t="s">
        <v>4275</v>
      </c>
      <c r="Q769" s="6">
        <v>25552969</v>
      </c>
      <c r="R769" s="6">
        <v>0.02</v>
      </c>
      <c r="S769" s="6">
        <v>0.02</v>
      </c>
      <c r="T769" s="6">
        <v>25542747.809999999</v>
      </c>
      <c r="U769" s="6">
        <v>19985230.82</v>
      </c>
      <c r="V769" s="6">
        <v>0.14000000000000001</v>
      </c>
      <c r="W769" s="6">
        <v>0.14000000000000001</v>
      </c>
      <c r="X769" s="6" t="s">
        <v>2604</v>
      </c>
      <c r="Y769" s="6">
        <v>13353404.07</v>
      </c>
      <c r="Z769" s="6">
        <v>11093388.93</v>
      </c>
      <c r="AA769" s="6">
        <v>30</v>
      </c>
      <c r="AB769" s="6">
        <v>102</v>
      </c>
      <c r="AC769" s="6"/>
      <c r="AD769" s="6" t="s">
        <v>336</v>
      </c>
      <c r="AE769" s="6">
        <v>0.51</v>
      </c>
      <c r="AF769" s="6" t="s">
        <v>152</v>
      </c>
      <c r="AG769" s="6">
        <v>0.05</v>
      </c>
      <c r="AH769" s="6">
        <v>0.02</v>
      </c>
      <c r="AI769" s="6">
        <v>9</v>
      </c>
      <c r="AJ769" s="6">
        <v>2834</v>
      </c>
      <c r="AK769" s="6">
        <v>2105424.08</v>
      </c>
      <c r="AL769" s="6">
        <v>9481537.25</v>
      </c>
      <c r="AM769" s="6" t="s">
        <v>321</v>
      </c>
      <c r="AN769" s="6"/>
      <c r="AO769" s="6">
        <v>52.3</v>
      </c>
      <c r="AP769" s="6">
        <v>60</v>
      </c>
      <c r="AQ769" s="6" t="s">
        <v>387</v>
      </c>
      <c r="AR769" s="6" t="s">
        <v>224</v>
      </c>
      <c r="AS769" s="6" t="s">
        <v>324</v>
      </c>
    </row>
    <row r="770" spans="1:45" x14ac:dyDescent="0.3">
      <c r="A770" s="7" t="s">
        <v>2605</v>
      </c>
      <c r="B770" s="7" t="s">
        <v>4547</v>
      </c>
      <c r="C770" s="7" t="s">
        <v>241</v>
      </c>
      <c r="D770" s="7" t="s">
        <v>253</v>
      </c>
      <c r="E770" s="7"/>
      <c r="F770" s="7" t="s">
        <v>339</v>
      </c>
      <c r="G770" s="7" t="s">
        <v>62</v>
      </c>
      <c r="H770" s="7"/>
      <c r="I770" s="7" t="s">
        <v>4307</v>
      </c>
      <c r="J770" s="7" t="s">
        <v>99</v>
      </c>
      <c r="K770" s="7" t="s">
        <v>184</v>
      </c>
      <c r="L770" s="7" t="s">
        <v>2606</v>
      </c>
      <c r="M770" s="7" t="s">
        <v>5357</v>
      </c>
      <c r="N770" s="7" t="s">
        <v>4888</v>
      </c>
      <c r="O770" s="7" t="s">
        <v>5358</v>
      </c>
      <c r="P770" s="7">
        <v>37</v>
      </c>
      <c r="Q770" s="7">
        <v>42373355</v>
      </c>
      <c r="R770" s="7">
        <v>0.17</v>
      </c>
      <c r="S770" s="7">
        <v>0.13</v>
      </c>
      <c r="T770" s="7">
        <v>39741969.649999999</v>
      </c>
      <c r="U770" s="7">
        <v>33234540.370000001</v>
      </c>
      <c r="V770" s="7">
        <v>0.05</v>
      </c>
      <c r="W770" s="7">
        <v>7.0000000000000007E-2</v>
      </c>
      <c r="X770" s="7" t="s">
        <v>2607</v>
      </c>
      <c r="Y770" s="7">
        <v>23378053.859999999</v>
      </c>
      <c r="Z770" s="7">
        <v>21046922.32</v>
      </c>
      <c r="AA770" s="7">
        <v>60</v>
      </c>
      <c r="AB770" s="7">
        <v>126</v>
      </c>
      <c r="AC770" s="7" t="s">
        <v>347</v>
      </c>
      <c r="AD770" s="7" t="s">
        <v>336</v>
      </c>
      <c r="AE770" s="7">
        <v>0.93</v>
      </c>
      <c r="AF770" s="7" t="s">
        <v>4312</v>
      </c>
      <c r="AG770" s="7">
        <v>0.05</v>
      </c>
      <c r="AH770" s="7">
        <v>0.09</v>
      </c>
      <c r="AI770" s="7">
        <v>0</v>
      </c>
      <c r="AJ770" s="7">
        <v>3566</v>
      </c>
      <c r="AK770" s="7">
        <v>8015061.0599999996</v>
      </c>
      <c r="AL770" s="7">
        <v>10720588.529999999</v>
      </c>
      <c r="AM770" s="7" t="s">
        <v>343</v>
      </c>
      <c r="AN770" s="7"/>
      <c r="AO770" s="7">
        <v>66.900000000000006</v>
      </c>
      <c r="AP770" s="7">
        <v>36</v>
      </c>
      <c r="AQ770" s="7"/>
      <c r="AR770" s="7" t="s">
        <v>186</v>
      </c>
      <c r="AS770" s="7" t="s">
        <v>357</v>
      </c>
    </row>
    <row r="771" spans="1:45" x14ac:dyDescent="0.3">
      <c r="A771" s="6" t="s">
        <v>2608</v>
      </c>
      <c r="B771" s="6" t="s">
        <v>4715</v>
      </c>
      <c r="C771" s="6" t="s">
        <v>279</v>
      </c>
      <c r="D771" s="6" t="s">
        <v>248</v>
      </c>
      <c r="E771" s="6"/>
      <c r="F771" s="6" t="s">
        <v>339</v>
      </c>
      <c r="G771" s="6" t="s">
        <v>80</v>
      </c>
      <c r="H771" s="6" t="s">
        <v>212</v>
      </c>
      <c r="I771" s="6" t="s">
        <v>4291</v>
      </c>
      <c r="J771" s="6" t="s">
        <v>99</v>
      </c>
      <c r="K771" s="6" t="s">
        <v>221</v>
      </c>
      <c r="L771" s="6" t="s">
        <v>2609</v>
      </c>
      <c r="M771" s="6" t="s">
        <v>4161</v>
      </c>
      <c r="N771" s="6" t="s">
        <v>2610</v>
      </c>
      <c r="O771" s="6" t="s">
        <v>3818</v>
      </c>
      <c r="P771" s="6" t="s">
        <v>4275</v>
      </c>
      <c r="Q771" s="6">
        <v>11196053</v>
      </c>
      <c r="R771" s="6">
        <v>0.04</v>
      </c>
      <c r="S771" s="6">
        <v>0.15</v>
      </c>
      <c r="T771" s="6">
        <v>12360442.51</v>
      </c>
      <c r="U771" s="6">
        <v>10020738.859999999</v>
      </c>
      <c r="V771" s="6">
        <v>0.05</v>
      </c>
      <c r="W771" s="6">
        <v>0.13</v>
      </c>
      <c r="X771" s="6" t="s">
        <v>2611</v>
      </c>
      <c r="Y771" s="6">
        <v>2459563.0299999998</v>
      </c>
      <c r="Z771" s="6">
        <v>1501887.41</v>
      </c>
      <c r="AA771" s="6">
        <v>45</v>
      </c>
      <c r="AB771" s="6">
        <v>176</v>
      </c>
      <c r="AC771" s="6" t="s">
        <v>347</v>
      </c>
      <c r="AD771" s="6" t="s">
        <v>354</v>
      </c>
      <c r="AE771" s="6">
        <v>0.28000000000000003</v>
      </c>
      <c r="AF771" s="6" t="s">
        <v>4361</v>
      </c>
      <c r="AG771" s="6">
        <v>0.05</v>
      </c>
      <c r="AH771" s="6">
        <v>0.06</v>
      </c>
      <c r="AI771" s="6">
        <v>1</v>
      </c>
      <c r="AJ771" s="6">
        <v>3020</v>
      </c>
      <c r="AK771" s="6">
        <v>1196242.78</v>
      </c>
      <c r="AL771" s="6">
        <v>3628997.18</v>
      </c>
      <c r="AM771" s="6" t="s">
        <v>391</v>
      </c>
      <c r="AN771" s="6" t="s">
        <v>321</v>
      </c>
      <c r="AO771" s="6">
        <v>92.6</v>
      </c>
      <c r="AP771" s="6">
        <v>48</v>
      </c>
      <c r="AQ771" s="6" t="s">
        <v>323</v>
      </c>
      <c r="AR771" s="6" t="s">
        <v>206</v>
      </c>
      <c r="AS771" s="6" t="s">
        <v>377</v>
      </c>
    </row>
    <row r="772" spans="1:45" x14ac:dyDescent="0.3">
      <c r="A772" s="7" t="s">
        <v>2612</v>
      </c>
      <c r="B772" s="7" t="s">
        <v>3931</v>
      </c>
      <c r="C772" s="7" t="s">
        <v>252</v>
      </c>
      <c r="D772" s="7" t="s">
        <v>242</v>
      </c>
      <c r="E772" s="7" t="s">
        <v>113</v>
      </c>
      <c r="F772" s="7" t="s">
        <v>367</v>
      </c>
      <c r="G772" s="7" t="s">
        <v>33</v>
      </c>
      <c r="H772" s="7" t="s">
        <v>4326</v>
      </c>
      <c r="I772" s="7" t="s">
        <v>246</v>
      </c>
      <c r="J772" s="7" t="s">
        <v>111</v>
      </c>
      <c r="K772" s="7" t="s">
        <v>221</v>
      </c>
      <c r="L772" s="7" t="s">
        <v>2613</v>
      </c>
      <c r="M772" s="7" t="s">
        <v>5359</v>
      </c>
      <c r="N772" s="7"/>
      <c r="O772" s="7" t="s">
        <v>5197</v>
      </c>
      <c r="P772" s="7">
        <v>13</v>
      </c>
      <c r="Q772" s="7">
        <v>29267801</v>
      </c>
      <c r="R772" s="7">
        <v>0.1</v>
      </c>
      <c r="S772" s="7">
        <v>0.2</v>
      </c>
      <c r="T772" s="7">
        <v>31609225.079999998</v>
      </c>
      <c r="U772" s="7">
        <v>25137047.32</v>
      </c>
      <c r="V772" s="7">
        <v>0.31</v>
      </c>
      <c r="W772" s="7">
        <v>0.05</v>
      </c>
      <c r="X772" s="7" t="s">
        <v>2614</v>
      </c>
      <c r="Y772" s="7">
        <v>23920211.829999998</v>
      </c>
      <c r="Z772" s="7">
        <v>9105943.5899999999</v>
      </c>
      <c r="AA772" s="7">
        <v>90</v>
      </c>
      <c r="AB772" s="7">
        <v>61</v>
      </c>
      <c r="AC772" s="7" t="s">
        <v>376</v>
      </c>
      <c r="AD772" s="7" t="s">
        <v>336</v>
      </c>
      <c r="AE772" s="7">
        <v>0.38</v>
      </c>
      <c r="AF772" s="7" t="s">
        <v>155</v>
      </c>
      <c r="AG772" s="7">
        <v>0.15</v>
      </c>
      <c r="AH772" s="7">
        <v>0.09</v>
      </c>
      <c r="AI772" s="7">
        <v>13</v>
      </c>
      <c r="AJ772" s="7">
        <v>516</v>
      </c>
      <c r="AK772" s="7">
        <v>6419359.8200000003</v>
      </c>
      <c r="AL772" s="7">
        <v>7600715.8700000001</v>
      </c>
      <c r="AM772" s="7" t="s">
        <v>385</v>
      </c>
      <c r="AN772" s="7" t="s">
        <v>386</v>
      </c>
      <c r="AO772" s="7">
        <v>50.8</v>
      </c>
      <c r="AP772" s="7">
        <v>12</v>
      </c>
      <c r="AQ772" s="7"/>
      <c r="AR772" s="7" t="s">
        <v>224</v>
      </c>
      <c r="AS772" s="7" t="s">
        <v>188</v>
      </c>
    </row>
    <row r="773" spans="1:45" x14ac:dyDescent="0.3">
      <c r="A773" s="6" t="s">
        <v>2615</v>
      </c>
      <c r="B773" s="6" t="s">
        <v>4785</v>
      </c>
      <c r="C773" s="6" t="s">
        <v>278</v>
      </c>
      <c r="D773" s="6" t="s">
        <v>394</v>
      </c>
      <c r="E773" s="6" t="s">
        <v>4265</v>
      </c>
      <c r="F773" s="6" t="s">
        <v>228</v>
      </c>
      <c r="G773" s="6" t="s">
        <v>78</v>
      </c>
      <c r="H773" s="6" t="s">
        <v>216</v>
      </c>
      <c r="I773" s="6" t="s">
        <v>183</v>
      </c>
      <c r="J773" s="6" t="s">
        <v>105</v>
      </c>
      <c r="K773" s="6" t="s">
        <v>210</v>
      </c>
      <c r="L773" s="6" t="s">
        <v>2616</v>
      </c>
      <c r="M773" s="6" t="s">
        <v>4162</v>
      </c>
      <c r="N773" s="6" t="s">
        <v>5360</v>
      </c>
      <c r="O773" s="6" t="s">
        <v>4274</v>
      </c>
      <c r="P773" s="6">
        <v>37</v>
      </c>
      <c r="Q773" s="6">
        <v>43854322</v>
      </c>
      <c r="R773" s="6">
        <v>0.11</v>
      </c>
      <c r="S773" s="6">
        <v>0.18</v>
      </c>
      <c r="T773" s="6">
        <v>46055808.960000001</v>
      </c>
      <c r="U773" s="6">
        <v>40643974.140000001</v>
      </c>
      <c r="V773" s="6">
        <v>0.13</v>
      </c>
      <c r="W773" s="6">
        <v>0.19</v>
      </c>
      <c r="X773" s="6" t="s">
        <v>2617</v>
      </c>
      <c r="Y773" s="6">
        <v>8211987.7400000002</v>
      </c>
      <c r="Z773" s="6" t="s">
        <v>4357</v>
      </c>
      <c r="AA773" s="6">
        <v>90</v>
      </c>
      <c r="AB773" s="6">
        <v>20</v>
      </c>
      <c r="AC773" s="6" t="s">
        <v>329</v>
      </c>
      <c r="AD773" s="6" t="s">
        <v>354</v>
      </c>
      <c r="AE773" s="6">
        <v>0.71</v>
      </c>
      <c r="AF773" s="6" t="s">
        <v>4319</v>
      </c>
      <c r="AG773" s="6">
        <v>0.1</v>
      </c>
      <c r="AH773" s="6">
        <v>7.0000000000000007E-2</v>
      </c>
      <c r="AI773" s="6">
        <v>11</v>
      </c>
      <c r="AJ773" s="6">
        <v>4288</v>
      </c>
      <c r="AK773" s="6">
        <v>7441442.5099999998</v>
      </c>
      <c r="AL773" s="6">
        <v>22400713.379999999</v>
      </c>
      <c r="AM773" s="6" t="s">
        <v>391</v>
      </c>
      <c r="AN773" s="6" t="s">
        <v>386</v>
      </c>
      <c r="AO773" s="6">
        <v>60.2</v>
      </c>
      <c r="AP773" s="6">
        <v>48</v>
      </c>
      <c r="AQ773" s="6" t="s">
        <v>323</v>
      </c>
      <c r="AR773" s="6" t="s">
        <v>229</v>
      </c>
      <c r="AS773" s="6" t="s">
        <v>188</v>
      </c>
    </row>
    <row r="774" spans="1:45" x14ac:dyDescent="0.3">
      <c r="A774" s="7" t="s">
        <v>2515</v>
      </c>
      <c r="B774" s="7" t="s">
        <v>5361</v>
      </c>
      <c r="C774" s="7" t="s">
        <v>271</v>
      </c>
      <c r="D774" s="7" t="s">
        <v>209</v>
      </c>
      <c r="E774" s="7" t="s">
        <v>4325</v>
      </c>
      <c r="F774" s="7" t="s">
        <v>339</v>
      </c>
      <c r="G774" s="7" t="s">
        <v>33</v>
      </c>
      <c r="H774" s="7"/>
      <c r="I774" s="7" t="s">
        <v>240</v>
      </c>
      <c r="J774" s="7" t="s">
        <v>115</v>
      </c>
      <c r="K774" s="7" t="s">
        <v>199</v>
      </c>
      <c r="L774" s="7" t="s">
        <v>4163</v>
      </c>
      <c r="M774" s="7" t="s">
        <v>4759</v>
      </c>
      <c r="N774" s="7" t="s">
        <v>4164</v>
      </c>
      <c r="O774" s="7" t="s">
        <v>4274</v>
      </c>
      <c r="P774" s="7">
        <v>16</v>
      </c>
      <c r="Q774" s="7">
        <v>6530935</v>
      </c>
      <c r="R774" s="7">
        <v>0.28000000000000003</v>
      </c>
      <c r="S774" s="7">
        <v>7.0000000000000007E-2</v>
      </c>
      <c r="T774" s="7">
        <v>5031432.32</v>
      </c>
      <c r="U774" s="7">
        <v>4319310.45</v>
      </c>
      <c r="V774" s="7">
        <v>0.23</v>
      </c>
      <c r="W774" s="7">
        <v>7.0000000000000007E-2</v>
      </c>
      <c r="X774" s="7" t="s">
        <v>4165</v>
      </c>
      <c r="Y774" s="7">
        <v>1492805.11</v>
      </c>
      <c r="Z774" s="7">
        <v>472431.75</v>
      </c>
      <c r="AA774" s="7">
        <v>90</v>
      </c>
      <c r="AB774" s="7">
        <v>74</v>
      </c>
      <c r="AC774" s="7" t="s">
        <v>342</v>
      </c>
      <c r="AD774" s="7" t="s">
        <v>226</v>
      </c>
      <c r="AE774" s="7">
        <v>0.52</v>
      </c>
      <c r="AF774" s="7" t="s">
        <v>4319</v>
      </c>
      <c r="AG774" s="7">
        <v>0.05</v>
      </c>
      <c r="AH774" s="7">
        <v>0.06</v>
      </c>
      <c r="AI774" s="7">
        <v>6</v>
      </c>
      <c r="AJ774" s="7">
        <v>67</v>
      </c>
      <c r="AK774" s="7">
        <v>221311.31</v>
      </c>
      <c r="AL774" s="7">
        <v>2248317.56</v>
      </c>
      <c r="AM774" s="7" t="s">
        <v>391</v>
      </c>
      <c r="AN774" s="7"/>
      <c r="AO774" s="7">
        <v>78</v>
      </c>
      <c r="AP774" s="7">
        <v>48</v>
      </c>
      <c r="AQ774" s="7" t="s">
        <v>392</v>
      </c>
      <c r="AR774" s="7" t="s">
        <v>206</v>
      </c>
      <c r="AS774" s="7" t="s">
        <v>361</v>
      </c>
    </row>
    <row r="775" spans="1:45" x14ac:dyDescent="0.3">
      <c r="A775" s="6" t="s">
        <v>2618</v>
      </c>
      <c r="B775" s="6" t="s">
        <v>5362</v>
      </c>
      <c r="C775" s="6" t="s">
        <v>275</v>
      </c>
      <c r="D775" s="6"/>
      <c r="E775" s="6" t="s">
        <v>41</v>
      </c>
      <c r="F775" s="6" t="s">
        <v>363</v>
      </c>
      <c r="G775" s="6" t="s">
        <v>66</v>
      </c>
      <c r="H775" s="6" t="s">
        <v>4266</v>
      </c>
      <c r="I775" s="6" t="s">
        <v>240</v>
      </c>
      <c r="J775" s="6" t="s">
        <v>105</v>
      </c>
      <c r="K775" s="6" t="s">
        <v>223</v>
      </c>
      <c r="L775" s="6" t="s">
        <v>2619</v>
      </c>
      <c r="M775" s="6" t="s">
        <v>5363</v>
      </c>
      <c r="N775" s="6" t="s">
        <v>4992</v>
      </c>
      <c r="O775" s="6" t="s">
        <v>5364</v>
      </c>
      <c r="P775" s="6">
        <v>37</v>
      </c>
      <c r="Q775" s="6">
        <v>34831123</v>
      </c>
      <c r="R775" s="6">
        <v>0.28000000000000003</v>
      </c>
      <c r="S775" s="6">
        <v>0.19</v>
      </c>
      <c r="T775" s="6">
        <v>29843306.190000001</v>
      </c>
      <c r="U775" s="6">
        <v>18970881.960000001</v>
      </c>
      <c r="V775" s="6">
        <v>7.0000000000000007E-2</v>
      </c>
      <c r="W775" s="6">
        <v>0.13</v>
      </c>
      <c r="X775" s="6" t="s">
        <v>2620</v>
      </c>
      <c r="Y775" s="6" t="s">
        <v>158</v>
      </c>
      <c r="Z775" s="6">
        <v>3410147.95</v>
      </c>
      <c r="AA775" s="6">
        <v>30</v>
      </c>
      <c r="AB775" s="6">
        <v>123</v>
      </c>
      <c r="AC775" s="6" t="s">
        <v>347</v>
      </c>
      <c r="AD775" s="6" t="s">
        <v>226</v>
      </c>
      <c r="AE775" s="6">
        <v>0.4</v>
      </c>
      <c r="AF775" s="6" t="s">
        <v>4276</v>
      </c>
      <c r="AG775" s="6">
        <v>0.1</v>
      </c>
      <c r="AH775" s="6">
        <v>0.02</v>
      </c>
      <c r="AI775" s="6">
        <v>11</v>
      </c>
      <c r="AJ775" s="6">
        <v>1054</v>
      </c>
      <c r="AK775" s="6">
        <v>3083733</v>
      </c>
      <c r="AL775" s="6">
        <v>14366243.25</v>
      </c>
      <c r="AM775" s="6" t="s">
        <v>385</v>
      </c>
      <c r="AN775" s="6" t="s">
        <v>322</v>
      </c>
      <c r="AO775" s="6">
        <v>80.3</v>
      </c>
      <c r="AP775" s="6">
        <v>60</v>
      </c>
      <c r="AQ775" s="6"/>
      <c r="AR775" s="6" t="s">
        <v>224</v>
      </c>
      <c r="AS775" s="6" t="s">
        <v>357</v>
      </c>
    </row>
    <row r="776" spans="1:45" x14ac:dyDescent="0.3">
      <c r="A776" s="7" t="s">
        <v>2621</v>
      </c>
      <c r="B776" s="7" t="s">
        <v>3894</v>
      </c>
      <c r="C776" s="7" t="s">
        <v>276</v>
      </c>
      <c r="D776" s="7" t="s">
        <v>253</v>
      </c>
      <c r="E776" s="7" t="s">
        <v>4325</v>
      </c>
      <c r="F776" s="7" t="s">
        <v>339</v>
      </c>
      <c r="G776" s="7" t="s">
        <v>66</v>
      </c>
      <c r="H776" s="7" t="s">
        <v>4275</v>
      </c>
      <c r="I776" s="7" t="s">
        <v>246</v>
      </c>
      <c r="J776" s="7" t="s">
        <v>115</v>
      </c>
      <c r="K776" s="7" t="s">
        <v>184</v>
      </c>
      <c r="L776" s="7" t="s">
        <v>2622</v>
      </c>
      <c r="M776" s="7" t="s">
        <v>4095</v>
      </c>
      <c r="N776" s="7" t="s">
        <v>3715</v>
      </c>
      <c r="O776" s="7" t="s">
        <v>3982</v>
      </c>
      <c r="P776" s="7">
        <v>27</v>
      </c>
      <c r="Q776" s="7">
        <v>7439958</v>
      </c>
      <c r="R776" s="7">
        <v>0.18</v>
      </c>
      <c r="S776" s="7">
        <v>0.13</v>
      </c>
      <c r="T776" s="7">
        <v>6893865.0800000001</v>
      </c>
      <c r="U776" s="7">
        <v>6195374.1900000004</v>
      </c>
      <c r="V776" s="7">
        <v>0.34</v>
      </c>
      <c r="W776" s="7">
        <v>0.05</v>
      </c>
      <c r="X776" s="7" t="s">
        <v>2623</v>
      </c>
      <c r="Y776" s="7">
        <v>2412296.7999999998</v>
      </c>
      <c r="Z776" s="7">
        <v>1509873.82</v>
      </c>
      <c r="AA776" s="7">
        <v>60</v>
      </c>
      <c r="AB776" s="7">
        <v>26</v>
      </c>
      <c r="AC776" s="7" t="s">
        <v>376</v>
      </c>
      <c r="AD776" s="7" t="s">
        <v>226</v>
      </c>
      <c r="AE776" s="7">
        <v>0.15</v>
      </c>
      <c r="AF776" s="7" t="s">
        <v>162</v>
      </c>
      <c r="AG776" s="7">
        <v>0.15</v>
      </c>
      <c r="AH776" s="7">
        <v>7.0000000000000007E-2</v>
      </c>
      <c r="AI776" s="7">
        <v>1</v>
      </c>
      <c r="AJ776" s="7">
        <v>2077</v>
      </c>
      <c r="AK776" s="7"/>
      <c r="AL776" s="7">
        <v>2501144.83</v>
      </c>
      <c r="AM776" s="7" t="s">
        <v>355</v>
      </c>
      <c r="AN776" s="7" t="s">
        <v>348</v>
      </c>
      <c r="AO776" s="7"/>
      <c r="AP776" s="7" t="s">
        <v>4275</v>
      </c>
      <c r="AQ776" s="7" t="s">
        <v>392</v>
      </c>
      <c r="AR776" s="7" t="s">
        <v>229</v>
      </c>
      <c r="AS776" s="7" t="s">
        <v>324</v>
      </c>
    </row>
    <row r="777" spans="1:45" x14ac:dyDescent="0.3">
      <c r="A777" s="6" t="s">
        <v>2624</v>
      </c>
      <c r="B777" s="6" t="s">
        <v>2093</v>
      </c>
      <c r="C777" s="6" t="s">
        <v>235</v>
      </c>
      <c r="D777" s="6" t="s">
        <v>209</v>
      </c>
      <c r="E777" s="6" t="s">
        <v>41</v>
      </c>
      <c r="F777" s="6" t="s">
        <v>350</v>
      </c>
      <c r="G777" s="6" t="s">
        <v>50</v>
      </c>
      <c r="H777" s="6" t="s">
        <v>4326</v>
      </c>
      <c r="I777" s="6" t="s">
        <v>213</v>
      </c>
      <c r="J777" s="6" t="s">
        <v>105</v>
      </c>
      <c r="K777" s="6" t="s">
        <v>184</v>
      </c>
      <c r="L777" s="6" t="s">
        <v>2625</v>
      </c>
      <c r="M777" s="6" t="s">
        <v>4625</v>
      </c>
      <c r="N777" s="6" t="s">
        <v>5365</v>
      </c>
      <c r="O777" s="6" t="s">
        <v>5366</v>
      </c>
      <c r="P777" s="6" t="s">
        <v>4275</v>
      </c>
      <c r="Q777" s="6">
        <v>6702364</v>
      </c>
      <c r="R777" s="6">
        <v>0.22</v>
      </c>
      <c r="S777" s="6">
        <v>0.14000000000000001</v>
      </c>
      <c r="T777" s="6">
        <v>5959742.0700000003</v>
      </c>
      <c r="U777" s="6">
        <v>3576671.51</v>
      </c>
      <c r="V777" s="6">
        <v>0.21</v>
      </c>
      <c r="W777" s="6">
        <v>7.0000000000000007E-2</v>
      </c>
      <c r="X777" s="6" t="s">
        <v>2626</v>
      </c>
      <c r="Y777" s="6">
        <v>1948382.27</v>
      </c>
      <c r="Z777" s="6">
        <v>1751751.35</v>
      </c>
      <c r="AA777" s="6">
        <v>30</v>
      </c>
      <c r="AB777" s="6">
        <v>40</v>
      </c>
      <c r="AC777" s="6" t="s">
        <v>376</v>
      </c>
      <c r="AD777" s="6" t="s">
        <v>336</v>
      </c>
      <c r="AE777" s="6">
        <v>0.7</v>
      </c>
      <c r="AF777" s="6" t="s">
        <v>4319</v>
      </c>
      <c r="AG777" s="6">
        <v>0.05</v>
      </c>
      <c r="AH777" s="6">
        <v>0.05</v>
      </c>
      <c r="AI777" s="6">
        <v>8</v>
      </c>
      <c r="AJ777" s="6">
        <v>1276</v>
      </c>
      <c r="AK777" s="6"/>
      <c r="AL777" s="6">
        <v>1050424.1100000001</v>
      </c>
      <c r="AM777" s="6"/>
      <c r="AN777" s="6" t="s">
        <v>330</v>
      </c>
      <c r="AO777" s="6">
        <v>86.8</v>
      </c>
      <c r="AP777" s="6">
        <v>12</v>
      </c>
      <c r="AQ777" s="6" t="s">
        <v>4275</v>
      </c>
      <c r="AR777" s="6" t="s">
        <v>224</v>
      </c>
      <c r="AS777" s="6" t="s">
        <v>188</v>
      </c>
    </row>
    <row r="778" spans="1:45" x14ac:dyDescent="0.3">
      <c r="A778" s="7" t="s">
        <v>2627</v>
      </c>
      <c r="B778" s="7" t="s">
        <v>4268</v>
      </c>
      <c r="C778" s="7" t="s">
        <v>279</v>
      </c>
      <c r="D778" s="7" t="s">
        <v>209</v>
      </c>
      <c r="E778" s="7" t="s">
        <v>4325</v>
      </c>
      <c r="F778" s="7" t="s">
        <v>19</v>
      </c>
      <c r="G778" s="7"/>
      <c r="H778" s="7" t="s">
        <v>4275</v>
      </c>
      <c r="I778" s="7" t="s">
        <v>4372</v>
      </c>
      <c r="J778" s="7" t="s">
        <v>115</v>
      </c>
      <c r="K778" s="7" t="s">
        <v>223</v>
      </c>
      <c r="L778" s="7" t="s">
        <v>2628</v>
      </c>
      <c r="M778" s="7" t="s">
        <v>4435</v>
      </c>
      <c r="N778" s="7" t="s">
        <v>4166</v>
      </c>
      <c r="O778" s="7" t="s">
        <v>5367</v>
      </c>
      <c r="P778" s="7">
        <v>20</v>
      </c>
      <c r="Q778" s="7">
        <v>39815534</v>
      </c>
      <c r="R778" s="7">
        <v>0.17</v>
      </c>
      <c r="S778" s="7">
        <v>0.19</v>
      </c>
      <c r="T778" s="7">
        <v>39325802.93</v>
      </c>
      <c r="U778" s="7">
        <v>27738228.27</v>
      </c>
      <c r="V778" s="7">
        <v>0.26</v>
      </c>
      <c r="W778" s="7">
        <v>0.17</v>
      </c>
      <c r="X778" s="7" t="s">
        <v>2629</v>
      </c>
      <c r="Y778" s="7">
        <v>15055867.939999999</v>
      </c>
      <c r="Z778" s="7">
        <v>5875985.3600000003</v>
      </c>
      <c r="AA778" s="7">
        <v>60</v>
      </c>
      <c r="AB778" s="7">
        <v>18</v>
      </c>
      <c r="AC778" s="7" t="s">
        <v>347</v>
      </c>
      <c r="AD778" s="7" t="s">
        <v>406</v>
      </c>
      <c r="AE778" s="7">
        <v>0.38</v>
      </c>
      <c r="AF778" s="7" t="s">
        <v>159</v>
      </c>
      <c r="AG778" s="7">
        <v>0.15</v>
      </c>
      <c r="AH778" s="7">
        <v>0.02</v>
      </c>
      <c r="AI778" s="7">
        <v>1</v>
      </c>
      <c r="AJ778" s="7">
        <v>1226</v>
      </c>
      <c r="AK778" s="7">
        <v>6660829.9400000004</v>
      </c>
      <c r="AL778" s="7">
        <v>14232710.09</v>
      </c>
      <c r="AM778" s="7" t="s">
        <v>73</v>
      </c>
      <c r="AN778" s="7" t="s">
        <v>356</v>
      </c>
      <c r="AO778" s="7">
        <v>62</v>
      </c>
      <c r="AP778" s="7">
        <v>60</v>
      </c>
      <c r="AQ778" s="7"/>
      <c r="AR778" s="7" t="s">
        <v>186</v>
      </c>
      <c r="AS778" s="7" t="s">
        <v>324</v>
      </c>
    </row>
    <row r="779" spans="1:45" x14ac:dyDescent="0.3">
      <c r="A779" s="6" t="s">
        <v>2630</v>
      </c>
      <c r="B779" s="6" t="s">
        <v>3650</v>
      </c>
      <c r="C779" s="6" t="s">
        <v>276</v>
      </c>
      <c r="D779" s="6" t="s">
        <v>209</v>
      </c>
      <c r="E779" s="6"/>
      <c r="F779" s="6" t="s">
        <v>367</v>
      </c>
      <c r="G779" s="6" t="s">
        <v>78</v>
      </c>
      <c r="H779" s="6" t="s">
        <v>212</v>
      </c>
      <c r="I779" s="6" t="s">
        <v>4307</v>
      </c>
      <c r="J779" s="6" t="s">
        <v>99</v>
      </c>
      <c r="K779" s="6" t="s">
        <v>210</v>
      </c>
      <c r="L779" s="6" t="s">
        <v>2631</v>
      </c>
      <c r="M779" s="6" t="s">
        <v>4353</v>
      </c>
      <c r="N779" s="6" t="s">
        <v>3429</v>
      </c>
      <c r="O779" s="6" t="s">
        <v>3290</v>
      </c>
      <c r="P779" s="6">
        <v>13</v>
      </c>
      <c r="Q779" s="6">
        <v>32965885</v>
      </c>
      <c r="R779" s="6">
        <v>0.13</v>
      </c>
      <c r="S779" s="6">
        <v>-0.05</v>
      </c>
      <c r="T779" s="6">
        <v>27246303.949999999</v>
      </c>
      <c r="U779" s="6">
        <v>19103912.989999998</v>
      </c>
      <c r="V779" s="6">
        <v>0.24</v>
      </c>
      <c r="W779" s="6">
        <v>0.12</v>
      </c>
      <c r="X779" s="6" t="s">
        <v>2632</v>
      </c>
      <c r="Y779" s="6">
        <v>16097347.33</v>
      </c>
      <c r="Z779" s="6">
        <v>12388764.33</v>
      </c>
      <c r="AA779" s="6">
        <v>30</v>
      </c>
      <c r="AB779" s="6">
        <v>70</v>
      </c>
      <c r="AC779" s="6" t="s">
        <v>347</v>
      </c>
      <c r="AD779" s="6" t="s">
        <v>406</v>
      </c>
      <c r="AE779" s="6">
        <v>0.73</v>
      </c>
      <c r="AF779" s="6" t="s">
        <v>155</v>
      </c>
      <c r="AG779" s="6">
        <v>0.15</v>
      </c>
      <c r="AH779" s="6">
        <v>7.0000000000000007E-2</v>
      </c>
      <c r="AI779" s="6">
        <v>1</v>
      </c>
      <c r="AJ779" s="6">
        <v>4243</v>
      </c>
      <c r="AK779" s="6">
        <v>2716913.75</v>
      </c>
      <c r="AL779" s="6">
        <v>2965691.63</v>
      </c>
      <c r="AM779" s="6" t="s">
        <v>391</v>
      </c>
      <c r="AN779" s="6" t="s">
        <v>348</v>
      </c>
      <c r="AO779" s="6">
        <v>92.1</v>
      </c>
      <c r="AP779" s="6">
        <v>24</v>
      </c>
      <c r="AQ779" s="6"/>
      <c r="AR779" s="6" t="s">
        <v>229</v>
      </c>
      <c r="AS779" s="6" t="s">
        <v>188</v>
      </c>
    </row>
    <row r="780" spans="1:45" x14ac:dyDescent="0.3">
      <c r="A780" s="7" t="s">
        <v>2633</v>
      </c>
      <c r="B780" s="7" t="s">
        <v>4167</v>
      </c>
      <c r="C780" s="7" t="s">
        <v>239</v>
      </c>
      <c r="D780" s="7" t="s">
        <v>262</v>
      </c>
      <c r="E780" s="7" t="s">
        <v>41</v>
      </c>
      <c r="F780" s="7" t="s">
        <v>350</v>
      </c>
      <c r="G780" s="7" t="s">
        <v>78</v>
      </c>
      <c r="H780" s="7"/>
      <c r="I780" s="7" t="s">
        <v>4289</v>
      </c>
      <c r="J780" s="6" t="s">
        <v>130</v>
      </c>
      <c r="K780" s="7" t="s">
        <v>210</v>
      </c>
      <c r="L780" s="7" t="s">
        <v>2634</v>
      </c>
      <c r="M780" s="7" t="s">
        <v>5368</v>
      </c>
      <c r="N780" s="7" t="s">
        <v>5369</v>
      </c>
      <c r="O780" s="7" t="s">
        <v>5370</v>
      </c>
      <c r="P780" s="7">
        <v>46</v>
      </c>
      <c r="Q780" s="7">
        <v>1586675</v>
      </c>
      <c r="R780" s="7">
        <v>0.04</v>
      </c>
      <c r="S780" s="7">
        <v>0.18</v>
      </c>
      <c r="T780" s="7">
        <v>1797385.44</v>
      </c>
      <c r="U780" s="7"/>
      <c r="V780" s="7">
        <v>0.37</v>
      </c>
      <c r="W780" s="7">
        <v>7.0000000000000007E-2</v>
      </c>
      <c r="X780" s="7" t="s">
        <v>2635</v>
      </c>
      <c r="Y780" s="7">
        <v>525629.03</v>
      </c>
      <c r="Z780" s="7" t="s">
        <v>4357</v>
      </c>
      <c r="AA780" s="7">
        <v>60</v>
      </c>
      <c r="AB780" s="7">
        <v>115</v>
      </c>
      <c r="AC780" s="7" t="s">
        <v>329</v>
      </c>
      <c r="AD780" s="7" t="s">
        <v>354</v>
      </c>
      <c r="AE780" s="7">
        <v>0.35</v>
      </c>
      <c r="AF780" s="7" t="s">
        <v>4276</v>
      </c>
      <c r="AG780" s="7">
        <v>0.05</v>
      </c>
      <c r="AH780" s="7">
        <v>7.0000000000000007E-2</v>
      </c>
      <c r="AI780" s="7">
        <v>4</v>
      </c>
      <c r="AJ780" s="7">
        <v>2216</v>
      </c>
      <c r="AK780" s="7">
        <v>56872.85</v>
      </c>
      <c r="AL780" s="7">
        <v>761242.16</v>
      </c>
      <c r="AM780" s="7" t="s">
        <v>343</v>
      </c>
      <c r="AN780" s="7" t="s">
        <v>356</v>
      </c>
      <c r="AO780" s="7"/>
      <c r="AP780" s="7">
        <v>48</v>
      </c>
      <c r="AQ780" s="7" t="s">
        <v>387</v>
      </c>
      <c r="AR780" s="7" t="s">
        <v>229</v>
      </c>
      <c r="AS780" s="7" t="s">
        <v>377</v>
      </c>
    </row>
    <row r="781" spans="1:45" x14ac:dyDescent="0.3">
      <c r="A781" s="6" t="s">
        <v>2636</v>
      </c>
      <c r="B781" s="6" t="s">
        <v>3929</v>
      </c>
      <c r="C781" s="6" t="s">
        <v>266</v>
      </c>
      <c r="D781" s="6" t="s">
        <v>238</v>
      </c>
      <c r="E781" s="6" t="s">
        <v>4325</v>
      </c>
      <c r="F781" s="6" t="s">
        <v>339</v>
      </c>
      <c r="G781" s="6" t="s">
        <v>78</v>
      </c>
      <c r="H781" s="6" t="s">
        <v>4280</v>
      </c>
      <c r="I781" s="6" t="s">
        <v>183</v>
      </c>
      <c r="J781" s="6" t="s">
        <v>115</v>
      </c>
      <c r="K781" s="6" t="s">
        <v>221</v>
      </c>
      <c r="L781" s="6" t="s">
        <v>2637</v>
      </c>
      <c r="M781" s="6" t="s">
        <v>5231</v>
      </c>
      <c r="N781" s="6" t="s">
        <v>4169</v>
      </c>
      <c r="O781" s="6" t="s">
        <v>5176</v>
      </c>
      <c r="P781" s="6">
        <v>52</v>
      </c>
      <c r="Q781" s="6" t="s">
        <v>4275</v>
      </c>
      <c r="R781" s="6">
        <v>0.33</v>
      </c>
      <c r="S781" s="6">
        <v>0.08</v>
      </c>
      <c r="T781" s="6">
        <v>2784458.39</v>
      </c>
      <c r="U781" s="6">
        <v>2499877.69</v>
      </c>
      <c r="V781" s="6">
        <v>0.31</v>
      </c>
      <c r="W781" s="6">
        <v>0.19</v>
      </c>
      <c r="X781" s="6" t="s">
        <v>2638</v>
      </c>
      <c r="Y781" s="6">
        <v>928075.27</v>
      </c>
      <c r="Z781" s="6">
        <v>376450.47</v>
      </c>
      <c r="AA781" s="6">
        <v>120</v>
      </c>
      <c r="AB781" s="6">
        <v>155</v>
      </c>
      <c r="AC781" s="6"/>
      <c r="AD781" s="6" t="s">
        <v>320</v>
      </c>
      <c r="AE781" s="6">
        <v>0.08</v>
      </c>
      <c r="AF781" s="6" t="s">
        <v>155</v>
      </c>
      <c r="AG781" s="6">
        <v>0.15</v>
      </c>
      <c r="AH781" s="6">
        <v>0.02</v>
      </c>
      <c r="AI781" s="6">
        <v>1</v>
      </c>
      <c r="AJ781" s="6">
        <v>1146</v>
      </c>
      <c r="AK781" s="6">
        <v>320582.84000000003</v>
      </c>
      <c r="AL781" s="6">
        <v>706332.26</v>
      </c>
      <c r="AM781" s="6" t="s">
        <v>385</v>
      </c>
      <c r="AN781" s="6"/>
      <c r="AO781" s="6">
        <v>67.2</v>
      </c>
      <c r="AP781" s="6">
        <v>12</v>
      </c>
      <c r="AQ781" s="6" t="s">
        <v>337</v>
      </c>
      <c r="AR781" s="6" t="s">
        <v>224</v>
      </c>
      <c r="AS781" s="6" t="s">
        <v>324</v>
      </c>
    </row>
    <row r="782" spans="1:45" x14ac:dyDescent="0.3">
      <c r="A782" s="7" t="s">
        <v>2639</v>
      </c>
      <c r="B782" s="7" t="s">
        <v>5371</v>
      </c>
      <c r="C782" s="7" t="s">
        <v>241</v>
      </c>
      <c r="D782" s="7" t="s">
        <v>253</v>
      </c>
      <c r="E782" s="7" t="s">
        <v>41</v>
      </c>
      <c r="F782" s="7" t="s">
        <v>350</v>
      </c>
      <c r="G782" s="7" t="s">
        <v>33</v>
      </c>
      <c r="H782" s="7" t="s">
        <v>212</v>
      </c>
      <c r="I782" s="7" t="s">
        <v>246</v>
      </c>
      <c r="J782" s="7" t="s">
        <v>130</v>
      </c>
      <c r="K782" s="7" t="s">
        <v>184</v>
      </c>
      <c r="L782" s="7" t="s">
        <v>2640</v>
      </c>
      <c r="M782" s="7" t="s">
        <v>3670</v>
      </c>
      <c r="N782" s="7"/>
      <c r="O782" s="7" t="s">
        <v>4274</v>
      </c>
      <c r="P782" s="7" t="s">
        <v>4275</v>
      </c>
      <c r="Q782" s="7">
        <v>27101014</v>
      </c>
      <c r="R782" s="7">
        <v>0.12</v>
      </c>
      <c r="S782" s="7">
        <v>0.19</v>
      </c>
      <c r="T782" s="7">
        <v>28380181.859999999</v>
      </c>
      <c r="U782" s="7">
        <v>19879153.350000001</v>
      </c>
      <c r="V782" s="7">
        <v>7.0000000000000007E-2</v>
      </c>
      <c r="W782" s="7">
        <v>7.0000000000000007E-2</v>
      </c>
      <c r="X782" s="7" t="s">
        <v>2641</v>
      </c>
      <c r="Y782" s="7" t="s">
        <v>158</v>
      </c>
      <c r="Z782" s="7">
        <v>6149175.0800000001</v>
      </c>
      <c r="AA782" s="7">
        <v>30</v>
      </c>
      <c r="AB782" s="7">
        <v>14</v>
      </c>
      <c r="AC782" s="7" t="s">
        <v>329</v>
      </c>
      <c r="AD782" s="7" t="s">
        <v>320</v>
      </c>
      <c r="AE782" s="7">
        <v>0.22</v>
      </c>
      <c r="AF782" s="7" t="s">
        <v>4312</v>
      </c>
      <c r="AG782" s="7">
        <v>0.1</v>
      </c>
      <c r="AH782" s="7">
        <v>0.03</v>
      </c>
      <c r="AI782" s="7">
        <v>8</v>
      </c>
      <c r="AJ782" s="7">
        <v>2862</v>
      </c>
      <c r="AK782" s="7">
        <v>2391429.2400000002</v>
      </c>
      <c r="AL782" s="7">
        <v>8792077.9700000007</v>
      </c>
      <c r="AM782" s="7"/>
      <c r="AN782" s="7" t="s">
        <v>330</v>
      </c>
      <c r="AO782" s="7">
        <v>59.9</v>
      </c>
      <c r="AP782" s="7">
        <v>24</v>
      </c>
      <c r="AQ782" s="7" t="s">
        <v>392</v>
      </c>
      <c r="AR782" s="7" t="s">
        <v>206</v>
      </c>
      <c r="AS782" s="7" t="s">
        <v>361</v>
      </c>
    </row>
    <row r="783" spans="1:45" x14ac:dyDescent="0.3">
      <c r="A783" s="6" t="s">
        <v>2642</v>
      </c>
      <c r="B783" s="6" t="s">
        <v>5372</v>
      </c>
      <c r="C783" s="6" t="s">
        <v>234</v>
      </c>
      <c r="D783" s="6" t="s">
        <v>180</v>
      </c>
      <c r="E783" s="6" t="s">
        <v>41</v>
      </c>
      <c r="F783" s="6" t="s">
        <v>363</v>
      </c>
      <c r="G783" s="6" t="s">
        <v>38</v>
      </c>
      <c r="H783" s="6" t="s">
        <v>4266</v>
      </c>
      <c r="I783" s="6" t="s">
        <v>4307</v>
      </c>
      <c r="J783" s="6" t="s">
        <v>130</v>
      </c>
      <c r="K783" s="6" t="s">
        <v>199</v>
      </c>
      <c r="L783" s="6" t="s">
        <v>2643</v>
      </c>
      <c r="M783" s="6" t="s">
        <v>4149</v>
      </c>
      <c r="N783" s="6" t="s">
        <v>5373</v>
      </c>
      <c r="O783" s="6" t="s">
        <v>3354</v>
      </c>
      <c r="P783" s="6">
        <v>50</v>
      </c>
      <c r="Q783" s="6">
        <v>31205511</v>
      </c>
      <c r="R783" s="6">
        <v>0.25</v>
      </c>
      <c r="S783" s="6">
        <v>-0.03</v>
      </c>
      <c r="T783" s="6">
        <v>22702009.25</v>
      </c>
      <c r="U783" s="6">
        <v>19904101.510000002</v>
      </c>
      <c r="V783" s="6">
        <v>0.33</v>
      </c>
      <c r="W783" s="6">
        <v>0.11</v>
      </c>
      <c r="X783" s="6"/>
      <c r="Y783" s="6">
        <v>1247189.01</v>
      </c>
      <c r="Z783" s="6">
        <v>481858.52</v>
      </c>
      <c r="AA783" s="6">
        <v>90</v>
      </c>
      <c r="AB783" s="6">
        <v>114</v>
      </c>
      <c r="AC783" s="6"/>
      <c r="AD783" s="6" t="s">
        <v>336</v>
      </c>
      <c r="AE783" s="6">
        <v>0.71</v>
      </c>
      <c r="AF783" s="6" t="s">
        <v>153</v>
      </c>
      <c r="AG783" s="6">
        <v>0.1</v>
      </c>
      <c r="AH783" s="6">
        <v>0.04</v>
      </c>
      <c r="AI783" s="6">
        <v>6</v>
      </c>
      <c r="AJ783" s="6">
        <v>3403</v>
      </c>
      <c r="AK783" s="6">
        <v>1302861.72</v>
      </c>
      <c r="AL783" s="6"/>
      <c r="AM783" s="6" t="s">
        <v>343</v>
      </c>
      <c r="AN783" s="6" t="s">
        <v>356</v>
      </c>
      <c r="AO783" s="6">
        <v>83.7</v>
      </c>
      <c r="AP783" s="6">
        <v>60</v>
      </c>
      <c r="AQ783" s="6" t="s">
        <v>323</v>
      </c>
      <c r="AR783" s="6" t="s">
        <v>192</v>
      </c>
      <c r="AS783" s="6"/>
    </row>
    <row r="784" spans="1:45" x14ac:dyDescent="0.3">
      <c r="A784" s="7" t="s">
        <v>2644</v>
      </c>
      <c r="B784" s="7" t="s">
        <v>5374</v>
      </c>
      <c r="C784" s="7" t="s">
        <v>275</v>
      </c>
      <c r="D784" s="7" t="s">
        <v>255</v>
      </c>
      <c r="E784" s="7" t="s">
        <v>52</v>
      </c>
      <c r="F784" s="7"/>
      <c r="G784" s="7" t="s">
        <v>57</v>
      </c>
      <c r="H784" s="7" t="s">
        <v>4275</v>
      </c>
      <c r="I784" s="7" t="s">
        <v>246</v>
      </c>
      <c r="J784" s="7" t="s">
        <v>133</v>
      </c>
      <c r="K784" s="7" t="s">
        <v>221</v>
      </c>
      <c r="L784" s="7" t="s">
        <v>2645</v>
      </c>
      <c r="M784" s="7" t="s">
        <v>4846</v>
      </c>
      <c r="N784" s="7" t="s">
        <v>4819</v>
      </c>
      <c r="O784" s="7" t="s">
        <v>4274</v>
      </c>
      <c r="P784" s="7">
        <v>51</v>
      </c>
      <c r="Q784" s="7">
        <v>28380423</v>
      </c>
      <c r="R784" s="7">
        <v>0.02</v>
      </c>
      <c r="S784" s="7">
        <v>0.03</v>
      </c>
      <c r="T784" s="7">
        <v>28647198.98</v>
      </c>
      <c r="U784" s="7">
        <v>19437079.100000001</v>
      </c>
      <c r="V784" s="7">
        <v>0.11</v>
      </c>
      <c r="W784" s="7">
        <v>0.08</v>
      </c>
      <c r="X784" s="7" t="s">
        <v>2646</v>
      </c>
      <c r="Y784" s="7">
        <v>22030012.579999998</v>
      </c>
      <c r="Z784" s="7">
        <v>11881962.470000001</v>
      </c>
      <c r="AA784" s="7">
        <v>45</v>
      </c>
      <c r="AB784" s="7">
        <v>161</v>
      </c>
      <c r="AC784" s="7" t="s">
        <v>353</v>
      </c>
      <c r="AD784" s="7" t="s">
        <v>320</v>
      </c>
      <c r="AE784" s="7">
        <v>0.99</v>
      </c>
      <c r="AF784" s="7" t="s">
        <v>4303</v>
      </c>
      <c r="AG784" s="7">
        <v>0.15</v>
      </c>
      <c r="AH784" s="7">
        <v>0.08</v>
      </c>
      <c r="AI784" s="7">
        <v>9</v>
      </c>
      <c r="AJ784" s="7">
        <v>4105</v>
      </c>
      <c r="AK784" s="7"/>
      <c r="AL784" s="7">
        <v>7255874.0300000003</v>
      </c>
      <c r="AM784" s="7" t="s">
        <v>355</v>
      </c>
      <c r="AN784" s="7" t="s">
        <v>386</v>
      </c>
      <c r="AO784" s="7">
        <v>52.8</v>
      </c>
      <c r="AP784" s="7">
        <v>48</v>
      </c>
      <c r="AQ784" s="7" t="s">
        <v>323</v>
      </c>
      <c r="AR784" s="7" t="s">
        <v>224</v>
      </c>
      <c r="AS784" s="7"/>
    </row>
    <row r="785" spans="1:45" x14ac:dyDescent="0.3">
      <c r="A785" s="6" t="s">
        <v>2647</v>
      </c>
      <c r="B785" s="6" t="s">
        <v>4170</v>
      </c>
      <c r="C785" s="6" t="s">
        <v>231</v>
      </c>
      <c r="D785" s="6" t="s">
        <v>220</v>
      </c>
      <c r="E785" s="6" t="s">
        <v>59</v>
      </c>
      <c r="F785" s="6"/>
      <c r="G785" s="6" t="s">
        <v>16</v>
      </c>
      <c r="H785" s="6" t="s">
        <v>4275</v>
      </c>
      <c r="I785" s="6" t="s">
        <v>4372</v>
      </c>
      <c r="J785" s="6" t="s">
        <v>99</v>
      </c>
      <c r="K785" s="6" t="s">
        <v>326</v>
      </c>
      <c r="L785" s="6" t="s">
        <v>2648</v>
      </c>
      <c r="M785" s="6" t="s">
        <v>5181</v>
      </c>
      <c r="N785" s="6" t="s">
        <v>4644</v>
      </c>
      <c r="O785" s="6" t="s">
        <v>4274</v>
      </c>
      <c r="P785" s="6">
        <v>14</v>
      </c>
      <c r="Q785" s="6">
        <v>27825669</v>
      </c>
      <c r="R785" s="6">
        <v>0.08</v>
      </c>
      <c r="S785" s="6">
        <v>7.0000000000000007E-2</v>
      </c>
      <c r="T785" s="6">
        <v>27391588.559999999</v>
      </c>
      <c r="U785" s="6">
        <v>20932236.09</v>
      </c>
      <c r="V785" s="6">
        <v>0.06</v>
      </c>
      <c r="W785" s="6">
        <v>0.08</v>
      </c>
      <c r="X785" s="6" t="s">
        <v>2649</v>
      </c>
      <c r="Y785" s="6">
        <v>2643387.16</v>
      </c>
      <c r="Z785" s="6">
        <v>1227661.43</v>
      </c>
      <c r="AA785" s="6">
        <v>90</v>
      </c>
      <c r="AB785" s="6">
        <v>66</v>
      </c>
      <c r="AC785" s="6" t="s">
        <v>376</v>
      </c>
      <c r="AD785" s="6" t="s">
        <v>320</v>
      </c>
      <c r="AE785" s="6">
        <v>0.65</v>
      </c>
      <c r="AF785" s="6" t="s">
        <v>4294</v>
      </c>
      <c r="AG785" s="6">
        <v>0.05</v>
      </c>
      <c r="AH785" s="6">
        <v>0.02</v>
      </c>
      <c r="AI785" s="6">
        <v>2</v>
      </c>
      <c r="AJ785" s="6">
        <v>1875</v>
      </c>
      <c r="AK785" s="6">
        <v>5931004.3099999996</v>
      </c>
      <c r="AL785" s="6">
        <v>4171261.69</v>
      </c>
      <c r="AM785" s="6" t="s">
        <v>355</v>
      </c>
      <c r="AN785" s="6" t="s">
        <v>322</v>
      </c>
      <c r="AO785" s="6"/>
      <c r="AP785" s="6">
        <v>48</v>
      </c>
      <c r="AQ785" s="6"/>
      <c r="AR785" s="6" t="s">
        <v>186</v>
      </c>
      <c r="AS785" s="6" t="s">
        <v>188</v>
      </c>
    </row>
    <row r="786" spans="1:45" x14ac:dyDescent="0.3">
      <c r="A786" s="7" t="s">
        <v>2650</v>
      </c>
      <c r="B786" s="7" t="s">
        <v>5375</v>
      </c>
      <c r="C786" s="7" t="s">
        <v>217</v>
      </c>
      <c r="D786" s="7" t="s">
        <v>238</v>
      </c>
      <c r="E786" s="7" t="s">
        <v>41</v>
      </c>
      <c r="F786" s="7" t="s">
        <v>228</v>
      </c>
      <c r="G786" s="7"/>
      <c r="H786" s="7" t="s">
        <v>197</v>
      </c>
      <c r="I786" s="7" t="s">
        <v>4272</v>
      </c>
      <c r="J786" s="6" t="s">
        <v>105</v>
      </c>
      <c r="K786" s="7" t="s">
        <v>204</v>
      </c>
      <c r="L786" s="7" t="s">
        <v>2651</v>
      </c>
      <c r="M786" s="7" t="s">
        <v>4814</v>
      </c>
      <c r="N786" s="7" t="s">
        <v>5353</v>
      </c>
      <c r="O786" s="7" t="s">
        <v>4543</v>
      </c>
      <c r="P786" s="7" t="s">
        <v>4275</v>
      </c>
      <c r="Q786" s="7">
        <v>26269107</v>
      </c>
      <c r="R786" s="7">
        <v>0.03</v>
      </c>
      <c r="S786" s="7">
        <v>0.17</v>
      </c>
      <c r="T786" s="7">
        <v>29812809.530000001</v>
      </c>
      <c r="U786" s="7">
        <v>22917782.010000002</v>
      </c>
      <c r="V786" s="7">
        <v>0.4</v>
      </c>
      <c r="W786" s="7">
        <v>0.08</v>
      </c>
      <c r="X786" s="7" t="s">
        <v>2652</v>
      </c>
      <c r="Y786" s="7">
        <v>5081738.8099999996</v>
      </c>
      <c r="Z786" s="7" t="s">
        <v>4357</v>
      </c>
      <c r="AA786" s="7">
        <v>45</v>
      </c>
      <c r="AB786" s="7">
        <v>86</v>
      </c>
      <c r="AC786" s="7" t="s">
        <v>353</v>
      </c>
      <c r="AD786" s="7" t="s">
        <v>455</v>
      </c>
      <c r="AE786" s="7">
        <v>0.32</v>
      </c>
      <c r="AF786" s="7" t="s">
        <v>4276</v>
      </c>
      <c r="AG786" s="7">
        <v>0.1</v>
      </c>
      <c r="AH786" s="7">
        <v>0.02</v>
      </c>
      <c r="AI786" s="7">
        <v>5</v>
      </c>
      <c r="AJ786" s="7">
        <v>528</v>
      </c>
      <c r="AK786" s="7">
        <v>1651131.97</v>
      </c>
      <c r="AL786" s="7">
        <v>5484312.2400000002</v>
      </c>
      <c r="AM786" s="7" t="s">
        <v>355</v>
      </c>
      <c r="AN786" s="7" t="s">
        <v>386</v>
      </c>
      <c r="AO786" s="7">
        <v>67.900000000000006</v>
      </c>
      <c r="AP786" s="7">
        <v>48</v>
      </c>
      <c r="AQ786" s="7" t="s">
        <v>4275</v>
      </c>
      <c r="AR786" s="7" t="s">
        <v>186</v>
      </c>
      <c r="AS786" s="7" t="s">
        <v>324</v>
      </c>
    </row>
    <row r="787" spans="1:45" x14ac:dyDescent="0.3">
      <c r="A787" s="6" t="s">
        <v>2653</v>
      </c>
      <c r="B787" s="6" t="s">
        <v>5376</v>
      </c>
      <c r="C787" s="6" t="s">
        <v>189</v>
      </c>
      <c r="D787" s="6" t="s">
        <v>190</v>
      </c>
      <c r="E787" s="6" t="s">
        <v>52</v>
      </c>
      <c r="F787" s="6" t="s">
        <v>75</v>
      </c>
      <c r="G787" s="6" t="s">
        <v>62</v>
      </c>
      <c r="H787" s="6" t="s">
        <v>4326</v>
      </c>
      <c r="I787" s="6" t="s">
        <v>240</v>
      </c>
      <c r="J787" s="7" t="s">
        <v>133</v>
      </c>
      <c r="K787" s="6" t="s">
        <v>223</v>
      </c>
      <c r="L787" s="6" t="s">
        <v>2654</v>
      </c>
      <c r="M787" s="6" t="s">
        <v>4799</v>
      </c>
      <c r="N787" s="6" t="s">
        <v>3912</v>
      </c>
      <c r="O787" s="6" t="s">
        <v>4171</v>
      </c>
      <c r="P787" s="6">
        <v>13</v>
      </c>
      <c r="Q787" s="6">
        <v>24330510</v>
      </c>
      <c r="R787" s="6">
        <v>0.18</v>
      </c>
      <c r="S787" s="6">
        <v>0.19</v>
      </c>
      <c r="T787" s="6">
        <v>23741711.66</v>
      </c>
      <c r="U787" s="6">
        <v>14545104.67</v>
      </c>
      <c r="V787" s="6">
        <v>7.0000000000000007E-2</v>
      </c>
      <c r="W787" s="6">
        <v>0.09</v>
      </c>
      <c r="X787" s="6" t="s">
        <v>2655</v>
      </c>
      <c r="Y787" s="6">
        <v>17848370.57</v>
      </c>
      <c r="Z787" s="6" t="s">
        <v>4357</v>
      </c>
      <c r="AA787" s="6">
        <v>120</v>
      </c>
      <c r="AB787" s="6">
        <v>1</v>
      </c>
      <c r="AC787" s="6"/>
      <c r="AD787" s="6" t="s">
        <v>226</v>
      </c>
      <c r="AE787" s="6">
        <v>0.48</v>
      </c>
      <c r="AF787" s="6" t="s">
        <v>153</v>
      </c>
      <c r="AG787" s="6">
        <v>0.15</v>
      </c>
      <c r="AH787" s="6">
        <v>0.1</v>
      </c>
      <c r="AI787" s="6">
        <v>12</v>
      </c>
      <c r="AJ787" s="6">
        <v>835</v>
      </c>
      <c r="AK787" s="6">
        <v>1819500.62</v>
      </c>
      <c r="AL787" s="6">
        <v>5601915.9699999997</v>
      </c>
      <c r="AM787" s="6" t="s">
        <v>391</v>
      </c>
      <c r="AN787" s="6" t="s">
        <v>321</v>
      </c>
      <c r="AO787" s="6">
        <v>93.4</v>
      </c>
      <c r="AP787" s="6" t="s">
        <v>4275</v>
      </c>
      <c r="AQ787" s="6" t="s">
        <v>337</v>
      </c>
      <c r="AR787" s="6" t="s">
        <v>192</v>
      </c>
      <c r="AS787" s="6" t="s">
        <v>188</v>
      </c>
    </row>
    <row r="788" spans="1:45" x14ac:dyDescent="0.3">
      <c r="A788" s="7" t="s">
        <v>2656</v>
      </c>
      <c r="B788" s="7" t="s">
        <v>5377</v>
      </c>
      <c r="C788" s="7" t="s">
        <v>235</v>
      </c>
      <c r="D788" s="7" t="s">
        <v>232</v>
      </c>
      <c r="E788" s="7" t="s">
        <v>4270</v>
      </c>
      <c r="F788" s="7" t="s">
        <v>367</v>
      </c>
      <c r="G788" s="7" t="s">
        <v>46</v>
      </c>
      <c r="H788" s="7" t="s">
        <v>212</v>
      </c>
      <c r="I788" s="7" t="s">
        <v>191</v>
      </c>
      <c r="J788" s="7" t="s">
        <v>111</v>
      </c>
      <c r="K788" s="7" t="s">
        <v>210</v>
      </c>
      <c r="L788" s="7" t="s">
        <v>2657</v>
      </c>
      <c r="M788" s="7" t="s">
        <v>3933</v>
      </c>
      <c r="N788" s="7" t="s">
        <v>4172</v>
      </c>
      <c r="O788" s="7" t="s">
        <v>4099</v>
      </c>
      <c r="P788" s="7">
        <v>18</v>
      </c>
      <c r="Q788" s="7">
        <v>36947944</v>
      </c>
      <c r="R788" s="7">
        <v>0.15</v>
      </c>
      <c r="S788" s="7">
        <v>-0.02</v>
      </c>
      <c r="T788" s="7">
        <v>30777637.350000001</v>
      </c>
      <c r="U788" s="7">
        <v>24382293.829999998</v>
      </c>
      <c r="V788" s="7">
        <v>0.25</v>
      </c>
      <c r="W788" s="7">
        <v>0.16</v>
      </c>
      <c r="X788" s="7" t="s">
        <v>2658</v>
      </c>
      <c r="Y788" s="7">
        <v>5316896.16</v>
      </c>
      <c r="Z788" s="7">
        <v>2265913.0499999998</v>
      </c>
      <c r="AA788" s="7">
        <v>90</v>
      </c>
      <c r="AB788" s="7">
        <v>174</v>
      </c>
      <c r="AC788" s="7"/>
      <c r="AD788" s="7" t="s">
        <v>226</v>
      </c>
      <c r="AE788" s="7">
        <v>0.85</v>
      </c>
      <c r="AF788" s="7" t="s">
        <v>159</v>
      </c>
      <c r="AG788" s="7">
        <v>0.05</v>
      </c>
      <c r="AH788" s="7">
        <v>0.03</v>
      </c>
      <c r="AI788" s="7">
        <v>4</v>
      </c>
      <c r="AJ788" s="7">
        <v>3980</v>
      </c>
      <c r="AK788" s="7">
        <v>1916599.87</v>
      </c>
      <c r="AL788" s="7">
        <v>12145034.1</v>
      </c>
      <c r="AM788" s="7" t="s">
        <v>391</v>
      </c>
      <c r="AN788" s="7" t="s">
        <v>322</v>
      </c>
      <c r="AO788" s="7">
        <v>87.9</v>
      </c>
      <c r="AP788" s="7">
        <v>48</v>
      </c>
      <c r="AQ788" s="7" t="s">
        <v>337</v>
      </c>
      <c r="AR788" s="7" t="s">
        <v>206</v>
      </c>
      <c r="AS788" s="7"/>
    </row>
    <row r="789" spans="1:45" x14ac:dyDescent="0.3">
      <c r="A789" s="6" t="s">
        <v>2659</v>
      </c>
      <c r="B789" s="6" t="s">
        <v>3456</v>
      </c>
      <c r="C789" s="6" t="s">
        <v>282</v>
      </c>
      <c r="D789" s="6" t="s">
        <v>255</v>
      </c>
      <c r="E789" s="6" t="s">
        <v>20</v>
      </c>
      <c r="F789" s="6" t="s">
        <v>196</v>
      </c>
      <c r="G789" s="6" t="s">
        <v>80</v>
      </c>
      <c r="H789" s="6" t="s">
        <v>216</v>
      </c>
      <c r="I789" s="6" t="s">
        <v>233</v>
      </c>
      <c r="J789" s="6" t="s">
        <v>136</v>
      </c>
      <c r="K789" s="6" t="s">
        <v>221</v>
      </c>
      <c r="L789" s="6" t="s">
        <v>2660</v>
      </c>
      <c r="M789" s="6" t="s">
        <v>3862</v>
      </c>
      <c r="N789" s="6" t="s">
        <v>5378</v>
      </c>
      <c r="O789" s="6" t="s">
        <v>5379</v>
      </c>
      <c r="P789" s="6">
        <v>58</v>
      </c>
      <c r="Q789" s="6">
        <v>30960824</v>
      </c>
      <c r="R789" s="6">
        <v>0.21</v>
      </c>
      <c r="S789" s="6">
        <v>0.04</v>
      </c>
      <c r="T789" s="6">
        <v>25437413</v>
      </c>
      <c r="U789" s="6">
        <v>19413004.670000002</v>
      </c>
      <c r="V789" s="6">
        <v>0.28999999999999998</v>
      </c>
      <c r="W789" s="6">
        <v>0.08</v>
      </c>
      <c r="X789" s="6" t="s">
        <v>2661</v>
      </c>
      <c r="Y789" s="6">
        <v>9400888.3599999994</v>
      </c>
      <c r="Z789" s="6">
        <v>9627299.7200000007</v>
      </c>
      <c r="AA789" s="6">
        <v>30</v>
      </c>
      <c r="AB789" s="6">
        <v>142</v>
      </c>
      <c r="AC789" s="6" t="s">
        <v>376</v>
      </c>
      <c r="AD789" s="6" t="s">
        <v>336</v>
      </c>
      <c r="AE789" s="6">
        <v>0.23</v>
      </c>
      <c r="AF789" s="6" t="s">
        <v>153</v>
      </c>
      <c r="AG789" s="6">
        <v>0.15</v>
      </c>
      <c r="AH789" s="6">
        <v>0.05</v>
      </c>
      <c r="AI789" s="6">
        <v>1</v>
      </c>
      <c r="AJ789" s="6">
        <v>1325</v>
      </c>
      <c r="AK789" s="6">
        <v>5506010.1200000001</v>
      </c>
      <c r="AL789" s="6">
        <v>9877047.0600000005</v>
      </c>
      <c r="AM789" s="6" t="s">
        <v>343</v>
      </c>
      <c r="AN789" s="6" t="s">
        <v>348</v>
      </c>
      <c r="AO789" s="6">
        <v>64</v>
      </c>
      <c r="AP789" s="6" t="s">
        <v>4275</v>
      </c>
      <c r="AQ789" s="6" t="s">
        <v>392</v>
      </c>
      <c r="AR789" s="6" t="s">
        <v>186</v>
      </c>
      <c r="AS789" s="6" t="s">
        <v>188</v>
      </c>
    </row>
    <row r="790" spans="1:45" x14ac:dyDescent="0.3">
      <c r="A790" s="7" t="s">
        <v>2662</v>
      </c>
      <c r="B790" s="7" t="s">
        <v>4173</v>
      </c>
      <c r="C790" s="7" t="s">
        <v>278</v>
      </c>
      <c r="D790" s="7" t="s">
        <v>242</v>
      </c>
      <c r="E790" s="7" t="s">
        <v>36</v>
      </c>
      <c r="F790" s="7" t="s">
        <v>339</v>
      </c>
      <c r="G790" s="7" t="s">
        <v>38</v>
      </c>
      <c r="H790" s="7" t="s">
        <v>197</v>
      </c>
      <c r="I790" s="7" t="s">
        <v>191</v>
      </c>
      <c r="J790" s="7" t="s">
        <v>115</v>
      </c>
      <c r="K790" s="7" t="s">
        <v>223</v>
      </c>
      <c r="L790" s="7" t="s">
        <v>2663</v>
      </c>
      <c r="M790" s="7" t="s">
        <v>4339</v>
      </c>
      <c r="N790" s="7" t="s">
        <v>5380</v>
      </c>
      <c r="O790" s="7" t="s">
        <v>4274</v>
      </c>
      <c r="P790" s="7">
        <v>20</v>
      </c>
      <c r="Q790" s="7">
        <v>2075555</v>
      </c>
      <c r="R790" s="7">
        <v>0.14000000000000001</v>
      </c>
      <c r="S790" s="7">
        <v>7.0000000000000007E-2</v>
      </c>
      <c r="T790" s="7">
        <v>1909925.71</v>
      </c>
      <c r="U790" s="7">
        <v>1674896.82</v>
      </c>
      <c r="V790" s="7">
        <v>0.24</v>
      </c>
      <c r="W790" s="7">
        <v>0.17</v>
      </c>
      <c r="X790" s="7" t="s">
        <v>2664</v>
      </c>
      <c r="Y790" s="7">
        <v>139988.97</v>
      </c>
      <c r="Z790" s="7">
        <v>107052.67</v>
      </c>
      <c r="AA790" s="7">
        <v>60</v>
      </c>
      <c r="AB790" s="7">
        <v>11</v>
      </c>
      <c r="AC790" s="7" t="s">
        <v>329</v>
      </c>
      <c r="AD790" s="7" t="s">
        <v>406</v>
      </c>
      <c r="AE790" s="7">
        <v>0.87</v>
      </c>
      <c r="AF790" s="7" t="s">
        <v>159</v>
      </c>
      <c r="AG790" s="7">
        <v>0.15</v>
      </c>
      <c r="AH790" s="7">
        <v>0.02</v>
      </c>
      <c r="AI790" s="7">
        <v>8</v>
      </c>
      <c r="AJ790" s="7">
        <v>3001</v>
      </c>
      <c r="AK790" s="7">
        <v>73203.44</v>
      </c>
      <c r="AL790" s="7">
        <v>898601.39</v>
      </c>
      <c r="AM790" s="7" t="s">
        <v>385</v>
      </c>
      <c r="AN790" s="7"/>
      <c r="AO790" s="7">
        <v>85.8</v>
      </c>
      <c r="AP790" s="7" t="s">
        <v>4275</v>
      </c>
      <c r="AQ790" s="7"/>
      <c r="AR790" s="7" t="s">
        <v>206</v>
      </c>
      <c r="AS790" s="7" t="s">
        <v>188</v>
      </c>
    </row>
    <row r="791" spans="1:45" x14ac:dyDescent="0.3">
      <c r="A791" s="6" t="s">
        <v>2665</v>
      </c>
      <c r="B791" s="6" t="s">
        <v>3486</v>
      </c>
      <c r="C791" s="6" t="s">
        <v>266</v>
      </c>
      <c r="D791" s="6" t="s">
        <v>232</v>
      </c>
      <c r="E791" s="6" t="s">
        <v>4376</v>
      </c>
      <c r="F791" s="6" t="s">
        <v>31</v>
      </c>
      <c r="G791" s="6"/>
      <c r="H791" s="6" t="s">
        <v>182</v>
      </c>
      <c r="I791" s="6" t="s">
        <v>4291</v>
      </c>
      <c r="J791" s="6" t="s">
        <v>136</v>
      </c>
      <c r="K791" s="6" t="s">
        <v>223</v>
      </c>
      <c r="L791" s="6" t="s">
        <v>2666</v>
      </c>
      <c r="M791" s="6" t="s">
        <v>3539</v>
      </c>
      <c r="N791" s="6"/>
      <c r="O791" s="6" t="s">
        <v>3964</v>
      </c>
      <c r="P791" s="6">
        <v>5</v>
      </c>
      <c r="Q791" s="6">
        <v>24453712</v>
      </c>
      <c r="R791" s="6">
        <v>0.2</v>
      </c>
      <c r="S791" s="6">
        <v>-0.04</v>
      </c>
      <c r="T791" s="6">
        <v>18780450.82</v>
      </c>
      <c r="U791" s="6">
        <v>15612794.380000001</v>
      </c>
      <c r="V791" s="6">
        <v>0.28000000000000003</v>
      </c>
      <c r="W791" s="6">
        <v>7.0000000000000007E-2</v>
      </c>
      <c r="X791" s="6" t="s">
        <v>2667</v>
      </c>
      <c r="Y791" s="6">
        <v>12102437.970000001</v>
      </c>
      <c r="Z791" s="6">
        <v>5423494.4000000004</v>
      </c>
      <c r="AA791" s="6">
        <v>90</v>
      </c>
      <c r="AB791" s="6">
        <v>34</v>
      </c>
      <c r="AC791" s="6"/>
      <c r="AD791" s="6" t="s">
        <v>336</v>
      </c>
      <c r="AE791" s="6">
        <v>0.26</v>
      </c>
      <c r="AF791" s="6" t="s">
        <v>4303</v>
      </c>
      <c r="AG791" s="6">
        <v>0.15</v>
      </c>
      <c r="AH791" s="6">
        <v>7.0000000000000007E-2</v>
      </c>
      <c r="AI791" s="6">
        <v>6</v>
      </c>
      <c r="AJ791" s="6">
        <v>3032</v>
      </c>
      <c r="AK791" s="6">
        <v>3119098.65</v>
      </c>
      <c r="AL791" s="6">
        <v>8581243.1199999992</v>
      </c>
      <c r="AM791" s="6" t="s">
        <v>355</v>
      </c>
      <c r="AN791" s="6"/>
      <c r="AO791" s="6">
        <v>96.8</v>
      </c>
      <c r="AP791" s="6">
        <v>12</v>
      </c>
      <c r="AQ791" s="6" t="s">
        <v>337</v>
      </c>
      <c r="AR791" s="6" t="s">
        <v>186</v>
      </c>
      <c r="AS791" s="6" t="s">
        <v>188</v>
      </c>
    </row>
    <row r="792" spans="1:45" x14ac:dyDescent="0.3">
      <c r="A792" s="7" t="s">
        <v>2668</v>
      </c>
      <c r="B792" s="7" t="s">
        <v>3431</v>
      </c>
      <c r="C792" s="7" t="s">
        <v>285</v>
      </c>
      <c r="D792" s="7" t="s">
        <v>232</v>
      </c>
      <c r="E792" s="7" t="s">
        <v>4306</v>
      </c>
      <c r="F792" s="7" t="s">
        <v>75</v>
      </c>
      <c r="G792" s="7" t="s">
        <v>54</v>
      </c>
      <c r="H792" s="7" t="s">
        <v>182</v>
      </c>
      <c r="I792" s="7" t="s">
        <v>183</v>
      </c>
      <c r="J792" s="7" t="s">
        <v>119</v>
      </c>
      <c r="K792" s="7" t="s">
        <v>221</v>
      </c>
      <c r="L792" s="7" t="s">
        <v>2669</v>
      </c>
      <c r="M792" s="7" t="s">
        <v>4132</v>
      </c>
      <c r="N792" s="7" t="s">
        <v>4977</v>
      </c>
      <c r="O792" s="7" t="s">
        <v>5142</v>
      </c>
      <c r="P792" s="7">
        <v>25</v>
      </c>
      <c r="Q792" s="7">
        <v>9785474</v>
      </c>
      <c r="R792" s="7">
        <v>0.15</v>
      </c>
      <c r="S792" s="7">
        <v>0.05</v>
      </c>
      <c r="T792" s="7">
        <v>8733535.5399999991</v>
      </c>
      <c r="U792" s="7">
        <v>7445897.8499999996</v>
      </c>
      <c r="V792" s="7">
        <v>0.33</v>
      </c>
      <c r="W792" s="7">
        <v>0.06</v>
      </c>
      <c r="X792" s="7" t="s">
        <v>2670</v>
      </c>
      <c r="Y792" s="7">
        <v>3561088.32</v>
      </c>
      <c r="Z792" s="7">
        <v>2905429.35</v>
      </c>
      <c r="AA792" s="7">
        <v>30</v>
      </c>
      <c r="AB792" s="7">
        <v>166</v>
      </c>
      <c r="AC792" s="7" t="s">
        <v>329</v>
      </c>
      <c r="AD792" s="7" t="s">
        <v>406</v>
      </c>
      <c r="AE792" s="7">
        <v>0.93</v>
      </c>
      <c r="AF792" s="7" t="s">
        <v>162</v>
      </c>
      <c r="AG792" s="7">
        <v>0.1</v>
      </c>
      <c r="AH792" s="7">
        <v>0.1</v>
      </c>
      <c r="AI792" s="7">
        <v>10</v>
      </c>
      <c r="AJ792" s="7">
        <v>257</v>
      </c>
      <c r="AK792" s="7">
        <v>1968961.66</v>
      </c>
      <c r="AL792" s="7">
        <v>3411691.09</v>
      </c>
      <c r="AM792" s="7" t="s">
        <v>343</v>
      </c>
      <c r="AN792" s="7" t="s">
        <v>321</v>
      </c>
      <c r="AO792" s="7">
        <v>92.2</v>
      </c>
      <c r="AP792" s="7">
        <v>24</v>
      </c>
      <c r="AQ792" s="7"/>
      <c r="AR792" s="7" t="s">
        <v>206</v>
      </c>
      <c r="AS792" s="7"/>
    </row>
    <row r="793" spans="1:45" x14ac:dyDescent="0.3">
      <c r="A793" s="6" t="s">
        <v>2671</v>
      </c>
      <c r="B793" s="6" t="s">
        <v>3617</v>
      </c>
      <c r="C793" s="6" t="s">
        <v>214</v>
      </c>
      <c r="D793" s="6" t="s">
        <v>562</v>
      </c>
      <c r="E793" s="6" t="s">
        <v>36</v>
      </c>
      <c r="F793" s="6" t="s">
        <v>339</v>
      </c>
      <c r="G793" s="6" t="s">
        <v>66</v>
      </c>
      <c r="H793" s="6"/>
      <c r="I793" s="6" t="s">
        <v>198</v>
      </c>
      <c r="J793" s="6" t="s">
        <v>115</v>
      </c>
      <c r="K793" s="6" t="s">
        <v>326</v>
      </c>
      <c r="L793" s="6" t="s">
        <v>2672</v>
      </c>
      <c r="M793" s="6" t="s">
        <v>4760</v>
      </c>
      <c r="N793" s="6" t="s">
        <v>3696</v>
      </c>
      <c r="O793" s="6" t="s">
        <v>5381</v>
      </c>
      <c r="P793" s="6">
        <v>44</v>
      </c>
      <c r="Q793" s="6">
        <v>19106264</v>
      </c>
      <c r="R793" s="6">
        <v>0.16</v>
      </c>
      <c r="S793" s="6">
        <v>7.0000000000000007E-2</v>
      </c>
      <c r="T793" s="6">
        <v>17172710.079999998</v>
      </c>
      <c r="U793" s="6"/>
      <c r="V793" s="6">
        <v>0.25</v>
      </c>
      <c r="W793" s="6">
        <v>0.17</v>
      </c>
      <c r="X793" s="6" t="s">
        <v>2673</v>
      </c>
      <c r="Y793" s="6">
        <v>7206286.5800000001</v>
      </c>
      <c r="Z793" s="6">
        <v>5912185.7199999997</v>
      </c>
      <c r="AA793" s="6">
        <v>90</v>
      </c>
      <c r="AB793" s="6">
        <v>75</v>
      </c>
      <c r="AC793" s="6" t="s">
        <v>376</v>
      </c>
      <c r="AD793" s="6" t="s">
        <v>455</v>
      </c>
      <c r="AE793" s="6" t="s">
        <v>4467</v>
      </c>
      <c r="AF793" s="6" t="s">
        <v>4294</v>
      </c>
      <c r="AG793" s="6">
        <v>0.15</v>
      </c>
      <c r="AH793" s="6">
        <v>0.05</v>
      </c>
      <c r="AI793" s="6">
        <v>7</v>
      </c>
      <c r="AJ793" s="6">
        <v>594</v>
      </c>
      <c r="AK793" s="6">
        <v>3525360.77</v>
      </c>
      <c r="AL793" s="6">
        <v>2905541.94</v>
      </c>
      <c r="AM793" s="6" t="s">
        <v>385</v>
      </c>
      <c r="AN793" s="6" t="s">
        <v>356</v>
      </c>
      <c r="AO793" s="6">
        <v>86.2</v>
      </c>
      <c r="AP793" s="6" t="s">
        <v>4275</v>
      </c>
      <c r="AQ793" s="6"/>
      <c r="AR793" s="6" t="s">
        <v>186</v>
      </c>
      <c r="AS793" s="6" t="s">
        <v>377</v>
      </c>
    </row>
    <row r="794" spans="1:45" x14ac:dyDescent="0.3">
      <c r="A794" s="7" t="s">
        <v>2674</v>
      </c>
      <c r="B794" s="7" t="s">
        <v>5382</v>
      </c>
      <c r="C794" s="7" t="s">
        <v>258</v>
      </c>
      <c r="D794" s="7" t="s">
        <v>248</v>
      </c>
      <c r="E794" s="7" t="s">
        <v>20</v>
      </c>
      <c r="F794" s="7" t="s">
        <v>35</v>
      </c>
      <c r="G794" s="7" t="s">
        <v>70</v>
      </c>
      <c r="H794" s="7" t="s">
        <v>4266</v>
      </c>
      <c r="I794" s="7" t="s">
        <v>4291</v>
      </c>
      <c r="J794" s="7" t="s">
        <v>136</v>
      </c>
      <c r="K794" s="7" t="s">
        <v>223</v>
      </c>
      <c r="L794" s="7" t="s">
        <v>2675</v>
      </c>
      <c r="M794" s="7" t="s">
        <v>5166</v>
      </c>
      <c r="N794" s="7" t="s">
        <v>4968</v>
      </c>
      <c r="O794" s="7" t="s">
        <v>4274</v>
      </c>
      <c r="P794" s="7">
        <v>32</v>
      </c>
      <c r="Q794" s="7">
        <v>8930310</v>
      </c>
      <c r="R794" s="7">
        <v>0.03</v>
      </c>
      <c r="S794" s="7">
        <v>0.06</v>
      </c>
      <c r="T794" s="7">
        <v>9182144.7400000002</v>
      </c>
      <c r="U794" s="7">
        <v>7397042.4500000002</v>
      </c>
      <c r="V794" s="7">
        <v>0.32</v>
      </c>
      <c r="W794" s="7">
        <v>0.13</v>
      </c>
      <c r="X794" s="7" t="s">
        <v>2676</v>
      </c>
      <c r="Y794" s="7">
        <v>5698056.3700000001</v>
      </c>
      <c r="Z794" s="7">
        <v>2960697.23</v>
      </c>
      <c r="AA794" s="7">
        <v>45</v>
      </c>
      <c r="AB794" s="7">
        <v>20</v>
      </c>
      <c r="AC794" s="7" t="s">
        <v>342</v>
      </c>
      <c r="AD794" s="7" t="s">
        <v>381</v>
      </c>
      <c r="AE794" s="7">
        <v>0.08</v>
      </c>
      <c r="AF794" s="7" t="s">
        <v>4294</v>
      </c>
      <c r="AG794" s="7">
        <v>0.1</v>
      </c>
      <c r="AH794" s="7">
        <v>0.04</v>
      </c>
      <c r="AI794" s="7">
        <v>0</v>
      </c>
      <c r="AJ794" s="7">
        <v>3867</v>
      </c>
      <c r="AK794" s="7">
        <v>724402.88</v>
      </c>
      <c r="AL794" s="7">
        <v>3181932.04</v>
      </c>
      <c r="AM794" s="7" t="s">
        <v>385</v>
      </c>
      <c r="AN794" s="7" t="s">
        <v>321</v>
      </c>
      <c r="AO794" s="7">
        <v>66.7</v>
      </c>
      <c r="AP794" s="7">
        <v>12</v>
      </c>
      <c r="AQ794" s="7" t="s">
        <v>337</v>
      </c>
      <c r="AR794" s="7" t="s">
        <v>229</v>
      </c>
      <c r="AS794" s="7"/>
    </row>
    <row r="795" spans="1:45" x14ac:dyDescent="0.3">
      <c r="A795" s="6" t="s">
        <v>2677</v>
      </c>
      <c r="B795" s="6" t="s">
        <v>3422</v>
      </c>
      <c r="C795" s="6" t="s">
        <v>267</v>
      </c>
      <c r="D795" s="6"/>
      <c r="E795" s="6" t="s">
        <v>4270</v>
      </c>
      <c r="F795" s="6" t="s">
        <v>367</v>
      </c>
      <c r="G795" s="6"/>
      <c r="H795" s="6" t="s">
        <v>4326</v>
      </c>
      <c r="I795" s="6" t="s">
        <v>240</v>
      </c>
      <c r="J795" s="6" t="s">
        <v>111</v>
      </c>
      <c r="K795" s="6" t="s">
        <v>223</v>
      </c>
      <c r="L795" s="6" t="s">
        <v>2678</v>
      </c>
      <c r="M795" s="6" t="s">
        <v>4937</v>
      </c>
      <c r="N795" s="6" t="s">
        <v>5083</v>
      </c>
      <c r="O795" s="6" t="s">
        <v>4327</v>
      </c>
      <c r="P795" s="6">
        <v>56</v>
      </c>
      <c r="Q795" s="6">
        <v>21513571</v>
      </c>
      <c r="R795" s="6">
        <v>0.13</v>
      </c>
      <c r="S795" s="6">
        <v>-0.02</v>
      </c>
      <c r="T795" s="6">
        <v>18342470.629999999</v>
      </c>
      <c r="U795" s="6">
        <v>16415234.08</v>
      </c>
      <c r="V795" s="6">
        <v>0.3</v>
      </c>
      <c r="W795" s="6">
        <v>0.09</v>
      </c>
      <c r="X795" s="6" t="s">
        <v>2679</v>
      </c>
      <c r="Y795" s="6">
        <v>11811646.140000001</v>
      </c>
      <c r="Z795" s="6">
        <v>8237704.3300000001</v>
      </c>
      <c r="AA795" s="6">
        <v>90</v>
      </c>
      <c r="AB795" s="6">
        <v>20</v>
      </c>
      <c r="AC795" s="6" t="s">
        <v>329</v>
      </c>
      <c r="AD795" s="6" t="s">
        <v>354</v>
      </c>
      <c r="AE795" s="6">
        <v>0.23</v>
      </c>
      <c r="AF795" s="6" t="s">
        <v>4276</v>
      </c>
      <c r="AG795" s="6">
        <v>0.05</v>
      </c>
      <c r="AH795" s="6">
        <v>0.05</v>
      </c>
      <c r="AI795" s="6">
        <v>10</v>
      </c>
      <c r="AJ795" s="6">
        <v>1359</v>
      </c>
      <c r="AK795" s="6">
        <v>4001029.05</v>
      </c>
      <c r="AL795" s="6">
        <v>7023642.8799999999</v>
      </c>
      <c r="AM795" s="6" t="s">
        <v>385</v>
      </c>
      <c r="AN795" s="6" t="s">
        <v>321</v>
      </c>
      <c r="AO795" s="6"/>
      <c r="AP795" s="6">
        <v>60</v>
      </c>
      <c r="AQ795" s="6" t="s">
        <v>392</v>
      </c>
      <c r="AR795" s="6" t="s">
        <v>186</v>
      </c>
      <c r="AS795" s="6" t="s">
        <v>324</v>
      </c>
    </row>
    <row r="796" spans="1:45" x14ac:dyDescent="0.3">
      <c r="A796" s="7" t="s">
        <v>2680</v>
      </c>
      <c r="B796" s="7" t="s">
        <v>5383</v>
      </c>
      <c r="C796" s="7" t="s">
        <v>254</v>
      </c>
      <c r="D796" s="7" t="s">
        <v>250</v>
      </c>
      <c r="E796" s="7" t="s">
        <v>4376</v>
      </c>
      <c r="F796" s="7" t="s">
        <v>31</v>
      </c>
      <c r="G796" s="7" t="s">
        <v>38</v>
      </c>
      <c r="H796" s="7" t="s">
        <v>4326</v>
      </c>
      <c r="I796" s="7" t="s">
        <v>191</v>
      </c>
      <c r="J796" s="7" t="s">
        <v>136</v>
      </c>
      <c r="K796" s="7" t="s">
        <v>210</v>
      </c>
      <c r="L796" s="7" t="s">
        <v>2681</v>
      </c>
      <c r="M796" s="7" t="s">
        <v>3494</v>
      </c>
      <c r="N796" s="7" t="s">
        <v>3978</v>
      </c>
      <c r="O796" s="7" t="s">
        <v>5164</v>
      </c>
      <c r="P796" s="7">
        <v>34</v>
      </c>
      <c r="Q796" s="7">
        <v>5358929</v>
      </c>
      <c r="R796" s="7">
        <v>0.12</v>
      </c>
      <c r="S796" s="7">
        <v>0.1</v>
      </c>
      <c r="T796" s="7">
        <v>5187443.2699999996</v>
      </c>
      <c r="U796" s="7">
        <v>4073487.43</v>
      </c>
      <c r="V796" s="7">
        <v>0.18</v>
      </c>
      <c r="W796" s="7">
        <v>0.12</v>
      </c>
      <c r="X796" s="7" t="s">
        <v>2682</v>
      </c>
      <c r="Y796" s="7">
        <v>4244759.55</v>
      </c>
      <c r="Z796" s="7">
        <v>3387733.77</v>
      </c>
      <c r="AA796" s="7">
        <v>60</v>
      </c>
      <c r="AB796" s="7">
        <v>68</v>
      </c>
      <c r="AC796" s="7"/>
      <c r="AD796" s="7" t="s">
        <v>406</v>
      </c>
      <c r="AE796" s="7">
        <v>0.65</v>
      </c>
      <c r="AF796" s="7" t="s">
        <v>4294</v>
      </c>
      <c r="AG796" s="7">
        <v>0.1</v>
      </c>
      <c r="AH796" s="7">
        <v>7.0000000000000007E-2</v>
      </c>
      <c r="AI796" s="7">
        <v>1</v>
      </c>
      <c r="AJ796" s="7">
        <v>2069</v>
      </c>
      <c r="AK796" s="7">
        <v>704262.4</v>
      </c>
      <c r="AL796" s="7">
        <v>1832316.13</v>
      </c>
      <c r="AM796" s="7" t="s">
        <v>385</v>
      </c>
      <c r="AN796" s="7" t="s">
        <v>321</v>
      </c>
      <c r="AO796" s="7"/>
      <c r="AP796" s="7" t="s">
        <v>4275</v>
      </c>
      <c r="AQ796" s="7" t="s">
        <v>392</v>
      </c>
      <c r="AR796" s="7" t="s">
        <v>229</v>
      </c>
      <c r="AS796" s="7" t="s">
        <v>188</v>
      </c>
    </row>
    <row r="797" spans="1:45" x14ac:dyDescent="0.3">
      <c r="A797" s="6" t="s">
        <v>2683</v>
      </c>
      <c r="B797" s="6" t="s">
        <v>3575</v>
      </c>
      <c r="C797" s="6" t="s">
        <v>201</v>
      </c>
      <c r="D797" s="6" t="s">
        <v>245</v>
      </c>
      <c r="E797" s="6" t="s">
        <v>41</v>
      </c>
      <c r="F797" s="6" t="s">
        <v>228</v>
      </c>
      <c r="G797" s="6" t="s">
        <v>46</v>
      </c>
      <c r="H797" s="6"/>
      <c r="I797" s="6" t="s">
        <v>203</v>
      </c>
      <c r="J797" s="6" t="s">
        <v>105</v>
      </c>
      <c r="K797" s="6" t="s">
        <v>210</v>
      </c>
      <c r="L797" s="6" t="s">
        <v>2684</v>
      </c>
      <c r="M797" s="6" t="s">
        <v>5384</v>
      </c>
      <c r="N797" s="6" t="s">
        <v>5385</v>
      </c>
      <c r="O797" s="6" t="s">
        <v>3998</v>
      </c>
      <c r="P797" s="6">
        <v>45</v>
      </c>
      <c r="Q797" s="6">
        <v>12173212</v>
      </c>
      <c r="R797" s="6">
        <v>0.03</v>
      </c>
      <c r="S797" s="6">
        <v>0</v>
      </c>
      <c r="T797" s="6">
        <v>11808015.640000001</v>
      </c>
      <c r="U797" s="6">
        <v>8776438.2200000007</v>
      </c>
      <c r="V797" s="6">
        <v>0.13</v>
      </c>
      <c r="W797" s="6">
        <v>0.11</v>
      </c>
      <c r="X797" s="6" t="s">
        <v>2685</v>
      </c>
      <c r="Y797" s="6">
        <v>3089038.64</v>
      </c>
      <c r="Z797" s="6">
        <v>1994956.82</v>
      </c>
      <c r="AA797" s="6">
        <v>30</v>
      </c>
      <c r="AB797" s="6">
        <v>100</v>
      </c>
      <c r="AC797" s="6" t="s">
        <v>347</v>
      </c>
      <c r="AD797" s="6" t="s">
        <v>381</v>
      </c>
      <c r="AE797" s="6">
        <v>0.65</v>
      </c>
      <c r="AF797" s="6" t="s">
        <v>4361</v>
      </c>
      <c r="AG797" s="6">
        <v>0.05</v>
      </c>
      <c r="AH797" s="6">
        <v>0.02</v>
      </c>
      <c r="AI797" s="6">
        <v>4</v>
      </c>
      <c r="AJ797" s="6">
        <v>2848</v>
      </c>
      <c r="AK797" s="6"/>
      <c r="AL797" s="6">
        <v>3090878.82</v>
      </c>
      <c r="AM797" s="6"/>
      <c r="AN797" s="6"/>
      <c r="AO797" s="6">
        <v>61.4</v>
      </c>
      <c r="AP797" s="6">
        <v>48</v>
      </c>
      <c r="AQ797" s="6" t="s">
        <v>337</v>
      </c>
      <c r="AR797" s="6" t="s">
        <v>192</v>
      </c>
      <c r="AS797" s="6"/>
    </row>
    <row r="798" spans="1:45" x14ac:dyDescent="0.3">
      <c r="A798" s="7" t="s">
        <v>2686</v>
      </c>
      <c r="B798" s="7" t="s">
        <v>4406</v>
      </c>
      <c r="C798" s="7" t="s">
        <v>241</v>
      </c>
      <c r="D798" s="7" t="s">
        <v>248</v>
      </c>
      <c r="E798" s="7" t="s">
        <v>4376</v>
      </c>
      <c r="F798" s="7" t="s">
        <v>35</v>
      </c>
      <c r="G798" s="7" t="s">
        <v>73</v>
      </c>
      <c r="H798" s="7" t="s">
        <v>4266</v>
      </c>
      <c r="I798" s="7"/>
      <c r="J798" s="7" t="s">
        <v>136</v>
      </c>
      <c r="K798" s="7" t="s">
        <v>204</v>
      </c>
      <c r="L798" s="7" t="s">
        <v>2687</v>
      </c>
      <c r="M798" s="7" t="s">
        <v>5310</v>
      </c>
      <c r="N798" s="7" t="s">
        <v>4724</v>
      </c>
      <c r="O798" s="7" t="s">
        <v>3706</v>
      </c>
      <c r="P798" s="7">
        <v>51</v>
      </c>
      <c r="Q798" s="7">
        <v>2677524</v>
      </c>
      <c r="R798" s="7">
        <v>0.13</v>
      </c>
      <c r="S798" s="7">
        <v>0.18</v>
      </c>
      <c r="T798" s="7">
        <v>2748746.14</v>
      </c>
      <c r="U798" s="7">
        <v>2152285.06</v>
      </c>
      <c r="V798" s="7" t="s">
        <v>4374</v>
      </c>
      <c r="W798" s="7">
        <v>0.11</v>
      </c>
      <c r="X798" s="7" t="s">
        <v>2688</v>
      </c>
      <c r="Y798" s="7">
        <v>1723354.42</v>
      </c>
      <c r="Z798" s="7">
        <v>590544.03</v>
      </c>
      <c r="AA798" s="7">
        <v>45</v>
      </c>
      <c r="AB798" s="7">
        <v>12</v>
      </c>
      <c r="AC798" s="7" t="s">
        <v>342</v>
      </c>
      <c r="AD798" s="7" t="s">
        <v>226</v>
      </c>
      <c r="AE798" s="7">
        <v>0.44</v>
      </c>
      <c r="AF798" s="7" t="s">
        <v>153</v>
      </c>
      <c r="AG798" s="7">
        <v>0.15</v>
      </c>
      <c r="AH798" s="7">
        <v>0.03</v>
      </c>
      <c r="AI798" s="7">
        <v>1</v>
      </c>
      <c r="AJ798" s="7">
        <v>1734</v>
      </c>
      <c r="AK798" s="7">
        <v>384911.53</v>
      </c>
      <c r="AL798" s="7">
        <v>535466.98</v>
      </c>
      <c r="AM798" s="7" t="s">
        <v>73</v>
      </c>
      <c r="AN798" s="7" t="s">
        <v>348</v>
      </c>
      <c r="AO798" s="7">
        <v>81.5</v>
      </c>
      <c r="AP798" s="7">
        <v>12</v>
      </c>
      <c r="AQ798" s="7"/>
      <c r="AR798" s="7" t="s">
        <v>229</v>
      </c>
      <c r="AS798" s="7"/>
    </row>
    <row r="799" spans="1:45" x14ac:dyDescent="0.3">
      <c r="A799" s="6" t="s">
        <v>2689</v>
      </c>
      <c r="B799" s="6" t="s">
        <v>4174</v>
      </c>
      <c r="C799" s="6" t="s">
        <v>280</v>
      </c>
      <c r="D799" s="6" t="s">
        <v>562</v>
      </c>
      <c r="E799" s="6" t="s">
        <v>36</v>
      </c>
      <c r="F799" s="6" t="s">
        <v>339</v>
      </c>
      <c r="G799" s="6" t="s">
        <v>46</v>
      </c>
      <c r="H799" s="6" t="s">
        <v>212</v>
      </c>
      <c r="I799" s="6" t="s">
        <v>246</v>
      </c>
      <c r="J799" s="6" t="s">
        <v>115</v>
      </c>
      <c r="K799" s="6" t="s">
        <v>184</v>
      </c>
      <c r="L799" s="6" t="s">
        <v>2690</v>
      </c>
      <c r="M799" s="6" t="s">
        <v>3468</v>
      </c>
      <c r="N799" s="6" t="s">
        <v>4175</v>
      </c>
      <c r="O799" s="6" t="s">
        <v>4176</v>
      </c>
      <c r="P799" s="6">
        <v>26</v>
      </c>
      <c r="Q799" s="6">
        <v>29653156</v>
      </c>
      <c r="R799" s="6">
        <v>0.12</v>
      </c>
      <c r="S799" s="6">
        <v>-0.04</v>
      </c>
      <c r="T799" s="6">
        <v>25050986.190000001</v>
      </c>
      <c r="U799" s="6">
        <v>20832562.989999998</v>
      </c>
      <c r="V799" s="6">
        <v>0.08</v>
      </c>
      <c r="W799" s="6">
        <v>0.1</v>
      </c>
      <c r="X799" s="6"/>
      <c r="Y799" s="6">
        <v>16010962.49</v>
      </c>
      <c r="Z799" s="6">
        <v>13358032.630000001</v>
      </c>
      <c r="AA799" s="6">
        <v>30</v>
      </c>
      <c r="AB799" s="6">
        <v>72</v>
      </c>
      <c r="AC799" s="6"/>
      <c r="AD799" s="6" t="s">
        <v>226</v>
      </c>
      <c r="AE799" s="6">
        <v>0.23</v>
      </c>
      <c r="AF799" s="6" t="s">
        <v>4276</v>
      </c>
      <c r="AG799" s="6">
        <v>0.1</v>
      </c>
      <c r="AH799" s="6">
        <v>0.04</v>
      </c>
      <c r="AI799" s="6">
        <v>6</v>
      </c>
      <c r="AJ799" s="6">
        <v>1129</v>
      </c>
      <c r="AK799" s="6">
        <v>3486288.02</v>
      </c>
      <c r="AL799" s="6">
        <v>7096381.5199999996</v>
      </c>
      <c r="AM799" s="6" t="s">
        <v>343</v>
      </c>
      <c r="AN799" s="6" t="s">
        <v>386</v>
      </c>
      <c r="AO799" s="6">
        <v>99</v>
      </c>
      <c r="AP799" s="6" t="s">
        <v>4275</v>
      </c>
      <c r="AQ799" s="6" t="s">
        <v>387</v>
      </c>
      <c r="AR799" s="6" t="s">
        <v>192</v>
      </c>
      <c r="AS799" s="6" t="s">
        <v>324</v>
      </c>
    </row>
    <row r="800" spans="1:45" x14ac:dyDescent="0.3">
      <c r="A800" s="7" t="s">
        <v>2691</v>
      </c>
      <c r="B800" s="7" t="s">
        <v>5386</v>
      </c>
      <c r="C800" s="7" t="s">
        <v>270</v>
      </c>
      <c r="D800" s="7" t="s">
        <v>238</v>
      </c>
      <c r="E800" s="7" t="s">
        <v>20</v>
      </c>
      <c r="F800" s="7" t="s">
        <v>31</v>
      </c>
      <c r="G800" s="7" t="s">
        <v>54</v>
      </c>
      <c r="H800" s="7"/>
      <c r="I800" s="7" t="s">
        <v>4291</v>
      </c>
      <c r="J800" s="7" t="s">
        <v>136</v>
      </c>
      <c r="K800" s="7" t="s">
        <v>199</v>
      </c>
      <c r="L800" s="7" t="s">
        <v>2692</v>
      </c>
      <c r="M800" s="7" t="s">
        <v>4849</v>
      </c>
      <c r="N800" s="7" t="s">
        <v>3728</v>
      </c>
      <c r="O800" s="7" t="s">
        <v>3770</v>
      </c>
      <c r="P800" s="7">
        <v>13</v>
      </c>
      <c r="Q800" s="7" t="s">
        <v>4275</v>
      </c>
      <c r="R800" s="7">
        <v>0.09</v>
      </c>
      <c r="S800" s="7">
        <v>-0.01</v>
      </c>
      <c r="T800" s="7">
        <v>365135.67</v>
      </c>
      <c r="U800" s="7">
        <v>294644.53000000003</v>
      </c>
      <c r="V800" s="7">
        <v>0.1</v>
      </c>
      <c r="W800" s="7">
        <v>7.0000000000000007E-2</v>
      </c>
      <c r="X800" s="7" t="s">
        <v>2693</v>
      </c>
      <c r="Y800" s="7">
        <v>286858.40999999997</v>
      </c>
      <c r="Z800" s="7">
        <v>201438.41</v>
      </c>
      <c r="AA800" s="7">
        <v>45</v>
      </c>
      <c r="AB800" s="7">
        <v>66</v>
      </c>
      <c r="AC800" s="7" t="s">
        <v>347</v>
      </c>
      <c r="AD800" s="7" t="s">
        <v>320</v>
      </c>
      <c r="AE800" s="7">
        <v>0.9</v>
      </c>
      <c r="AF800" s="7" t="s">
        <v>4319</v>
      </c>
      <c r="AG800" s="7">
        <v>0.1</v>
      </c>
      <c r="AH800" s="7">
        <v>0.01</v>
      </c>
      <c r="AI800" s="7">
        <v>0</v>
      </c>
      <c r="AJ800" s="7">
        <v>1485</v>
      </c>
      <c r="AK800" s="7">
        <v>32688.05</v>
      </c>
      <c r="AL800" s="7">
        <v>88465.16</v>
      </c>
      <c r="AM800" s="7" t="s">
        <v>385</v>
      </c>
      <c r="AN800" s="7" t="s">
        <v>386</v>
      </c>
      <c r="AO800" s="7">
        <v>82.4</v>
      </c>
      <c r="AP800" s="7">
        <v>24</v>
      </c>
      <c r="AQ800" s="7" t="s">
        <v>337</v>
      </c>
      <c r="AR800" s="7" t="s">
        <v>229</v>
      </c>
      <c r="AS800" s="7" t="s">
        <v>377</v>
      </c>
    </row>
    <row r="801" spans="1:45" x14ac:dyDescent="0.3">
      <c r="A801" s="6" t="s">
        <v>2694</v>
      </c>
      <c r="B801" s="6" t="s">
        <v>4108</v>
      </c>
      <c r="C801" s="6" t="s">
        <v>234</v>
      </c>
      <c r="D801" s="6" t="s">
        <v>180</v>
      </c>
      <c r="E801" s="6" t="s">
        <v>113</v>
      </c>
      <c r="F801" s="6" t="s">
        <v>181</v>
      </c>
      <c r="G801" s="6" t="s">
        <v>38</v>
      </c>
      <c r="H801" s="6" t="s">
        <v>4266</v>
      </c>
      <c r="I801" s="6" t="s">
        <v>246</v>
      </c>
      <c r="J801" s="6" t="s">
        <v>127</v>
      </c>
      <c r="K801" s="6" t="s">
        <v>326</v>
      </c>
      <c r="L801" s="6" t="s">
        <v>2695</v>
      </c>
      <c r="M801" s="6" t="s">
        <v>5387</v>
      </c>
      <c r="N801" s="6" t="s">
        <v>4449</v>
      </c>
      <c r="O801" s="6" t="s">
        <v>5388</v>
      </c>
      <c r="P801" s="6">
        <v>51</v>
      </c>
      <c r="Q801" s="6">
        <v>42127015</v>
      </c>
      <c r="R801" s="6">
        <v>0.21</v>
      </c>
      <c r="S801" s="6">
        <v>0</v>
      </c>
      <c r="T801" s="6">
        <v>33280341.850000001</v>
      </c>
      <c r="U801" s="6">
        <v>25246075.440000001</v>
      </c>
      <c r="V801" s="6">
        <v>0.14000000000000001</v>
      </c>
      <c r="W801" s="6">
        <v>0.16</v>
      </c>
      <c r="X801" s="6" t="s">
        <v>2696</v>
      </c>
      <c r="Y801" s="6">
        <v>7094669.9699999997</v>
      </c>
      <c r="Z801" s="6">
        <v>5448654.46</v>
      </c>
      <c r="AA801" s="6">
        <v>60</v>
      </c>
      <c r="AB801" s="6">
        <v>91</v>
      </c>
      <c r="AC801" s="6" t="s">
        <v>353</v>
      </c>
      <c r="AD801" s="6" t="s">
        <v>354</v>
      </c>
      <c r="AE801" s="6">
        <v>0.23</v>
      </c>
      <c r="AF801" s="6" t="s">
        <v>4303</v>
      </c>
      <c r="AG801" s="6">
        <v>0.15</v>
      </c>
      <c r="AH801" s="6">
        <v>0.1</v>
      </c>
      <c r="AI801" s="6">
        <v>1</v>
      </c>
      <c r="AJ801" s="6">
        <v>4410</v>
      </c>
      <c r="AK801" s="6">
        <v>3282614.11</v>
      </c>
      <c r="AL801" s="6">
        <v>7260476.8200000003</v>
      </c>
      <c r="AM801" s="6" t="s">
        <v>343</v>
      </c>
      <c r="AN801" s="6" t="s">
        <v>321</v>
      </c>
      <c r="AO801" s="6"/>
      <c r="AP801" s="6">
        <v>12</v>
      </c>
      <c r="AQ801" s="6" t="s">
        <v>323</v>
      </c>
      <c r="AR801" s="6" t="s">
        <v>229</v>
      </c>
      <c r="AS801" s="6"/>
    </row>
    <row r="802" spans="1:45" x14ac:dyDescent="0.3">
      <c r="A802" s="7" t="s">
        <v>2697</v>
      </c>
      <c r="B802" s="7" t="s">
        <v>5237</v>
      </c>
      <c r="C802" s="7" t="s">
        <v>284</v>
      </c>
      <c r="D802" s="7" t="s">
        <v>281</v>
      </c>
      <c r="E802" s="7" t="s">
        <v>20</v>
      </c>
      <c r="F802" s="7" t="s">
        <v>35</v>
      </c>
      <c r="G802" s="7" t="s">
        <v>70</v>
      </c>
      <c r="H802" s="7" t="s">
        <v>212</v>
      </c>
      <c r="I802" s="7" t="s">
        <v>191</v>
      </c>
      <c r="J802" s="7" t="s">
        <v>136</v>
      </c>
      <c r="K802" s="7" t="s">
        <v>199</v>
      </c>
      <c r="L802" s="7" t="s">
        <v>2698</v>
      </c>
      <c r="M802" s="7" t="s">
        <v>5389</v>
      </c>
      <c r="N802" s="7"/>
      <c r="O802" s="7" t="s">
        <v>4177</v>
      </c>
      <c r="P802" s="7">
        <v>59</v>
      </c>
      <c r="Q802" s="7">
        <v>503954</v>
      </c>
      <c r="R802" s="7">
        <v>0.28999999999999998</v>
      </c>
      <c r="S802" s="7">
        <v>0.18</v>
      </c>
      <c r="T802" s="7">
        <v>422212.66</v>
      </c>
      <c r="U802" s="7">
        <v>347882.52</v>
      </c>
      <c r="V802" s="7">
        <v>0.38</v>
      </c>
      <c r="W802" s="7">
        <v>0.11</v>
      </c>
      <c r="X802" s="7" t="s">
        <v>2699</v>
      </c>
      <c r="Y802" s="7">
        <v>167856.36</v>
      </c>
      <c r="Z802" s="7">
        <v>62257.86</v>
      </c>
      <c r="AA802" s="7">
        <v>90</v>
      </c>
      <c r="AB802" s="7">
        <v>110</v>
      </c>
      <c r="AC802" s="7"/>
      <c r="AD802" s="7" t="s">
        <v>455</v>
      </c>
      <c r="AE802" s="7">
        <v>0.87</v>
      </c>
      <c r="AF802" s="7"/>
      <c r="AG802" s="7">
        <v>0.15</v>
      </c>
      <c r="AH802" s="7">
        <v>0.09</v>
      </c>
      <c r="AI802" s="7">
        <v>14</v>
      </c>
      <c r="AJ802" s="7">
        <v>3215</v>
      </c>
      <c r="AK802" s="7">
        <v>21791.48</v>
      </c>
      <c r="AL802" s="7">
        <v>176257.87</v>
      </c>
      <c r="AM802" s="7" t="s">
        <v>355</v>
      </c>
      <c r="AN802" s="7"/>
      <c r="AO802" s="7"/>
      <c r="AP802" s="7">
        <v>24</v>
      </c>
      <c r="AQ802" s="7" t="s">
        <v>323</v>
      </c>
      <c r="AR802" s="7" t="s">
        <v>229</v>
      </c>
      <c r="AS802" s="7" t="s">
        <v>361</v>
      </c>
    </row>
    <row r="803" spans="1:45" x14ac:dyDescent="0.3">
      <c r="A803" s="6" t="s">
        <v>2700</v>
      </c>
      <c r="B803" s="6" t="s">
        <v>4998</v>
      </c>
      <c r="C803" s="6" t="s">
        <v>244</v>
      </c>
      <c r="D803" s="6" t="s">
        <v>180</v>
      </c>
      <c r="E803" s="6" t="s">
        <v>4376</v>
      </c>
      <c r="F803" s="6" t="s">
        <v>31</v>
      </c>
      <c r="G803" s="6" t="s">
        <v>57</v>
      </c>
      <c r="H803" s="6"/>
      <c r="I803" s="6" t="s">
        <v>4289</v>
      </c>
      <c r="J803" s="6" t="s">
        <v>136</v>
      </c>
      <c r="K803" s="6" t="s">
        <v>223</v>
      </c>
      <c r="L803" s="6" t="s">
        <v>2701</v>
      </c>
      <c r="M803" s="6" t="s">
        <v>4178</v>
      </c>
      <c r="N803" s="6" t="s">
        <v>2702</v>
      </c>
      <c r="O803" s="6" t="s">
        <v>5390</v>
      </c>
      <c r="P803" s="6">
        <v>51</v>
      </c>
      <c r="Q803" s="6">
        <v>31492568</v>
      </c>
      <c r="R803" s="6">
        <v>0.31</v>
      </c>
      <c r="S803" s="6">
        <v>0.15</v>
      </c>
      <c r="T803" s="6">
        <v>24989352.710000001</v>
      </c>
      <c r="U803" s="6">
        <v>17299373.109999999</v>
      </c>
      <c r="V803" s="6">
        <v>0.06</v>
      </c>
      <c r="W803" s="6">
        <v>0.17</v>
      </c>
      <c r="X803" s="6"/>
      <c r="Y803" s="6">
        <v>3467121.2</v>
      </c>
      <c r="Z803" s="6">
        <v>1157872.6499999999</v>
      </c>
      <c r="AA803" s="6">
        <v>60</v>
      </c>
      <c r="AB803" s="6">
        <v>135</v>
      </c>
      <c r="AC803" s="6" t="s">
        <v>353</v>
      </c>
      <c r="AD803" s="6" t="s">
        <v>354</v>
      </c>
      <c r="AE803" s="6">
        <v>0.7</v>
      </c>
      <c r="AF803" s="6" t="s">
        <v>4361</v>
      </c>
      <c r="AG803" s="6">
        <v>0.15</v>
      </c>
      <c r="AH803" s="6">
        <v>0.05</v>
      </c>
      <c r="AI803" s="6">
        <v>0</v>
      </c>
      <c r="AJ803" s="6">
        <v>497</v>
      </c>
      <c r="AK803" s="6">
        <v>5112374.3</v>
      </c>
      <c r="AL803" s="6">
        <v>6775144.0899999999</v>
      </c>
      <c r="AM803" s="6" t="s">
        <v>73</v>
      </c>
      <c r="AN803" s="6" t="s">
        <v>386</v>
      </c>
      <c r="AO803" s="6">
        <v>92.2</v>
      </c>
      <c r="AP803" s="6">
        <v>36</v>
      </c>
      <c r="AQ803" s="6" t="s">
        <v>337</v>
      </c>
      <c r="AR803" s="6" t="s">
        <v>229</v>
      </c>
      <c r="AS803" s="6" t="s">
        <v>357</v>
      </c>
    </row>
    <row r="804" spans="1:45" x14ac:dyDescent="0.3">
      <c r="A804" s="7" t="s">
        <v>2703</v>
      </c>
      <c r="B804" s="7" t="s">
        <v>5391</v>
      </c>
      <c r="C804" s="7" t="s">
        <v>280</v>
      </c>
      <c r="D804" s="7" t="s">
        <v>248</v>
      </c>
      <c r="E804" s="7" t="s">
        <v>36</v>
      </c>
      <c r="F804" s="7" t="s">
        <v>339</v>
      </c>
      <c r="G804" s="7" t="s">
        <v>23</v>
      </c>
      <c r="H804" s="7" t="s">
        <v>212</v>
      </c>
      <c r="I804" s="7" t="s">
        <v>233</v>
      </c>
      <c r="J804" s="7" t="s">
        <v>115</v>
      </c>
      <c r="K804" s="7" t="s">
        <v>199</v>
      </c>
      <c r="L804" s="7" t="s">
        <v>2704</v>
      </c>
      <c r="M804" s="7" t="s">
        <v>4179</v>
      </c>
      <c r="N804" s="7" t="s">
        <v>3782</v>
      </c>
      <c r="O804" s="7" t="s">
        <v>4925</v>
      </c>
      <c r="P804" s="7">
        <v>50</v>
      </c>
      <c r="Q804" s="7">
        <v>4202983</v>
      </c>
      <c r="R804" s="7">
        <v>0.23</v>
      </c>
      <c r="S804" s="7">
        <v>0.05</v>
      </c>
      <c r="T804" s="7">
        <v>3398111.76</v>
      </c>
      <c r="U804" s="7">
        <v>2245777.48</v>
      </c>
      <c r="V804" s="7">
        <v>7.0000000000000007E-2</v>
      </c>
      <c r="W804" s="7">
        <v>0.18</v>
      </c>
      <c r="X804" s="7" t="s">
        <v>2705</v>
      </c>
      <c r="Y804" s="7">
        <v>1476445.28</v>
      </c>
      <c r="Z804" s="7">
        <v>699571.58</v>
      </c>
      <c r="AA804" s="7">
        <v>90</v>
      </c>
      <c r="AB804" s="7">
        <v>18</v>
      </c>
      <c r="AC804" s="7" t="s">
        <v>353</v>
      </c>
      <c r="AD804" s="7" t="s">
        <v>320</v>
      </c>
      <c r="AE804" s="7">
        <v>0.3</v>
      </c>
      <c r="AF804" s="7"/>
      <c r="AG804" s="7">
        <v>0.1</v>
      </c>
      <c r="AH804" s="7">
        <v>0.05</v>
      </c>
      <c r="AI804" s="7">
        <v>2</v>
      </c>
      <c r="AJ804" s="7">
        <v>4888</v>
      </c>
      <c r="AK804" s="7">
        <v>88010.15</v>
      </c>
      <c r="AL804" s="7">
        <v>423271.65</v>
      </c>
      <c r="AM804" s="7" t="s">
        <v>355</v>
      </c>
      <c r="AN804" s="7" t="s">
        <v>330</v>
      </c>
      <c r="AO804" s="7"/>
      <c r="AP804" s="7">
        <v>24</v>
      </c>
      <c r="AQ804" s="7" t="s">
        <v>392</v>
      </c>
      <c r="AR804" s="7" t="s">
        <v>229</v>
      </c>
      <c r="AS804" s="7"/>
    </row>
    <row r="805" spans="1:45" x14ac:dyDescent="0.3">
      <c r="A805" s="6" t="s">
        <v>2706</v>
      </c>
      <c r="B805" s="6" t="s">
        <v>5201</v>
      </c>
      <c r="C805" s="6" t="s">
        <v>268</v>
      </c>
      <c r="D805" s="6" t="s">
        <v>281</v>
      </c>
      <c r="E805" s="6" t="s">
        <v>113</v>
      </c>
      <c r="F805" s="6" t="s">
        <v>367</v>
      </c>
      <c r="G805" s="6" t="s">
        <v>38</v>
      </c>
      <c r="H805" s="6" t="s">
        <v>197</v>
      </c>
      <c r="I805" s="6" t="s">
        <v>203</v>
      </c>
      <c r="J805" s="6" t="s">
        <v>111</v>
      </c>
      <c r="K805" s="6" t="s">
        <v>326</v>
      </c>
      <c r="L805" s="6" t="s">
        <v>2707</v>
      </c>
      <c r="M805" s="6" t="s">
        <v>3655</v>
      </c>
      <c r="N805" s="6" t="s">
        <v>4180</v>
      </c>
      <c r="O805" s="6" t="s">
        <v>3688</v>
      </c>
      <c r="P805" s="6">
        <v>51</v>
      </c>
      <c r="Q805" s="6">
        <v>30137876</v>
      </c>
      <c r="R805" s="6">
        <v>0.19</v>
      </c>
      <c r="S805" s="6">
        <v>0.11</v>
      </c>
      <c r="T805" s="6">
        <v>27096964.309999999</v>
      </c>
      <c r="U805" s="6">
        <v>21738888.75</v>
      </c>
      <c r="V805" s="6">
        <v>0.13</v>
      </c>
      <c r="W805" s="6">
        <v>0.1</v>
      </c>
      <c r="X805" s="6" t="s">
        <v>2708</v>
      </c>
      <c r="Y805" s="6">
        <v>23563257.460000001</v>
      </c>
      <c r="Z805" s="6">
        <v>16001676.35</v>
      </c>
      <c r="AA805" s="6">
        <v>90</v>
      </c>
      <c r="AB805" s="6">
        <v>98</v>
      </c>
      <c r="AC805" s="6" t="s">
        <v>376</v>
      </c>
      <c r="AD805" s="6" t="s">
        <v>354</v>
      </c>
      <c r="AE805" s="6">
        <v>0.36</v>
      </c>
      <c r="AF805" s="6" t="s">
        <v>162</v>
      </c>
      <c r="AG805" s="6">
        <v>0.05</v>
      </c>
      <c r="AH805" s="6">
        <v>0.02</v>
      </c>
      <c r="AI805" s="6">
        <v>9</v>
      </c>
      <c r="AJ805" s="6">
        <v>2942</v>
      </c>
      <c r="AK805" s="6">
        <v>3030561.28</v>
      </c>
      <c r="AL805" s="6">
        <v>12888421.970000001</v>
      </c>
      <c r="AM805" s="6" t="s">
        <v>73</v>
      </c>
      <c r="AN805" s="6" t="s">
        <v>356</v>
      </c>
      <c r="AO805" s="6">
        <v>87.8</v>
      </c>
      <c r="AP805" s="6">
        <v>12</v>
      </c>
      <c r="AQ805" s="6" t="s">
        <v>337</v>
      </c>
      <c r="AR805" s="6" t="s">
        <v>229</v>
      </c>
      <c r="AS805" s="6" t="s">
        <v>361</v>
      </c>
    </row>
    <row r="806" spans="1:45" x14ac:dyDescent="0.3">
      <c r="A806" s="7" t="s">
        <v>2709</v>
      </c>
      <c r="B806" s="7" t="s">
        <v>4321</v>
      </c>
      <c r="C806" s="7" t="s">
        <v>247</v>
      </c>
      <c r="D806" s="7" t="s">
        <v>262</v>
      </c>
      <c r="E806" s="7"/>
      <c r="F806" s="7" t="s">
        <v>196</v>
      </c>
      <c r="G806" s="7" t="s">
        <v>62</v>
      </c>
      <c r="H806" s="7" t="s">
        <v>236</v>
      </c>
      <c r="I806" s="7"/>
      <c r="J806" s="7" t="s">
        <v>99</v>
      </c>
      <c r="K806" s="7" t="s">
        <v>223</v>
      </c>
      <c r="L806" s="7" t="s">
        <v>2710</v>
      </c>
      <c r="M806" s="7" t="s">
        <v>4573</v>
      </c>
      <c r="N806" s="7"/>
      <c r="O806" s="7" t="s">
        <v>5315</v>
      </c>
      <c r="P806" s="7" t="s">
        <v>4275</v>
      </c>
      <c r="Q806" s="7">
        <v>34044824</v>
      </c>
      <c r="R806" s="7">
        <v>0.31</v>
      </c>
      <c r="S806" s="7">
        <v>0.12</v>
      </c>
      <c r="T806" s="7">
        <v>26309839.989999998</v>
      </c>
      <c r="U806" s="7">
        <v>20678547.82</v>
      </c>
      <c r="V806" s="7">
        <v>0.36</v>
      </c>
      <c r="W806" s="7">
        <v>0.09</v>
      </c>
      <c r="X806" s="7" t="s">
        <v>2711</v>
      </c>
      <c r="Y806" s="7">
        <v>14964613.039999999</v>
      </c>
      <c r="Z806" s="7">
        <v>16202906.630000001</v>
      </c>
      <c r="AA806" s="7">
        <v>30</v>
      </c>
      <c r="AB806" s="7">
        <v>18</v>
      </c>
      <c r="AC806" s="7" t="s">
        <v>376</v>
      </c>
      <c r="AD806" s="7" t="s">
        <v>381</v>
      </c>
      <c r="AE806" s="7">
        <v>0.94</v>
      </c>
      <c r="AF806" s="7" t="s">
        <v>4294</v>
      </c>
      <c r="AG806" s="7">
        <v>0.15</v>
      </c>
      <c r="AH806" s="7">
        <v>7.0000000000000007E-2</v>
      </c>
      <c r="AI806" s="7">
        <v>12</v>
      </c>
      <c r="AJ806" s="7">
        <v>2136</v>
      </c>
      <c r="AK806" s="7">
        <v>3767360.52</v>
      </c>
      <c r="AL806" s="7"/>
      <c r="AM806" s="7" t="s">
        <v>321</v>
      </c>
      <c r="AN806" s="7" t="s">
        <v>386</v>
      </c>
      <c r="AO806" s="7">
        <v>93.6</v>
      </c>
      <c r="AP806" s="7">
        <v>60</v>
      </c>
      <c r="AQ806" s="7" t="s">
        <v>4275</v>
      </c>
      <c r="AR806" s="7" t="s">
        <v>206</v>
      </c>
      <c r="AS806" s="7" t="s">
        <v>188</v>
      </c>
    </row>
    <row r="807" spans="1:45" x14ac:dyDescent="0.3">
      <c r="A807" s="6" t="s">
        <v>2712</v>
      </c>
      <c r="B807" s="6" t="s">
        <v>3939</v>
      </c>
      <c r="C807" s="6" t="s">
        <v>225</v>
      </c>
      <c r="D807" s="6" t="s">
        <v>245</v>
      </c>
      <c r="E807" s="6" t="s">
        <v>4270</v>
      </c>
      <c r="F807" s="6" t="s">
        <v>367</v>
      </c>
      <c r="G807" s="6" t="s">
        <v>57</v>
      </c>
      <c r="H807" s="6" t="s">
        <v>4340</v>
      </c>
      <c r="I807" s="6" t="s">
        <v>183</v>
      </c>
      <c r="J807" s="6" t="s">
        <v>111</v>
      </c>
      <c r="K807" s="6" t="s">
        <v>333</v>
      </c>
      <c r="L807" s="6" t="s">
        <v>2713</v>
      </c>
      <c r="M807" s="6" t="s">
        <v>3634</v>
      </c>
      <c r="N807" s="6"/>
      <c r="O807" s="6" t="s">
        <v>4013</v>
      </c>
      <c r="P807" s="6">
        <v>56</v>
      </c>
      <c r="Q807" s="6">
        <v>36389312</v>
      </c>
      <c r="R807" s="6">
        <v>0.25</v>
      </c>
      <c r="S807" s="6">
        <v>0.05</v>
      </c>
      <c r="T807" s="6">
        <v>28656583.199999999</v>
      </c>
      <c r="U807" s="6">
        <v>20849056.91</v>
      </c>
      <c r="V807" s="6">
        <v>0.3</v>
      </c>
      <c r="W807" s="6">
        <v>0.11</v>
      </c>
      <c r="X807" s="6" t="s">
        <v>2714</v>
      </c>
      <c r="Y807" s="6">
        <v>23072030.989999998</v>
      </c>
      <c r="Z807" s="6">
        <v>22439019.629999999</v>
      </c>
      <c r="AA807" s="6">
        <v>45</v>
      </c>
      <c r="AB807" s="6">
        <v>125</v>
      </c>
      <c r="AC807" s="6" t="s">
        <v>353</v>
      </c>
      <c r="AD807" s="6" t="s">
        <v>406</v>
      </c>
      <c r="AE807" s="6">
        <v>0.21</v>
      </c>
      <c r="AF807" s="6" t="s">
        <v>4294</v>
      </c>
      <c r="AG807" s="6">
        <v>0.1</v>
      </c>
      <c r="AH807" s="6">
        <v>0.08</v>
      </c>
      <c r="AI807" s="6">
        <v>3</v>
      </c>
      <c r="AJ807" s="6">
        <v>3545</v>
      </c>
      <c r="AK807" s="6">
        <v>6653563.9400000004</v>
      </c>
      <c r="AL807" s="6">
        <v>11308467.23</v>
      </c>
      <c r="AM807" s="6" t="s">
        <v>73</v>
      </c>
      <c r="AN807" s="6" t="s">
        <v>386</v>
      </c>
      <c r="AO807" s="6">
        <v>83.1</v>
      </c>
      <c r="AP807" s="6">
        <v>24</v>
      </c>
      <c r="AQ807" s="6"/>
      <c r="AR807" s="6" t="s">
        <v>229</v>
      </c>
      <c r="AS807" s="6" t="s">
        <v>357</v>
      </c>
    </row>
    <row r="808" spans="1:45" x14ac:dyDescent="0.3">
      <c r="A808" s="7" t="s">
        <v>2715</v>
      </c>
      <c r="B808" s="7" t="s">
        <v>5072</v>
      </c>
      <c r="C808" s="7" t="s">
        <v>230</v>
      </c>
      <c r="D808" s="7" t="s">
        <v>209</v>
      </c>
      <c r="E808" s="7" t="s">
        <v>20</v>
      </c>
      <c r="F808" s="7" t="s">
        <v>196</v>
      </c>
      <c r="G808" s="7" t="s">
        <v>46</v>
      </c>
      <c r="H808" s="7" t="s">
        <v>4340</v>
      </c>
      <c r="I808" s="7" t="s">
        <v>4307</v>
      </c>
      <c r="J808" s="7" t="s">
        <v>136</v>
      </c>
      <c r="K808" s="7" t="s">
        <v>221</v>
      </c>
      <c r="L808" s="7" t="s">
        <v>2716</v>
      </c>
      <c r="M808" s="7" t="s">
        <v>3522</v>
      </c>
      <c r="N808" s="7"/>
      <c r="O808" s="7" t="s">
        <v>5392</v>
      </c>
      <c r="P808" s="7">
        <v>21</v>
      </c>
      <c r="Q808" s="7">
        <v>43971989</v>
      </c>
      <c r="R808" s="7">
        <v>0.34</v>
      </c>
      <c r="S808" s="7">
        <v>0.18</v>
      </c>
      <c r="T808" s="7">
        <v>34245385.030000001</v>
      </c>
      <c r="U808" s="7">
        <v>29505545.27</v>
      </c>
      <c r="V808" s="7">
        <v>0.39</v>
      </c>
      <c r="W808" s="7">
        <v>0.1</v>
      </c>
      <c r="X808" s="7" t="s">
        <v>2717</v>
      </c>
      <c r="Y808" s="7">
        <v>14042890.27</v>
      </c>
      <c r="Z808" s="7">
        <v>4689373.03</v>
      </c>
      <c r="AA808" s="7">
        <v>90</v>
      </c>
      <c r="AB808" s="7">
        <v>27</v>
      </c>
      <c r="AC808" s="7" t="s">
        <v>342</v>
      </c>
      <c r="AD808" s="7" t="s">
        <v>336</v>
      </c>
      <c r="AE808" s="7">
        <v>0.42</v>
      </c>
      <c r="AF808" s="7" t="s">
        <v>159</v>
      </c>
      <c r="AG808" s="7">
        <v>0.1</v>
      </c>
      <c r="AH808" s="7">
        <v>0.02</v>
      </c>
      <c r="AI808" s="7">
        <v>8</v>
      </c>
      <c r="AJ808" s="7">
        <v>4644</v>
      </c>
      <c r="AK808" s="7">
        <v>4186895.36</v>
      </c>
      <c r="AL808" s="7">
        <v>16683651.390000001</v>
      </c>
      <c r="AM808" s="7" t="s">
        <v>73</v>
      </c>
      <c r="AN808" s="7" t="s">
        <v>386</v>
      </c>
      <c r="AO808" s="7">
        <v>59.3</v>
      </c>
      <c r="AP808" s="7">
        <v>12</v>
      </c>
      <c r="AQ808" s="7" t="s">
        <v>387</v>
      </c>
      <c r="AR808" s="7" t="s">
        <v>192</v>
      </c>
      <c r="AS808" s="7" t="s">
        <v>188</v>
      </c>
    </row>
    <row r="809" spans="1:45" x14ac:dyDescent="0.3">
      <c r="A809" s="6" t="s">
        <v>2718</v>
      </c>
      <c r="B809" s="6" t="s">
        <v>3864</v>
      </c>
      <c r="C809" s="6" t="s">
        <v>225</v>
      </c>
      <c r="D809" s="6" t="s">
        <v>255</v>
      </c>
      <c r="E809" s="6" t="s">
        <v>113</v>
      </c>
      <c r="F809" s="6" t="s">
        <v>181</v>
      </c>
      <c r="G809" s="6" t="s">
        <v>46</v>
      </c>
      <c r="H809" s="6" t="s">
        <v>216</v>
      </c>
      <c r="I809" s="6" t="s">
        <v>183</v>
      </c>
      <c r="J809" s="6" t="s">
        <v>127</v>
      </c>
      <c r="K809" s="6" t="s">
        <v>210</v>
      </c>
      <c r="L809" s="6" t="s">
        <v>2719</v>
      </c>
      <c r="M809" s="6" t="s">
        <v>5393</v>
      </c>
      <c r="N809" s="6" t="s">
        <v>4181</v>
      </c>
      <c r="O809" s="6" t="s">
        <v>3400</v>
      </c>
      <c r="P809" s="6">
        <v>33</v>
      </c>
      <c r="Q809" s="6">
        <v>6722391</v>
      </c>
      <c r="R809" s="6">
        <v>0.28000000000000003</v>
      </c>
      <c r="S809" s="6">
        <v>0.05</v>
      </c>
      <c r="T809" s="6">
        <v>5082127.5999999996</v>
      </c>
      <c r="U809" s="6"/>
      <c r="V809" s="6">
        <v>0.28000000000000003</v>
      </c>
      <c r="W809" s="6">
        <v>7.0000000000000007E-2</v>
      </c>
      <c r="X809" s="6" t="s">
        <v>2720</v>
      </c>
      <c r="Y809" s="6">
        <v>3984716.63</v>
      </c>
      <c r="Z809" s="6">
        <v>2192276.27</v>
      </c>
      <c r="AA809" s="6">
        <v>120</v>
      </c>
      <c r="AB809" s="6">
        <v>51</v>
      </c>
      <c r="AC809" s="6"/>
      <c r="AD809" s="6" t="s">
        <v>336</v>
      </c>
      <c r="AE809" s="6">
        <v>0.23</v>
      </c>
      <c r="AF809" s="6"/>
      <c r="AG809" s="6">
        <v>0.1</v>
      </c>
      <c r="AH809" s="6">
        <v>0.02</v>
      </c>
      <c r="AI809" s="6">
        <v>10</v>
      </c>
      <c r="AJ809" s="6">
        <v>3191</v>
      </c>
      <c r="AK809" s="6">
        <v>1111834.69</v>
      </c>
      <c r="AL809" s="6">
        <v>2286531.96</v>
      </c>
      <c r="AM809" s="6" t="s">
        <v>355</v>
      </c>
      <c r="AN809" s="6" t="s">
        <v>348</v>
      </c>
      <c r="AO809" s="6">
        <v>52.1</v>
      </c>
      <c r="AP809" s="6">
        <v>60</v>
      </c>
      <c r="AQ809" s="6" t="s">
        <v>387</v>
      </c>
      <c r="AR809" s="6" t="s">
        <v>229</v>
      </c>
      <c r="AS809" s="6" t="s">
        <v>324</v>
      </c>
    </row>
    <row r="810" spans="1:45" x14ac:dyDescent="0.3">
      <c r="A810" s="7" t="s">
        <v>2721</v>
      </c>
      <c r="B810" s="7" t="s">
        <v>5394</v>
      </c>
      <c r="C810" s="7" t="s">
        <v>239</v>
      </c>
      <c r="D810" s="7" t="s">
        <v>265</v>
      </c>
      <c r="E810" s="7"/>
      <c r="F810" s="7" t="s">
        <v>35</v>
      </c>
      <c r="G810" s="7" t="s">
        <v>33</v>
      </c>
      <c r="H810" s="7" t="s">
        <v>4271</v>
      </c>
      <c r="I810" s="7" t="s">
        <v>191</v>
      </c>
      <c r="J810" s="7" t="s">
        <v>99</v>
      </c>
      <c r="K810" s="7" t="s">
        <v>210</v>
      </c>
      <c r="L810" s="7" t="s">
        <v>2722</v>
      </c>
      <c r="M810" s="7" t="s">
        <v>4182</v>
      </c>
      <c r="N810" s="7"/>
      <c r="O810" s="7" t="s">
        <v>4657</v>
      </c>
      <c r="P810" s="7" t="s">
        <v>4275</v>
      </c>
      <c r="Q810" s="7">
        <v>20352787</v>
      </c>
      <c r="R810" s="7">
        <v>0.34</v>
      </c>
      <c r="S810" s="7">
        <v>0.03</v>
      </c>
      <c r="T810" s="7">
        <v>13835824.6</v>
      </c>
      <c r="U810" s="7">
        <v>10307612.16</v>
      </c>
      <c r="V810" s="7">
        <v>7.0000000000000007E-2</v>
      </c>
      <c r="W810" s="7">
        <v>0.14000000000000001</v>
      </c>
      <c r="X810" s="7" t="s">
        <v>2723</v>
      </c>
      <c r="Y810" s="7">
        <v>4330801.91</v>
      </c>
      <c r="Z810" s="7">
        <v>3307167.3</v>
      </c>
      <c r="AA810" s="7">
        <v>30</v>
      </c>
      <c r="AB810" s="7">
        <v>8</v>
      </c>
      <c r="AC810" s="7" t="s">
        <v>347</v>
      </c>
      <c r="AD810" s="7" t="s">
        <v>320</v>
      </c>
      <c r="AE810" s="7">
        <v>0.67</v>
      </c>
      <c r="AF810" s="7" t="s">
        <v>4361</v>
      </c>
      <c r="AG810" s="7">
        <v>0.05</v>
      </c>
      <c r="AH810" s="7">
        <v>0.08</v>
      </c>
      <c r="AI810" s="7">
        <v>13</v>
      </c>
      <c r="AJ810" s="7">
        <v>1775</v>
      </c>
      <c r="AK810" s="7">
        <v>2578416.23</v>
      </c>
      <c r="AL810" s="7">
        <v>2446005.84</v>
      </c>
      <c r="AM810" s="7" t="s">
        <v>343</v>
      </c>
      <c r="AN810" s="7" t="s">
        <v>322</v>
      </c>
      <c r="AO810" s="7">
        <v>56.7</v>
      </c>
      <c r="AP810" s="7">
        <v>60</v>
      </c>
      <c r="AQ810" s="7"/>
      <c r="AR810" s="7" t="s">
        <v>186</v>
      </c>
      <c r="AS810" s="7"/>
    </row>
    <row r="811" spans="1:45" x14ac:dyDescent="0.3">
      <c r="A811" s="6" t="s">
        <v>2724</v>
      </c>
      <c r="B811" s="6" t="s">
        <v>3751</v>
      </c>
      <c r="C811" s="6" t="s">
        <v>217</v>
      </c>
      <c r="D811" s="6" t="s">
        <v>220</v>
      </c>
      <c r="E811" s="6" t="s">
        <v>4265</v>
      </c>
      <c r="F811" s="6" t="s">
        <v>350</v>
      </c>
      <c r="G811" s="6" t="s">
        <v>46</v>
      </c>
      <c r="H811" s="6" t="s">
        <v>4326</v>
      </c>
      <c r="I811" s="6" t="s">
        <v>4272</v>
      </c>
      <c r="J811" s="6" t="s">
        <v>105</v>
      </c>
      <c r="K811" s="6" t="s">
        <v>223</v>
      </c>
      <c r="L811" s="6" t="s">
        <v>2725</v>
      </c>
      <c r="M811" s="6" t="s">
        <v>5199</v>
      </c>
      <c r="N811" s="6"/>
      <c r="O811" s="6" t="s">
        <v>4274</v>
      </c>
      <c r="P811" s="6">
        <v>10</v>
      </c>
      <c r="Q811" s="6">
        <v>33088120</v>
      </c>
      <c r="R811" s="6">
        <v>0.34</v>
      </c>
      <c r="S811" s="6">
        <v>-0.03</v>
      </c>
      <c r="T811" s="6">
        <v>21183014.420000002</v>
      </c>
      <c r="U811" s="6">
        <v>14896102.93</v>
      </c>
      <c r="V811" s="6">
        <v>0.27</v>
      </c>
      <c r="W811" s="6">
        <v>0.16</v>
      </c>
      <c r="X811" s="6" t="s">
        <v>2726</v>
      </c>
      <c r="Y811" s="6">
        <v>11120859.01</v>
      </c>
      <c r="Z811" s="6">
        <v>10026396.699999999</v>
      </c>
      <c r="AA811" s="6">
        <v>90</v>
      </c>
      <c r="AB811" s="6">
        <v>132</v>
      </c>
      <c r="AC811" s="6" t="s">
        <v>347</v>
      </c>
      <c r="AD811" s="6" t="s">
        <v>406</v>
      </c>
      <c r="AE811" s="6" t="s">
        <v>4467</v>
      </c>
      <c r="AF811" s="6" t="s">
        <v>155</v>
      </c>
      <c r="AG811" s="6">
        <v>0.05</v>
      </c>
      <c r="AH811" s="6">
        <v>0.01</v>
      </c>
      <c r="AI811" s="6">
        <v>0</v>
      </c>
      <c r="AJ811" s="6">
        <v>892</v>
      </c>
      <c r="AK811" s="6">
        <v>4528158.46</v>
      </c>
      <c r="AL811" s="6">
        <v>7384858.9699999997</v>
      </c>
      <c r="AM811" s="6" t="s">
        <v>73</v>
      </c>
      <c r="AN811" s="6" t="s">
        <v>356</v>
      </c>
      <c r="AO811" s="6">
        <v>78.900000000000006</v>
      </c>
      <c r="AP811" s="6">
        <v>60</v>
      </c>
      <c r="AQ811" s="6" t="s">
        <v>323</v>
      </c>
      <c r="AR811" s="6" t="s">
        <v>206</v>
      </c>
      <c r="AS811" s="6" t="s">
        <v>377</v>
      </c>
    </row>
    <row r="812" spans="1:45" x14ac:dyDescent="0.3">
      <c r="A812" s="7" t="s">
        <v>2727</v>
      </c>
      <c r="B812" s="7" t="s">
        <v>4762</v>
      </c>
      <c r="C812" s="7" t="s">
        <v>283</v>
      </c>
      <c r="D812" s="7" t="s">
        <v>220</v>
      </c>
      <c r="E812" s="7" t="s">
        <v>36</v>
      </c>
      <c r="F812" s="7" t="s">
        <v>19</v>
      </c>
      <c r="G812" s="7" t="s">
        <v>16</v>
      </c>
      <c r="H812" s="7" t="s">
        <v>263</v>
      </c>
      <c r="I812" s="7" t="s">
        <v>4289</v>
      </c>
      <c r="J812" s="7" t="s">
        <v>115</v>
      </c>
      <c r="K812" s="7" t="s">
        <v>221</v>
      </c>
      <c r="L812" s="7" t="s">
        <v>2728</v>
      </c>
      <c r="M812" s="7" t="s">
        <v>5395</v>
      </c>
      <c r="N812" s="7"/>
      <c r="O812" s="7" t="s">
        <v>4274</v>
      </c>
      <c r="P812" s="7">
        <v>29</v>
      </c>
      <c r="Q812" s="7">
        <v>1412574</v>
      </c>
      <c r="R812" s="7">
        <v>0.32</v>
      </c>
      <c r="S812" s="7">
        <v>0.16</v>
      </c>
      <c r="T812" s="7">
        <v>1114238.3700000001</v>
      </c>
      <c r="U812" s="7"/>
      <c r="V812" s="7">
        <v>0.12</v>
      </c>
      <c r="W812" s="7">
        <v>0.08</v>
      </c>
      <c r="X812" s="7" t="s">
        <v>2729</v>
      </c>
      <c r="Y812" s="7">
        <v>982234.18</v>
      </c>
      <c r="Z812" s="7">
        <v>532472.31000000006</v>
      </c>
      <c r="AA812" s="7">
        <v>45</v>
      </c>
      <c r="AB812" s="7">
        <v>102</v>
      </c>
      <c r="AC812" s="7"/>
      <c r="AD812" s="7" t="s">
        <v>455</v>
      </c>
      <c r="AE812" s="7">
        <v>7.0000000000000007E-2</v>
      </c>
      <c r="AF812" s="7" t="s">
        <v>152</v>
      </c>
      <c r="AG812" s="7">
        <v>0.15</v>
      </c>
      <c r="AH812" s="7">
        <v>0.1</v>
      </c>
      <c r="AI812" s="7">
        <v>2</v>
      </c>
      <c r="AJ812" s="7">
        <v>2827</v>
      </c>
      <c r="AK812" s="7">
        <v>213214.34</v>
      </c>
      <c r="AL812" s="7">
        <v>413230.44</v>
      </c>
      <c r="AM812" s="7" t="s">
        <v>343</v>
      </c>
      <c r="AN812" s="7" t="s">
        <v>356</v>
      </c>
      <c r="AO812" s="7">
        <v>89.6</v>
      </c>
      <c r="AP812" s="7">
        <v>60</v>
      </c>
      <c r="AQ812" s="7"/>
      <c r="AR812" s="7" t="s">
        <v>186</v>
      </c>
      <c r="AS812" s="7"/>
    </row>
    <row r="813" spans="1:45" x14ac:dyDescent="0.3">
      <c r="A813" s="6" t="s">
        <v>2730</v>
      </c>
      <c r="B813" s="6" t="s">
        <v>5396</v>
      </c>
      <c r="C813" s="6" t="s">
        <v>214</v>
      </c>
      <c r="D813" s="6" t="s">
        <v>232</v>
      </c>
      <c r="E813" s="6" t="s">
        <v>113</v>
      </c>
      <c r="F813" s="6"/>
      <c r="G813" s="6" t="s">
        <v>16</v>
      </c>
      <c r="H813" s="6" t="s">
        <v>212</v>
      </c>
      <c r="I813" s="6" t="s">
        <v>213</v>
      </c>
      <c r="J813" s="6" t="s">
        <v>111</v>
      </c>
      <c r="K813" s="6" t="s">
        <v>184</v>
      </c>
      <c r="L813" s="6" t="s">
        <v>2731</v>
      </c>
      <c r="M813" s="6" t="s">
        <v>3425</v>
      </c>
      <c r="N813" s="6" t="s">
        <v>4183</v>
      </c>
      <c r="O813" s="6" t="s">
        <v>5265</v>
      </c>
      <c r="P813" s="6">
        <v>46</v>
      </c>
      <c r="Q813" s="6">
        <v>33449458</v>
      </c>
      <c r="R813" s="6">
        <v>0.02</v>
      </c>
      <c r="S813" s="6">
        <v>0.05</v>
      </c>
      <c r="T813" s="6">
        <v>34419492.280000001</v>
      </c>
      <c r="U813" s="6">
        <v>22253993.940000001</v>
      </c>
      <c r="V813" s="6">
        <v>0.37</v>
      </c>
      <c r="W813" s="6">
        <v>0.1</v>
      </c>
      <c r="X813" s="6" t="s">
        <v>2732</v>
      </c>
      <c r="Y813" s="6">
        <v>17852104.93</v>
      </c>
      <c r="Z813" s="6">
        <v>15366885.92</v>
      </c>
      <c r="AA813" s="6">
        <v>60</v>
      </c>
      <c r="AB813" s="6">
        <v>92</v>
      </c>
      <c r="AC813" s="6"/>
      <c r="AD813" s="6" t="s">
        <v>226</v>
      </c>
      <c r="AE813" s="6">
        <v>0.97</v>
      </c>
      <c r="AF813" s="6" t="s">
        <v>4361</v>
      </c>
      <c r="AG813" s="6">
        <v>0.05</v>
      </c>
      <c r="AH813" s="6">
        <v>7.0000000000000007E-2</v>
      </c>
      <c r="AI813" s="6">
        <v>6</v>
      </c>
      <c r="AJ813" s="6">
        <v>1559</v>
      </c>
      <c r="AK813" s="6">
        <v>1831560.73</v>
      </c>
      <c r="AL813" s="6"/>
      <c r="AM813" s="6" t="s">
        <v>355</v>
      </c>
      <c r="AN813" s="6" t="s">
        <v>348</v>
      </c>
      <c r="AO813" s="6">
        <v>68.900000000000006</v>
      </c>
      <c r="AP813" s="6">
        <v>60</v>
      </c>
      <c r="AQ813" s="6" t="s">
        <v>392</v>
      </c>
      <c r="AR813" s="6" t="s">
        <v>186</v>
      </c>
      <c r="AS813" s="6" t="s">
        <v>361</v>
      </c>
    </row>
    <row r="814" spans="1:45" x14ac:dyDescent="0.3">
      <c r="A814" s="7" t="s">
        <v>2733</v>
      </c>
      <c r="B814" s="7" t="s">
        <v>4582</v>
      </c>
      <c r="C814" s="7" t="s">
        <v>260</v>
      </c>
      <c r="D814" s="7" t="s">
        <v>562</v>
      </c>
      <c r="E814" s="7" t="s">
        <v>113</v>
      </c>
      <c r="F814" s="7" t="s">
        <v>181</v>
      </c>
      <c r="G814" s="7" t="s">
        <v>57</v>
      </c>
      <c r="H814" s="7" t="s">
        <v>4275</v>
      </c>
      <c r="I814" s="7" t="s">
        <v>4291</v>
      </c>
      <c r="J814" s="7" t="s">
        <v>127</v>
      </c>
      <c r="K814" s="7" t="s">
        <v>184</v>
      </c>
      <c r="L814" s="7" t="s">
        <v>2734</v>
      </c>
      <c r="M814" s="7" t="s">
        <v>5397</v>
      </c>
      <c r="N814" s="7" t="s">
        <v>4502</v>
      </c>
      <c r="O814" s="7" t="s">
        <v>4274</v>
      </c>
      <c r="P814" s="7" t="s">
        <v>4275</v>
      </c>
      <c r="Q814" s="7">
        <v>34688705</v>
      </c>
      <c r="R814" s="7">
        <v>0.28000000000000003</v>
      </c>
      <c r="S814" s="7">
        <v>0.1</v>
      </c>
      <c r="T814" s="7">
        <v>27473454.359999999</v>
      </c>
      <c r="U814" s="7">
        <v>17316329.800000001</v>
      </c>
      <c r="V814" s="7">
        <v>0.3</v>
      </c>
      <c r="W814" s="7">
        <v>0.06</v>
      </c>
      <c r="X814" s="7"/>
      <c r="Y814" s="7">
        <v>20496817.699999999</v>
      </c>
      <c r="Z814" s="7">
        <v>15074679.619999999</v>
      </c>
      <c r="AA814" s="7">
        <v>45</v>
      </c>
      <c r="AB814" s="7">
        <v>123</v>
      </c>
      <c r="AC814" s="7" t="s">
        <v>347</v>
      </c>
      <c r="AD814" s="7" t="s">
        <v>381</v>
      </c>
      <c r="AE814" s="7">
        <v>7.0000000000000007E-2</v>
      </c>
      <c r="AF814" s="7" t="s">
        <v>4303</v>
      </c>
      <c r="AG814" s="7">
        <v>0.1</v>
      </c>
      <c r="AH814" s="7">
        <v>0.05</v>
      </c>
      <c r="AI814" s="7">
        <v>2</v>
      </c>
      <c r="AJ814" s="7">
        <v>904</v>
      </c>
      <c r="AK814" s="7">
        <v>5421081.6600000001</v>
      </c>
      <c r="AL814" s="7">
        <v>10242308.130000001</v>
      </c>
      <c r="AM814" s="7"/>
      <c r="AN814" s="7" t="s">
        <v>321</v>
      </c>
      <c r="AO814" s="7"/>
      <c r="AP814" s="7">
        <v>60</v>
      </c>
      <c r="AQ814" s="7"/>
      <c r="AR814" s="7" t="s">
        <v>186</v>
      </c>
      <c r="AS814" s="7" t="s">
        <v>324</v>
      </c>
    </row>
    <row r="815" spans="1:45" x14ac:dyDescent="0.3">
      <c r="A815" s="6" t="s">
        <v>2735</v>
      </c>
      <c r="B815" s="6" t="s">
        <v>5398</v>
      </c>
      <c r="C815" s="6" t="s">
        <v>273</v>
      </c>
      <c r="D815" s="6" t="s">
        <v>562</v>
      </c>
      <c r="E815" s="6" t="s">
        <v>20</v>
      </c>
      <c r="F815" s="6" t="s">
        <v>35</v>
      </c>
      <c r="G815" s="6" t="s">
        <v>73</v>
      </c>
      <c r="H815" s="6"/>
      <c r="I815" s="6" t="s">
        <v>4289</v>
      </c>
      <c r="J815" s="6" t="s">
        <v>136</v>
      </c>
      <c r="K815" s="6" t="s">
        <v>326</v>
      </c>
      <c r="L815" s="6" t="s">
        <v>2736</v>
      </c>
      <c r="M815" s="6" t="s">
        <v>3570</v>
      </c>
      <c r="N815" s="6"/>
      <c r="O815" s="6" t="s">
        <v>5399</v>
      </c>
      <c r="P815" s="6">
        <v>51</v>
      </c>
      <c r="Q815" s="6">
        <v>21562524</v>
      </c>
      <c r="R815" s="6">
        <v>0.12</v>
      </c>
      <c r="S815" s="6">
        <v>0.01</v>
      </c>
      <c r="T815" s="6">
        <v>19164771.329999998</v>
      </c>
      <c r="U815" s="6">
        <v>14942264.01</v>
      </c>
      <c r="V815" s="6">
        <v>0.37</v>
      </c>
      <c r="W815" s="6">
        <v>7.0000000000000007E-2</v>
      </c>
      <c r="X815" s="6" t="s">
        <v>2737</v>
      </c>
      <c r="Y815" s="6">
        <v>10279165.1</v>
      </c>
      <c r="Z815" s="6">
        <v>4285243</v>
      </c>
      <c r="AA815" s="6">
        <v>60</v>
      </c>
      <c r="AB815" s="6">
        <v>111</v>
      </c>
      <c r="AC815" s="6" t="s">
        <v>347</v>
      </c>
      <c r="AD815" s="6" t="s">
        <v>455</v>
      </c>
      <c r="AE815" s="6">
        <v>0.12</v>
      </c>
      <c r="AF815" s="6"/>
      <c r="AG815" s="6">
        <v>0.1</v>
      </c>
      <c r="AH815" s="6">
        <v>0.02</v>
      </c>
      <c r="AI815" s="6">
        <v>4</v>
      </c>
      <c r="AJ815" s="6">
        <v>4626</v>
      </c>
      <c r="AK815" s="6">
        <v>771375.59</v>
      </c>
      <c r="AL815" s="6">
        <v>6800522.0700000003</v>
      </c>
      <c r="AM815" s="6"/>
      <c r="AN815" s="6" t="s">
        <v>356</v>
      </c>
      <c r="AO815" s="6">
        <v>53.8</v>
      </c>
      <c r="AP815" s="6" t="s">
        <v>4275</v>
      </c>
      <c r="AQ815" s="6" t="s">
        <v>392</v>
      </c>
      <c r="AR815" s="6" t="s">
        <v>229</v>
      </c>
      <c r="AS815" s="6" t="s">
        <v>188</v>
      </c>
    </row>
    <row r="816" spans="1:45" x14ac:dyDescent="0.3">
      <c r="A816" s="7" t="s">
        <v>2738</v>
      </c>
      <c r="B816" s="7" t="s">
        <v>5400</v>
      </c>
      <c r="C816" s="7" t="s">
        <v>189</v>
      </c>
      <c r="D816" s="7" t="s">
        <v>253</v>
      </c>
      <c r="E816" s="7" t="s">
        <v>41</v>
      </c>
      <c r="F816" s="7" t="s">
        <v>363</v>
      </c>
      <c r="G816" s="7" t="s">
        <v>23</v>
      </c>
      <c r="H816" s="7" t="s">
        <v>212</v>
      </c>
      <c r="I816" s="7" t="s">
        <v>183</v>
      </c>
      <c r="J816" s="7" t="s">
        <v>130</v>
      </c>
      <c r="K816" s="7" t="s">
        <v>184</v>
      </c>
      <c r="L816" s="7" t="s">
        <v>2739</v>
      </c>
      <c r="M816" s="7" t="s">
        <v>5401</v>
      </c>
      <c r="N816" s="7"/>
      <c r="O816" s="7" t="s">
        <v>3396</v>
      </c>
      <c r="P816" s="7">
        <v>7</v>
      </c>
      <c r="Q816" s="7">
        <v>39103258</v>
      </c>
      <c r="R816" s="7">
        <v>0.28999999999999998</v>
      </c>
      <c r="S816" s="7">
        <v>0.03</v>
      </c>
      <c r="T816" s="7">
        <v>28596212.579999998</v>
      </c>
      <c r="U816" s="7">
        <v>19143162.280000001</v>
      </c>
      <c r="V816" s="7">
        <v>0.38</v>
      </c>
      <c r="W816" s="7">
        <v>0.12</v>
      </c>
      <c r="X816" s="7" t="s">
        <v>2740</v>
      </c>
      <c r="Y816" s="7">
        <v>10391204.41</v>
      </c>
      <c r="Z816" s="7">
        <v>11321823.880000001</v>
      </c>
      <c r="AA816" s="7">
        <v>90</v>
      </c>
      <c r="AB816" s="7">
        <v>63</v>
      </c>
      <c r="AC816" s="7"/>
      <c r="AD816" s="7" t="s">
        <v>406</v>
      </c>
      <c r="AE816" s="7">
        <v>0.23</v>
      </c>
      <c r="AF816" s="7" t="s">
        <v>155</v>
      </c>
      <c r="AG816" s="7">
        <v>0.15</v>
      </c>
      <c r="AH816" s="7">
        <v>0.08</v>
      </c>
      <c r="AI816" s="7">
        <v>6</v>
      </c>
      <c r="AJ816" s="7">
        <v>1011</v>
      </c>
      <c r="AK816" s="7">
        <v>6048556.4800000004</v>
      </c>
      <c r="AL816" s="7">
        <v>3769756.06</v>
      </c>
      <c r="AM816" s="7" t="s">
        <v>343</v>
      </c>
      <c r="AN816" s="7" t="s">
        <v>321</v>
      </c>
      <c r="AO816" s="7"/>
      <c r="AP816" s="7">
        <v>36</v>
      </c>
      <c r="AQ816" s="7" t="s">
        <v>4275</v>
      </c>
      <c r="AR816" s="7" t="s">
        <v>186</v>
      </c>
      <c r="AS816" s="7" t="s">
        <v>188</v>
      </c>
    </row>
    <row r="817" spans="1:45" x14ac:dyDescent="0.3">
      <c r="A817" s="6" t="s">
        <v>2741</v>
      </c>
      <c r="B817" s="6" t="s">
        <v>3481</v>
      </c>
      <c r="C817" s="6" t="s">
        <v>270</v>
      </c>
      <c r="D817" s="6" t="s">
        <v>209</v>
      </c>
      <c r="E817" s="6" t="s">
        <v>20</v>
      </c>
      <c r="F817" s="6" t="s">
        <v>196</v>
      </c>
      <c r="G817" s="6" t="s">
        <v>33</v>
      </c>
      <c r="H817" s="6" t="s">
        <v>236</v>
      </c>
      <c r="I817" s="6" t="s">
        <v>4291</v>
      </c>
      <c r="J817" s="6" t="s">
        <v>136</v>
      </c>
      <c r="K817" s="6" t="s">
        <v>333</v>
      </c>
      <c r="L817" s="6" t="s">
        <v>2742</v>
      </c>
      <c r="M817" s="6" t="s">
        <v>4184</v>
      </c>
      <c r="N817" s="6" t="s">
        <v>4662</v>
      </c>
      <c r="O817" s="6" t="s">
        <v>5402</v>
      </c>
      <c r="P817" s="6">
        <v>24</v>
      </c>
      <c r="Q817" s="6">
        <v>6311995</v>
      </c>
      <c r="R817" s="6">
        <v>0.2</v>
      </c>
      <c r="S817" s="6">
        <v>0.1</v>
      </c>
      <c r="T817" s="6">
        <v>5554555.5999999996</v>
      </c>
      <c r="U817" s="6">
        <v>4192068.74</v>
      </c>
      <c r="V817" s="6">
        <v>0.4</v>
      </c>
      <c r="W817" s="6">
        <v>7.0000000000000007E-2</v>
      </c>
      <c r="X817" s="6" t="s">
        <v>2743</v>
      </c>
      <c r="Y817" s="6">
        <v>3668536.95</v>
      </c>
      <c r="Z817" s="6">
        <v>3419238.49</v>
      </c>
      <c r="AA817" s="6">
        <v>45</v>
      </c>
      <c r="AB817" s="6">
        <v>160</v>
      </c>
      <c r="AC817" s="6" t="s">
        <v>347</v>
      </c>
      <c r="AD817" s="6" t="s">
        <v>226</v>
      </c>
      <c r="AE817" s="6">
        <v>0.45</v>
      </c>
      <c r="AF817" s="6" t="s">
        <v>155</v>
      </c>
      <c r="AG817" s="6">
        <v>0.05</v>
      </c>
      <c r="AH817" s="6">
        <v>7.0000000000000007E-2</v>
      </c>
      <c r="AI817" s="6">
        <v>4</v>
      </c>
      <c r="AJ817" s="6">
        <v>505</v>
      </c>
      <c r="AK817" s="6">
        <v>469606.25</v>
      </c>
      <c r="AL817" s="6"/>
      <c r="AM817" s="6" t="s">
        <v>343</v>
      </c>
      <c r="AN817" s="6" t="s">
        <v>386</v>
      </c>
      <c r="AO817" s="6">
        <v>93.2</v>
      </c>
      <c r="AP817" s="6" t="s">
        <v>4275</v>
      </c>
      <c r="AQ817" s="6" t="s">
        <v>337</v>
      </c>
      <c r="AR817" s="6" t="s">
        <v>186</v>
      </c>
      <c r="AS817" s="6" t="s">
        <v>377</v>
      </c>
    </row>
    <row r="818" spans="1:45" x14ac:dyDescent="0.3">
      <c r="A818" s="7" t="s">
        <v>2744</v>
      </c>
      <c r="B818" s="7" t="s">
        <v>5403</v>
      </c>
      <c r="C818" s="7" t="s">
        <v>273</v>
      </c>
      <c r="D818" s="7" t="s">
        <v>245</v>
      </c>
      <c r="E818" s="7" t="s">
        <v>4265</v>
      </c>
      <c r="F818" s="7" t="s">
        <v>228</v>
      </c>
      <c r="G818" s="7" t="s">
        <v>16</v>
      </c>
      <c r="H818" s="7" t="s">
        <v>4326</v>
      </c>
      <c r="I818" s="7" t="s">
        <v>191</v>
      </c>
      <c r="J818" s="6" t="s">
        <v>105</v>
      </c>
      <c r="K818" s="7" t="s">
        <v>204</v>
      </c>
      <c r="L818" s="7" t="s">
        <v>2745</v>
      </c>
      <c r="M818" s="7" t="s">
        <v>4185</v>
      </c>
      <c r="N818" s="7" t="s">
        <v>4388</v>
      </c>
      <c r="O818" s="7" t="s">
        <v>4274</v>
      </c>
      <c r="P818" s="7">
        <v>3</v>
      </c>
      <c r="Q818" s="7">
        <v>5813626</v>
      </c>
      <c r="R818" s="7">
        <v>0.11</v>
      </c>
      <c r="S818" s="7">
        <v>7.0000000000000007E-2</v>
      </c>
      <c r="T818" s="7">
        <v>5536316.04</v>
      </c>
      <c r="U818" s="7">
        <v>4469458.2699999996</v>
      </c>
      <c r="V818" s="7">
        <v>0.27</v>
      </c>
      <c r="W818" s="7">
        <v>0.11</v>
      </c>
      <c r="X818" s="7" t="s">
        <v>2746</v>
      </c>
      <c r="Y818" s="7">
        <v>2526828.33</v>
      </c>
      <c r="Z818" s="7">
        <v>2128374.7999999998</v>
      </c>
      <c r="AA818" s="7">
        <v>30</v>
      </c>
      <c r="AB818" s="7">
        <v>96</v>
      </c>
      <c r="AC818" s="7" t="s">
        <v>347</v>
      </c>
      <c r="AD818" s="7" t="s">
        <v>455</v>
      </c>
      <c r="AE818" s="7">
        <v>0.37</v>
      </c>
      <c r="AF818" s="7" t="s">
        <v>4303</v>
      </c>
      <c r="AG818" s="7">
        <v>0.15</v>
      </c>
      <c r="AH818" s="7">
        <v>0.02</v>
      </c>
      <c r="AI818" s="7">
        <v>4</v>
      </c>
      <c r="AJ818" s="7">
        <v>225</v>
      </c>
      <c r="AK818" s="7">
        <v>674684.9</v>
      </c>
      <c r="AL818" s="7">
        <v>1917682.68</v>
      </c>
      <c r="AM818" s="7" t="s">
        <v>73</v>
      </c>
      <c r="AN818" s="7" t="s">
        <v>322</v>
      </c>
      <c r="AO818" s="7">
        <v>85.3</v>
      </c>
      <c r="AP818" s="7">
        <v>36</v>
      </c>
      <c r="AQ818" s="7"/>
      <c r="AR818" s="7" t="s">
        <v>192</v>
      </c>
      <c r="AS818" s="7" t="s">
        <v>357</v>
      </c>
    </row>
    <row r="819" spans="1:45" x14ac:dyDescent="0.3">
      <c r="A819" s="6" t="s">
        <v>2747</v>
      </c>
      <c r="B819" s="6" t="s">
        <v>3889</v>
      </c>
      <c r="C819" s="6" t="s">
        <v>256</v>
      </c>
      <c r="D819" s="6" t="s">
        <v>255</v>
      </c>
      <c r="E819" s="6" t="s">
        <v>4325</v>
      </c>
      <c r="F819" s="6" t="s">
        <v>339</v>
      </c>
      <c r="G819" s="6" t="s">
        <v>80</v>
      </c>
      <c r="H819" s="6" t="s">
        <v>236</v>
      </c>
      <c r="I819" s="6" t="s">
        <v>183</v>
      </c>
      <c r="J819" s="6" t="s">
        <v>115</v>
      </c>
      <c r="K819" s="6" t="s">
        <v>333</v>
      </c>
      <c r="L819" s="6" t="s">
        <v>2748</v>
      </c>
      <c r="M819" s="6" t="s">
        <v>5404</v>
      </c>
      <c r="N819" s="6" t="s">
        <v>4186</v>
      </c>
      <c r="O819" s="6" t="s">
        <v>4274</v>
      </c>
      <c r="P819" s="6">
        <v>41</v>
      </c>
      <c r="Q819" s="6">
        <v>9865924</v>
      </c>
      <c r="R819" s="6">
        <v>0.31</v>
      </c>
      <c r="S819" s="6">
        <v>0.15</v>
      </c>
      <c r="T819" s="6">
        <v>7828610.6900000004</v>
      </c>
      <c r="U819" s="6">
        <v>6592686.4199999999</v>
      </c>
      <c r="V819" s="6">
        <v>0.36</v>
      </c>
      <c r="W819" s="6">
        <v>0.17</v>
      </c>
      <c r="X819" s="6" t="s">
        <v>2749</v>
      </c>
      <c r="Y819" s="6">
        <v>3609358.48</v>
      </c>
      <c r="Z819" s="6">
        <v>3423838.7</v>
      </c>
      <c r="AA819" s="6">
        <v>30</v>
      </c>
      <c r="AB819" s="6">
        <v>73</v>
      </c>
      <c r="AC819" s="6" t="s">
        <v>342</v>
      </c>
      <c r="AD819" s="6" t="s">
        <v>381</v>
      </c>
      <c r="AE819" s="6">
        <v>0.18</v>
      </c>
      <c r="AF819" s="6" t="s">
        <v>4319</v>
      </c>
      <c r="AG819" s="6">
        <v>0.15</v>
      </c>
      <c r="AH819" s="6">
        <v>0.04</v>
      </c>
      <c r="AI819" s="6">
        <v>7</v>
      </c>
      <c r="AJ819" s="6">
        <v>1625</v>
      </c>
      <c r="AK819" s="6">
        <v>736298.33</v>
      </c>
      <c r="AL819" s="6">
        <v>3671139.06</v>
      </c>
      <c r="AM819" s="6" t="s">
        <v>343</v>
      </c>
      <c r="AN819" s="6" t="s">
        <v>321</v>
      </c>
      <c r="AO819" s="6">
        <v>77.3</v>
      </c>
      <c r="AP819" s="6">
        <v>24</v>
      </c>
      <c r="AQ819" s="6" t="s">
        <v>387</v>
      </c>
      <c r="AR819" s="6" t="s">
        <v>186</v>
      </c>
      <c r="AS819" s="6"/>
    </row>
    <row r="820" spans="1:45" x14ac:dyDescent="0.3">
      <c r="A820" s="7" t="s">
        <v>2750</v>
      </c>
      <c r="B820" s="7" t="s">
        <v>5405</v>
      </c>
      <c r="C820" s="7" t="s">
        <v>267</v>
      </c>
      <c r="D820" s="7" t="s">
        <v>202</v>
      </c>
      <c r="E820" s="7" t="s">
        <v>4376</v>
      </c>
      <c r="F820" s="7" t="s">
        <v>35</v>
      </c>
      <c r="G820" s="7" t="s">
        <v>57</v>
      </c>
      <c r="H820" s="7" t="s">
        <v>4326</v>
      </c>
      <c r="I820" s="7" t="s">
        <v>198</v>
      </c>
      <c r="J820" s="7" t="s">
        <v>136</v>
      </c>
      <c r="K820" s="7" t="s">
        <v>199</v>
      </c>
      <c r="L820" s="7" t="s">
        <v>2751</v>
      </c>
      <c r="M820" s="7" t="s">
        <v>5091</v>
      </c>
      <c r="N820" s="7"/>
      <c r="O820" s="7" t="s">
        <v>5355</v>
      </c>
      <c r="P820" s="7">
        <v>16</v>
      </c>
      <c r="Q820" s="7">
        <v>34390777</v>
      </c>
      <c r="R820" s="7">
        <v>0.19</v>
      </c>
      <c r="S820" s="7">
        <v>0.2</v>
      </c>
      <c r="T820" s="7">
        <v>33427835.239999998</v>
      </c>
      <c r="U820" s="7">
        <v>24346480.66</v>
      </c>
      <c r="V820" s="7">
        <v>0.16</v>
      </c>
      <c r="W820" s="7">
        <v>0.16</v>
      </c>
      <c r="X820" s="7" t="s">
        <v>2752</v>
      </c>
      <c r="Y820" s="7">
        <v>21880914.649999999</v>
      </c>
      <c r="Z820" s="7">
        <v>19531210.59</v>
      </c>
      <c r="AA820" s="7">
        <v>45</v>
      </c>
      <c r="AB820" s="7">
        <v>115</v>
      </c>
      <c r="AC820" s="7" t="s">
        <v>342</v>
      </c>
      <c r="AD820" s="7" t="s">
        <v>406</v>
      </c>
      <c r="AE820" s="7">
        <v>0.12</v>
      </c>
      <c r="AF820" s="7" t="s">
        <v>4276</v>
      </c>
      <c r="AG820" s="7">
        <v>0.1</v>
      </c>
      <c r="AH820" s="7">
        <v>0.05</v>
      </c>
      <c r="AI820" s="7">
        <v>15</v>
      </c>
      <c r="AJ820" s="7">
        <v>565</v>
      </c>
      <c r="AK820" s="7">
        <v>6356642.5899999999</v>
      </c>
      <c r="AL820" s="7">
        <v>11962036.6</v>
      </c>
      <c r="AM820" s="7" t="s">
        <v>73</v>
      </c>
      <c r="AN820" s="7"/>
      <c r="AO820" s="7">
        <v>72.900000000000006</v>
      </c>
      <c r="AP820" s="7">
        <v>48</v>
      </c>
      <c r="AQ820" s="7" t="s">
        <v>387</v>
      </c>
      <c r="AR820" s="7" t="s">
        <v>224</v>
      </c>
      <c r="AS820" s="7" t="s">
        <v>324</v>
      </c>
    </row>
    <row r="821" spans="1:45" x14ac:dyDescent="0.3">
      <c r="A821" s="6" t="s">
        <v>2753</v>
      </c>
      <c r="B821" s="6" t="s">
        <v>5406</v>
      </c>
      <c r="C821" s="6" t="s">
        <v>275</v>
      </c>
      <c r="D821" s="6" t="s">
        <v>242</v>
      </c>
      <c r="E821" s="6" t="s">
        <v>4376</v>
      </c>
      <c r="F821" s="6" t="s">
        <v>196</v>
      </c>
      <c r="G821" s="6" t="s">
        <v>73</v>
      </c>
      <c r="H821" s="6" t="s">
        <v>197</v>
      </c>
      <c r="I821" s="6" t="s">
        <v>240</v>
      </c>
      <c r="J821" s="6" t="s">
        <v>136</v>
      </c>
      <c r="K821" s="6" t="s">
        <v>333</v>
      </c>
      <c r="L821" s="6" t="s">
        <v>2754</v>
      </c>
      <c r="M821" s="6" t="s">
        <v>5309</v>
      </c>
      <c r="N821" s="6" t="s">
        <v>4520</v>
      </c>
      <c r="O821" s="6" t="s">
        <v>4717</v>
      </c>
      <c r="P821" s="6" t="s">
        <v>4275</v>
      </c>
      <c r="Q821" s="6">
        <v>15974398</v>
      </c>
      <c r="R821" s="6">
        <v>0.25</v>
      </c>
      <c r="S821" s="6">
        <v>0.01</v>
      </c>
      <c r="T821" s="6">
        <v>12100606.48</v>
      </c>
      <c r="U821" s="6">
        <v>10078195.210000001</v>
      </c>
      <c r="V821" s="6">
        <v>0.1</v>
      </c>
      <c r="W821" s="6">
        <v>0.08</v>
      </c>
      <c r="X821" s="6" t="s">
        <v>2755</v>
      </c>
      <c r="Y821" s="6">
        <v>7126147.3200000003</v>
      </c>
      <c r="Z821" s="6">
        <v>2721304.52</v>
      </c>
      <c r="AA821" s="6">
        <v>120</v>
      </c>
      <c r="AB821" s="6">
        <v>134</v>
      </c>
      <c r="AC821" s="6" t="s">
        <v>353</v>
      </c>
      <c r="AD821" s="6" t="s">
        <v>381</v>
      </c>
      <c r="AE821" s="6">
        <v>0.15</v>
      </c>
      <c r="AF821" s="6" t="s">
        <v>4361</v>
      </c>
      <c r="AG821" s="6">
        <v>0.1</v>
      </c>
      <c r="AH821" s="6">
        <v>0.05</v>
      </c>
      <c r="AI821" s="6">
        <v>9</v>
      </c>
      <c r="AJ821" s="6">
        <v>3138</v>
      </c>
      <c r="AK821" s="6">
        <v>595966.51</v>
      </c>
      <c r="AL821" s="6"/>
      <c r="AM821" s="6" t="s">
        <v>385</v>
      </c>
      <c r="AN821" s="6" t="s">
        <v>386</v>
      </c>
      <c r="AO821" s="6">
        <v>55.4</v>
      </c>
      <c r="AP821" s="6">
        <v>24</v>
      </c>
      <c r="AQ821" s="6" t="s">
        <v>387</v>
      </c>
      <c r="AR821" s="6" t="s">
        <v>206</v>
      </c>
      <c r="AS821" s="6" t="s">
        <v>377</v>
      </c>
    </row>
    <row r="822" spans="1:45" x14ac:dyDescent="0.3">
      <c r="A822" s="7" t="s">
        <v>1228</v>
      </c>
      <c r="B822" s="7" t="s">
        <v>3788</v>
      </c>
      <c r="C822" s="7" t="s">
        <v>195</v>
      </c>
      <c r="D822" s="7" t="s">
        <v>245</v>
      </c>
      <c r="E822" s="7"/>
      <c r="F822" s="7" t="s">
        <v>228</v>
      </c>
      <c r="G822" s="7" t="s">
        <v>28</v>
      </c>
      <c r="H822" s="7" t="s">
        <v>236</v>
      </c>
      <c r="I822" s="7" t="s">
        <v>198</v>
      </c>
      <c r="J822" s="7" t="s">
        <v>99</v>
      </c>
      <c r="K822" s="7" t="s">
        <v>210</v>
      </c>
      <c r="L822" s="7" t="s">
        <v>4187</v>
      </c>
      <c r="M822" s="7" t="s">
        <v>5407</v>
      </c>
      <c r="N822" s="7" t="s">
        <v>4188</v>
      </c>
      <c r="O822" s="7" t="s">
        <v>5280</v>
      </c>
      <c r="P822" s="7">
        <v>5</v>
      </c>
      <c r="Q822" s="7">
        <v>29128623</v>
      </c>
      <c r="R822" s="7">
        <v>0.12</v>
      </c>
      <c r="S822" s="7">
        <v>0.18</v>
      </c>
      <c r="T822" s="7">
        <v>30247162.120000001</v>
      </c>
      <c r="U822" s="7">
        <v>20313599.809999999</v>
      </c>
      <c r="V822" s="7">
        <v>0.09</v>
      </c>
      <c r="W822" s="7">
        <v>0.14000000000000001</v>
      </c>
      <c r="X822" s="7" t="s">
        <v>4189</v>
      </c>
      <c r="Y822" s="7">
        <v>11887777.279999999</v>
      </c>
      <c r="Z822" s="7">
        <v>12244741.74</v>
      </c>
      <c r="AA822" s="7">
        <v>60</v>
      </c>
      <c r="AB822" s="7">
        <v>56</v>
      </c>
      <c r="AC822" s="7"/>
      <c r="AD822" s="7" t="s">
        <v>406</v>
      </c>
      <c r="AE822" s="7">
        <v>0.46</v>
      </c>
      <c r="AF822" s="7" t="s">
        <v>155</v>
      </c>
      <c r="AG822" s="7">
        <v>0.05</v>
      </c>
      <c r="AH822" s="7">
        <v>0.06</v>
      </c>
      <c r="AI822" s="7">
        <v>4</v>
      </c>
      <c r="AJ822" s="7">
        <v>18</v>
      </c>
      <c r="AK822" s="7">
        <v>3021573.76</v>
      </c>
      <c r="AL822" s="7">
        <v>9900822.5199999996</v>
      </c>
      <c r="AM822" s="7" t="s">
        <v>321</v>
      </c>
      <c r="AN822" s="7" t="s">
        <v>330</v>
      </c>
      <c r="AO822" s="7">
        <v>99.5</v>
      </c>
      <c r="AP822" s="7">
        <v>12</v>
      </c>
      <c r="AQ822" s="7" t="s">
        <v>4275</v>
      </c>
      <c r="AR822" s="7" t="s">
        <v>186</v>
      </c>
      <c r="AS822" s="7" t="s">
        <v>324</v>
      </c>
    </row>
    <row r="823" spans="1:45" x14ac:dyDescent="0.3">
      <c r="A823" s="6" t="s">
        <v>2756</v>
      </c>
      <c r="B823" s="6" t="s">
        <v>3972</v>
      </c>
      <c r="C823" s="6" t="s">
        <v>217</v>
      </c>
      <c r="D823" s="6" t="s">
        <v>190</v>
      </c>
      <c r="E823" s="6" t="s">
        <v>113</v>
      </c>
      <c r="F823" s="6" t="s">
        <v>181</v>
      </c>
      <c r="G823" s="6" t="s">
        <v>16</v>
      </c>
      <c r="H823" s="6" t="s">
        <v>212</v>
      </c>
      <c r="I823" s="6" t="s">
        <v>198</v>
      </c>
      <c r="J823" s="6" t="s">
        <v>127</v>
      </c>
      <c r="K823" s="6" t="s">
        <v>204</v>
      </c>
      <c r="L823" s="6" t="s">
        <v>2757</v>
      </c>
      <c r="M823" s="6" t="s">
        <v>4072</v>
      </c>
      <c r="N823" s="6"/>
      <c r="O823" s="6" t="s">
        <v>5005</v>
      </c>
      <c r="P823" s="6" t="s">
        <v>4275</v>
      </c>
      <c r="Q823" s="6">
        <v>14790863</v>
      </c>
      <c r="R823" s="6">
        <v>0.14000000000000001</v>
      </c>
      <c r="S823" s="6">
        <v>0.1</v>
      </c>
      <c r="T823" s="6">
        <v>13992156.4</v>
      </c>
      <c r="U823" s="6">
        <v>11739043.43</v>
      </c>
      <c r="V823" s="6">
        <v>0.11</v>
      </c>
      <c r="W823" s="6">
        <v>0.05</v>
      </c>
      <c r="X823" s="6" t="s">
        <v>2758</v>
      </c>
      <c r="Y823" s="6">
        <v>3844051.38</v>
      </c>
      <c r="Z823" s="6">
        <v>1471452.1</v>
      </c>
      <c r="AA823" s="6">
        <v>30</v>
      </c>
      <c r="AB823" s="6">
        <v>9</v>
      </c>
      <c r="AC823" s="6" t="s">
        <v>353</v>
      </c>
      <c r="AD823" s="6" t="s">
        <v>354</v>
      </c>
      <c r="AE823" s="6">
        <v>0.8</v>
      </c>
      <c r="AF823" s="6" t="s">
        <v>4303</v>
      </c>
      <c r="AG823" s="6">
        <v>0.15</v>
      </c>
      <c r="AH823" s="6">
        <v>0.03</v>
      </c>
      <c r="AI823" s="6">
        <v>12</v>
      </c>
      <c r="AJ823" s="6">
        <v>380</v>
      </c>
      <c r="AK823" s="6">
        <v>1751887.98</v>
      </c>
      <c r="AL823" s="6">
        <v>4541059.22</v>
      </c>
      <c r="AM823" s="6" t="s">
        <v>321</v>
      </c>
      <c r="AN823" s="6"/>
      <c r="AO823" s="6"/>
      <c r="AP823" s="6">
        <v>60</v>
      </c>
      <c r="AQ823" s="6" t="s">
        <v>392</v>
      </c>
      <c r="AR823" s="6" t="s">
        <v>186</v>
      </c>
      <c r="AS823" s="6" t="s">
        <v>188</v>
      </c>
    </row>
    <row r="824" spans="1:45" x14ac:dyDescent="0.3">
      <c r="A824" s="7" t="s">
        <v>2759</v>
      </c>
      <c r="B824" s="7" t="s">
        <v>5408</v>
      </c>
      <c r="C824" s="7" t="s">
        <v>231</v>
      </c>
      <c r="D824" s="7" t="s">
        <v>281</v>
      </c>
      <c r="E824" s="7" t="s">
        <v>41</v>
      </c>
      <c r="F824" s="7"/>
      <c r="G824" s="7" t="s">
        <v>73</v>
      </c>
      <c r="H824" s="7" t="s">
        <v>216</v>
      </c>
      <c r="I824" s="7" t="s">
        <v>198</v>
      </c>
      <c r="J824" s="6" t="s">
        <v>130</v>
      </c>
      <c r="K824" s="7" t="s">
        <v>223</v>
      </c>
      <c r="L824" s="7" t="s">
        <v>2760</v>
      </c>
      <c r="M824" s="7" t="s">
        <v>4730</v>
      </c>
      <c r="N824" s="7"/>
      <c r="O824" s="7" t="s">
        <v>3629</v>
      </c>
      <c r="P824" s="7">
        <v>43</v>
      </c>
      <c r="Q824" s="7">
        <v>36488254</v>
      </c>
      <c r="R824" s="7">
        <v>0.26</v>
      </c>
      <c r="S824" s="7">
        <v>-0.04</v>
      </c>
      <c r="T824" s="7">
        <v>25921255.640000001</v>
      </c>
      <c r="U824" s="7">
        <v>17719695.48</v>
      </c>
      <c r="V824" s="7">
        <v>0.19</v>
      </c>
      <c r="W824" s="7">
        <v>0.09</v>
      </c>
      <c r="X824" s="7" t="s">
        <v>2761</v>
      </c>
      <c r="Y824" s="7">
        <v>12007346.9</v>
      </c>
      <c r="Z824" s="7">
        <v>7366561.0599999996</v>
      </c>
      <c r="AA824" s="7">
        <v>90</v>
      </c>
      <c r="AB824" s="7">
        <v>171</v>
      </c>
      <c r="AC824" s="7" t="s">
        <v>342</v>
      </c>
      <c r="AD824" s="7" t="s">
        <v>455</v>
      </c>
      <c r="AE824" s="7">
        <v>0.86</v>
      </c>
      <c r="AF824" s="7" t="s">
        <v>4361</v>
      </c>
      <c r="AG824" s="7">
        <v>0.1</v>
      </c>
      <c r="AH824" s="7">
        <v>0.1</v>
      </c>
      <c r="AI824" s="7">
        <v>1</v>
      </c>
      <c r="AJ824" s="7">
        <v>3011</v>
      </c>
      <c r="AK824" s="7">
        <v>2372531.83</v>
      </c>
      <c r="AL824" s="7">
        <v>5159695.79</v>
      </c>
      <c r="AM824" s="7" t="s">
        <v>391</v>
      </c>
      <c r="AN824" s="7" t="s">
        <v>321</v>
      </c>
      <c r="AO824" s="7">
        <v>55.5</v>
      </c>
      <c r="AP824" s="7">
        <v>60</v>
      </c>
      <c r="AQ824" s="7" t="s">
        <v>337</v>
      </c>
      <c r="AR824" s="7" t="s">
        <v>229</v>
      </c>
      <c r="AS824" s="7" t="s">
        <v>188</v>
      </c>
    </row>
    <row r="825" spans="1:45" x14ac:dyDescent="0.3">
      <c r="A825" s="6" t="s">
        <v>2762</v>
      </c>
      <c r="B825" s="6" t="s">
        <v>5409</v>
      </c>
      <c r="C825" s="6" t="s">
        <v>273</v>
      </c>
      <c r="D825" s="6" t="s">
        <v>209</v>
      </c>
      <c r="E825" s="6" t="s">
        <v>113</v>
      </c>
      <c r="F825" s="6" t="s">
        <v>367</v>
      </c>
      <c r="G825" s="6" t="s">
        <v>62</v>
      </c>
      <c r="H825" s="6"/>
      <c r="I825" s="6" t="s">
        <v>198</v>
      </c>
      <c r="J825" s="6" t="s">
        <v>111</v>
      </c>
      <c r="K825" s="6" t="s">
        <v>326</v>
      </c>
      <c r="L825" s="6" t="s">
        <v>2763</v>
      </c>
      <c r="M825" s="6" t="s">
        <v>4682</v>
      </c>
      <c r="N825" s="6" t="s">
        <v>4190</v>
      </c>
      <c r="O825" s="6" t="s">
        <v>4191</v>
      </c>
      <c r="P825" s="6">
        <v>52</v>
      </c>
      <c r="Q825" s="6">
        <v>2534936</v>
      </c>
      <c r="R825" s="6">
        <v>0.12</v>
      </c>
      <c r="S825" s="6">
        <v>0.12</v>
      </c>
      <c r="T825" s="6">
        <v>2498432.92</v>
      </c>
      <c r="U825" s="6">
        <v>2241680.8199999998</v>
      </c>
      <c r="V825" s="6">
        <v>0.15</v>
      </c>
      <c r="W825" s="6">
        <v>0.16</v>
      </c>
      <c r="X825" s="6" t="s">
        <v>2764</v>
      </c>
      <c r="Y825" s="6">
        <v>279653</v>
      </c>
      <c r="Z825" s="6">
        <v>117189.37</v>
      </c>
      <c r="AA825" s="6">
        <v>120</v>
      </c>
      <c r="AB825" s="6">
        <v>110</v>
      </c>
      <c r="AC825" s="6" t="s">
        <v>347</v>
      </c>
      <c r="AD825" s="6" t="s">
        <v>406</v>
      </c>
      <c r="AE825" s="6">
        <v>0.67</v>
      </c>
      <c r="AF825" s="6" t="s">
        <v>155</v>
      </c>
      <c r="AG825" s="6">
        <v>0.15</v>
      </c>
      <c r="AH825" s="6">
        <v>7.0000000000000007E-2</v>
      </c>
      <c r="AI825" s="6">
        <v>11</v>
      </c>
      <c r="AJ825" s="6">
        <v>3228</v>
      </c>
      <c r="AK825" s="6">
        <v>151071.64000000001</v>
      </c>
      <c r="AL825" s="6">
        <v>653849.18999999994</v>
      </c>
      <c r="AM825" s="6" t="s">
        <v>391</v>
      </c>
      <c r="AN825" s="6" t="s">
        <v>386</v>
      </c>
      <c r="AO825" s="6">
        <v>54.3</v>
      </c>
      <c r="AP825" s="6">
        <v>12</v>
      </c>
      <c r="AQ825" s="6" t="s">
        <v>337</v>
      </c>
      <c r="AR825" s="6" t="s">
        <v>206</v>
      </c>
      <c r="AS825" s="6"/>
    </row>
    <row r="826" spans="1:45" x14ac:dyDescent="0.3">
      <c r="A826" s="7" t="s">
        <v>2765</v>
      </c>
      <c r="B826" s="7" t="s">
        <v>5410</v>
      </c>
      <c r="C826" s="7" t="s">
        <v>211</v>
      </c>
      <c r="D826" s="7" t="s">
        <v>245</v>
      </c>
      <c r="E826" s="7" t="s">
        <v>20</v>
      </c>
      <c r="F826" s="7" t="s">
        <v>35</v>
      </c>
      <c r="G826" s="7" t="s">
        <v>38</v>
      </c>
      <c r="H826" s="7" t="s">
        <v>263</v>
      </c>
      <c r="I826" s="7" t="s">
        <v>4291</v>
      </c>
      <c r="J826" s="7" t="s">
        <v>136</v>
      </c>
      <c r="K826" s="7" t="s">
        <v>223</v>
      </c>
      <c r="L826" s="7" t="s">
        <v>2766</v>
      </c>
      <c r="M826" s="7" t="s">
        <v>5267</v>
      </c>
      <c r="N826" s="7" t="s">
        <v>2767</v>
      </c>
      <c r="O826" s="7" t="s">
        <v>5282</v>
      </c>
      <c r="P826" s="7">
        <v>21</v>
      </c>
      <c r="Q826" s="7">
        <v>11700128</v>
      </c>
      <c r="R826" s="7">
        <v>0.24</v>
      </c>
      <c r="S826" s="7">
        <v>-0.01</v>
      </c>
      <c r="T826" s="7">
        <v>8803176.3100000005</v>
      </c>
      <c r="U826" s="7"/>
      <c r="V826" s="7">
        <v>0.33</v>
      </c>
      <c r="W826" s="7">
        <v>0.08</v>
      </c>
      <c r="X826" s="7" t="s">
        <v>2768</v>
      </c>
      <c r="Y826" s="7">
        <v>7679956.4699999997</v>
      </c>
      <c r="Z826" s="7">
        <v>2778167.24</v>
      </c>
      <c r="AA826" s="7">
        <v>120</v>
      </c>
      <c r="AB826" s="7">
        <v>75</v>
      </c>
      <c r="AC826" s="7" t="s">
        <v>347</v>
      </c>
      <c r="AD826" s="7" t="s">
        <v>455</v>
      </c>
      <c r="AE826" s="7">
        <v>0.94</v>
      </c>
      <c r="AF826" s="7" t="s">
        <v>4294</v>
      </c>
      <c r="AG826" s="7">
        <v>0.05</v>
      </c>
      <c r="AH826" s="7">
        <v>0.02</v>
      </c>
      <c r="AI826" s="7">
        <v>4</v>
      </c>
      <c r="AJ826" s="7">
        <v>1505</v>
      </c>
      <c r="AK826" s="7">
        <v>1015614.06</v>
      </c>
      <c r="AL826" s="7">
        <v>3149598.52</v>
      </c>
      <c r="AM826" s="7"/>
      <c r="AN826" s="7" t="s">
        <v>348</v>
      </c>
      <c r="AO826" s="7">
        <v>92.5</v>
      </c>
      <c r="AP826" s="7" t="s">
        <v>4275</v>
      </c>
      <c r="AQ826" s="7" t="s">
        <v>387</v>
      </c>
      <c r="AR826" s="7" t="s">
        <v>192</v>
      </c>
      <c r="AS826" s="7" t="s">
        <v>361</v>
      </c>
    </row>
    <row r="827" spans="1:45" x14ac:dyDescent="0.3">
      <c r="A827" s="6" t="s">
        <v>2769</v>
      </c>
      <c r="B827" s="6" t="s">
        <v>3736</v>
      </c>
      <c r="C827" s="6" t="s">
        <v>261</v>
      </c>
      <c r="D827" s="6" t="s">
        <v>220</v>
      </c>
      <c r="E827" s="6" t="s">
        <v>4265</v>
      </c>
      <c r="F827" s="6" t="s">
        <v>228</v>
      </c>
      <c r="G827" s="6" t="s">
        <v>16</v>
      </c>
      <c r="H827" s="6" t="s">
        <v>216</v>
      </c>
      <c r="I827" s="6" t="s">
        <v>183</v>
      </c>
      <c r="J827" s="6" t="s">
        <v>130</v>
      </c>
      <c r="K827" s="6" t="s">
        <v>204</v>
      </c>
      <c r="L827" s="6" t="s">
        <v>2770</v>
      </c>
      <c r="M827" s="6" t="s">
        <v>5411</v>
      </c>
      <c r="N827" s="6" t="s">
        <v>5412</v>
      </c>
      <c r="O827" s="6" t="s">
        <v>4274</v>
      </c>
      <c r="P827" s="6">
        <v>50</v>
      </c>
      <c r="Q827" s="6">
        <v>12710147</v>
      </c>
      <c r="R827" s="6">
        <v>0.28999999999999998</v>
      </c>
      <c r="S827" s="6">
        <v>7.0000000000000007E-2</v>
      </c>
      <c r="T827" s="6">
        <v>9655898.6799999997</v>
      </c>
      <c r="U827" s="6">
        <v>7562723.8499999996</v>
      </c>
      <c r="V827" s="6">
        <v>0.32</v>
      </c>
      <c r="W827" s="6">
        <v>0.19</v>
      </c>
      <c r="X827" s="6" t="s">
        <v>2771</v>
      </c>
      <c r="Y827" s="6">
        <v>3475219.17</v>
      </c>
      <c r="Z827" s="6">
        <v>2754912.04</v>
      </c>
      <c r="AA827" s="6">
        <v>90</v>
      </c>
      <c r="AB827" s="6">
        <v>169</v>
      </c>
      <c r="AC827" s="6" t="s">
        <v>376</v>
      </c>
      <c r="AD827" s="6" t="s">
        <v>455</v>
      </c>
      <c r="AE827" s="6">
        <v>0.82</v>
      </c>
      <c r="AF827" s="6" t="s">
        <v>4294</v>
      </c>
      <c r="AG827" s="6">
        <v>0.1</v>
      </c>
      <c r="AH827" s="6">
        <v>0.05</v>
      </c>
      <c r="AI827" s="6">
        <v>0</v>
      </c>
      <c r="AJ827" s="6">
        <v>3871</v>
      </c>
      <c r="AK827" s="6">
        <v>2228656.5</v>
      </c>
      <c r="AL827" s="6">
        <v>4797570.99</v>
      </c>
      <c r="AM827" s="6"/>
      <c r="AN827" s="6" t="s">
        <v>356</v>
      </c>
      <c r="AO827" s="6">
        <v>98.3</v>
      </c>
      <c r="AP827" s="6">
        <v>60</v>
      </c>
      <c r="AQ827" s="6" t="s">
        <v>387</v>
      </c>
      <c r="AR827" s="6" t="s">
        <v>206</v>
      </c>
      <c r="AS827" s="6"/>
    </row>
    <row r="828" spans="1:45" x14ac:dyDescent="0.3">
      <c r="A828" s="7" t="s">
        <v>2772</v>
      </c>
      <c r="B828" s="7" t="s">
        <v>3327</v>
      </c>
      <c r="C828" s="7" t="s">
        <v>219</v>
      </c>
      <c r="D828" s="7" t="s">
        <v>180</v>
      </c>
      <c r="E828" s="7" t="s">
        <v>4325</v>
      </c>
      <c r="F828" s="7" t="s">
        <v>19</v>
      </c>
      <c r="G828" s="7" t="s">
        <v>38</v>
      </c>
      <c r="H828" s="7" t="s">
        <v>4275</v>
      </c>
      <c r="I828" s="7" t="s">
        <v>240</v>
      </c>
      <c r="J828" s="7" t="s">
        <v>115</v>
      </c>
      <c r="K828" s="7" t="s">
        <v>204</v>
      </c>
      <c r="L828" s="7" t="s">
        <v>2773</v>
      </c>
      <c r="M828" s="7" t="s">
        <v>4155</v>
      </c>
      <c r="N828" s="7"/>
      <c r="O828" s="7" t="s">
        <v>5413</v>
      </c>
      <c r="P828" s="7">
        <v>6</v>
      </c>
      <c r="Q828" s="7">
        <v>34168309</v>
      </c>
      <c r="R828" s="7">
        <v>0.28999999999999998</v>
      </c>
      <c r="S828" s="7">
        <v>-0.04</v>
      </c>
      <c r="T828" s="7">
        <v>23289119.41</v>
      </c>
      <c r="U828" s="7">
        <v>16714728.07</v>
      </c>
      <c r="V828" s="7">
        <v>0.12</v>
      </c>
      <c r="W828" s="7">
        <v>0.18</v>
      </c>
      <c r="X828" s="7" t="s">
        <v>2774</v>
      </c>
      <c r="Y828" s="7">
        <v>11740530.359999999</v>
      </c>
      <c r="Z828" s="7">
        <v>10320686.890000001</v>
      </c>
      <c r="AA828" s="7">
        <v>60</v>
      </c>
      <c r="AB828" s="7">
        <v>5</v>
      </c>
      <c r="AC828" s="7" t="s">
        <v>342</v>
      </c>
      <c r="AD828" s="7" t="s">
        <v>455</v>
      </c>
      <c r="AE828" s="7">
        <v>0.64</v>
      </c>
      <c r="AF828" s="7" t="s">
        <v>4276</v>
      </c>
      <c r="AG828" s="7">
        <v>0.05</v>
      </c>
      <c r="AH828" s="7">
        <v>0.05</v>
      </c>
      <c r="AI828" s="7">
        <v>5</v>
      </c>
      <c r="AJ828" s="7">
        <v>3242</v>
      </c>
      <c r="AK828" s="7">
        <v>4227708.25</v>
      </c>
      <c r="AL828" s="7">
        <v>2966998.77</v>
      </c>
      <c r="AM828" s="7" t="s">
        <v>321</v>
      </c>
      <c r="AN828" s="7" t="s">
        <v>348</v>
      </c>
      <c r="AO828" s="7">
        <v>72.099999999999994</v>
      </c>
      <c r="AP828" s="7" t="s">
        <v>4275</v>
      </c>
      <c r="AQ828" s="7" t="s">
        <v>4275</v>
      </c>
      <c r="AR828" s="7" t="s">
        <v>224</v>
      </c>
      <c r="AS828" s="7"/>
    </row>
    <row r="829" spans="1:45" x14ac:dyDescent="0.3">
      <c r="A829" s="6" t="s">
        <v>2775</v>
      </c>
      <c r="B829" s="6" t="s">
        <v>4104</v>
      </c>
      <c r="C829" s="6" t="s">
        <v>277</v>
      </c>
      <c r="D829" s="6" t="s">
        <v>281</v>
      </c>
      <c r="E829" s="6" t="s">
        <v>4325</v>
      </c>
      <c r="F829" s="6" t="s">
        <v>19</v>
      </c>
      <c r="G829" s="6" t="s">
        <v>80</v>
      </c>
      <c r="H829" s="6" t="s">
        <v>4340</v>
      </c>
      <c r="I829" s="6" t="s">
        <v>203</v>
      </c>
      <c r="J829" s="6" t="s">
        <v>115</v>
      </c>
      <c r="K829" s="6" t="s">
        <v>199</v>
      </c>
      <c r="L829" s="6" t="s">
        <v>2776</v>
      </c>
      <c r="M829" s="6" t="s">
        <v>5414</v>
      </c>
      <c r="N829" s="6" t="s">
        <v>5279</v>
      </c>
      <c r="O829" s="6" t="s">
        <v>3556</v>
      </c>
      <c r="P829" s="6">
        <v>45</v>
      </c>
      <c r="Q829" s="6" t="s">
        <v>4275</v>
      </c>
      <c r="R829" s="6">
        <v>0.15</v>
      </c>
      <c r="S829" s="6">
        <v>0.15</v>
      </c>
      <c r="T829" s="6">
        <v>38312508.399999999</v>
      </c>
      <c r="U829" s="6">
        <v>26897905.199999999</v>
      </c>
      <c r="V829" s="6">
        <v>7.0000000000000007E-2</v>
      </c>
      <c r="W829" s="6">
        <v>0.11</v>
      </c>
      <c r="X829" s="6" t="s">
        <v>2777</v>
      </c>
      <c r="Y829" s="6">
        <v>2067158.61</v>
      </c>
      <c r="Z829" s="6">
        <v>1836375.55</v>
      </c>
      <c r="AA829" s="6">
        <v>60</v>
      </c>
      <c r="AB829" s="6">
        <v>119</v>
      </c>
      <c r="AC829" s="6" t="s">
        <v>342</v>
      </c>
      <c r="AD829" s="6" t="s">
        <v>406</v>
      </c>
      <c r="AE829" s="6">
        <v>0.35</v>
      </c>
      <c r="AF829" s="6" t="s">
        <v>4361</v>
      </c>
      <c r="AG829" s="6">
        <v>0.05</v>
      </c>
      <c r="AH829" s="6">
        <v>7.0000000000000007E-2</v>
      </c>
      <c r="AI829" s="6">
        <v>12</v>
      </c>
      <c r="AJ829" s="6">
        <v>4765</v>
      </c>
      <c r="AK829" s="6"/>
      <c r="AL829" s="6">
        <v>9640843.8699999992</v>
      </c>
      <c r="AM829" s="6" t="s">
        <v>73</v>
      </c>
      <c r="AN829" s="6" t="s">
        <v>356</v>
      </c>
      <c r="AO829" s="6">
        <v>82.4</v>
      </c>
      <c r="AP829" s="6">
        <v>60</v>
      </c>
      <c r="AQ829" s="6" t="s">
        <v>392</v>
      </c>
      <c r="AR829" s="6" t="s">
        <v>186</v>
      </c>
      <c r="AS829" s="6" t="s">
        <v>357</v>
      </c>
    </row>
    <row r="830" spans="1:45" x14ac:dyDescent="0.3">
      <c r="A830" s="7" t="s">
        <v>2778</v>
      </c>
      <c r="B830" s="7" t="s">
        <v>3856</v>
      </c>
      <c r="C830" s="7" t="s">
        <v>284</v>
      </c>
      <c r="D830" s="7" t="s">
        <v>202</v>
      </c>
      <c r="E830" s="7" t="s">
        <v>20</v>
      </c>
      <c r="F830" s="7" t="s">
        <v>31</v>
      </c>
      <c r="G830" s="7" t="s">
        <v>23</v>
      </c>
      <c r="H830" s="7" t="s">
        <v>212</v>
      </c>
      <c r="I830" s="7" t="s">
        <v>233</v>
      </c>
      <c r="J830" s="7" t="s">
        <v>136</v>
      </c>
      <c r="K830" s="7" t="s">
        <v>199</v>
      </c>
      <c r="L830" s="7" t="s">
        <v>2779</v>
      </c>
      <c r="M830" s="7" t="s">
        <v>3806</v>
      </c>
      <c r="N830" s="7" t="s">
        <v>4193</v>
      </c>
      <c r="O830" s="7" t="s">
        <v>4274</v>
      </c>
      <c r="P830" s="7">
        <v>45</v>
      </c>
      <c r="Q830" s="7">
        <v>47796347</v>
      </c>
      <c r="R830" s="7">
        <v>0.2</v>
      </c>
      <c r="S830" s="7">
        <v>0.15</v>
      </c>
      <c r="T830" s="7">
        <v>43972639.240000002</v>
      </c>
      <c r="U830" s="7">
        <v>36966305.090000004</v>
      </c>
      <c r="V830" s="7">
        <v>0.37</v>
      </c>
      <c r="W830" s="7">
        <v>0.09</v>
      </c>
      <c r="X830" s="7" t="s">
        <v>2780</v>
      </c>
      <c r="Y830" s="7">
        <v>27849631.039999999</v>
      </c>
      <c r="Z830" s="7">
        <v>27237970.300000001</v>
      </c>
      <c r="AA830" s="7">
        <v>45</v>
      </c>
      <c r="AB830" s="7">
        <v>116</v>
      </c>
      <c r="AC830" s="7" t="s">
        <v>342</v>
      </c>
      <c r="AD830" s="7" t="s">
        <v>455</v>
      </c>
      <c r="AE830" s="7">
        <v>0.68</v>
      </c>
      <c r="AF830" s="7" t="s">
        <v>159</v>
      </c>
      <c r="AG830" s="7">
        <v>0.15</v>
      </c>
      <c r="AH830" s="7">
        <v>0.03</v>
      </c>
      <c r="AI830" s="7">
        <v>8</v>
      </c>
      <c r="AJ830" s="7">
        <v>3002</v>
      </c>
      <c r="AK830" s="7">
        <v>8249732.0999999996</v>
      </c>
      <c r="AL830" s="7">
        <v>13299379.029999999</v>
      </c>
      <c r="AM830" s="7" t="s">
        <v>343</v>
      </c>
      <c r="AN830" s="7" t="s">
        <v>322</v>
      </c>
      <c r="AO830" s="7">
        <v>66.3</v>
      </c>
      <c r="AP830" s="7">
        <v>24</v>
      </c>
      <c r="AQ830" s="7" t="s">
        <v>337</v>
      </c>
      <c r="AR830" s="7" t="s">
        <v>224</v>
      </c>
      <c r="AS830" s="7" t="s">
        <v>357</v>
      </c>
    </row>
    <row r="831" spans="1:45" x14ac:dyDescent="0.3">
      <c r="A831" s="6" t="s">
        <v>2781</v>
      </c>
      <c r="B831" s="6" t="s">
        <v>4428</v>
      </c>
      <c r="C831" s="6" t="s">
        <v>237</v>
      </c>
      <c r="D831" s="6" t="s">
        <v>190</v>
      </c>
      <c r="E831" s="6" t="s">
        <v>4265</v>
      </c>
      <c r="F831" s="6" t="s">
        <v>363</v>
      </c>
      <c r="G831" s="6" t="s">
        <v>73</v>
      </c>
      <c r="H831" s="6" t="s">
        <v>216</v>
      </c>
      <c r="I831" s="6" t="s">
        <v>4289</v>
      </c>
      <c r="J831" s="6" t="s">
        <v>130</v>
      </c>
      <c r="K831" s="6" t="s">
        <v>204</v>
      </c>
      <c r="L831" s="6" t="s">
        <v>2782</v>
      </c>
      <c r="M831" s="6" t="s">
        <v>4857</v>
      </c>
      <c r="N831" s="6"/>
      <c r="O831" s="6" t="s">
        <v>3476</v>
      </c>
      <c r="P831" s="6">
        <v>12</v>
      </c>
      <c r="Q831" s="6">
        <v>43833407</v>
      </c>
      <c r="R831" s="6">
        <v>0.16</v>
      </c>
      <c r="S831" s="6">
        <v>0</v>
      </c>
      <c r="T831" s="6">
        <v>36820061.880000003</v>
      </c>
      <c r="U831" s="6"/>
      <c r="V831" s="6">
        <v>0.1</v>
      </c>
      <c r="W831" s="6">
        <v>0.19</v>
      </c>
      <c r="X831" s="6" t="s">
        <v>2783</v>
      </c>
      <c r="Y831" s="6">
        <v>22875064.199999999</v>
      </c>
      <c r="Z831" s="6">
        <v>12256585.609999999</v>
      </c>
      <c r="AA831" s="6">
        <v>45</v>
      </c>
      <c r="AB831" s="6">
        <v>17</v>
      </c>
      <c r="AC831" s="6" t="s">
        <v>376</v>
      </c>
      <c r="AD831" s="6" t="s">
        <v>406</v>
      </c>
      <c r="AE831" s="6">
        <v>0.7</v>
      </c>
      <c r="AF831" s="6" t="s">
        <v>4276</v>
      </c>
      <c r="AG831" s="6">
        <v>0.05</v>
      </c>
      <c r="AH831" s="6">
        <v>0.06</v>
      </c>
      <c r="AI831" s="6">
        <v>2</v>
      </c>
      <c r="AJ831" s="6">
        <v>2497</v>
      </c>
      <c r="AK831" s="6">
        <v>1739901.92</v>
      </c>
      <c r="AL831" s="6">
        <v>12119745.84</v>
      </c>
      <c r="AM831" s="6" t="s">
        <v>343</v>
      </c>
      <c r="AN831" s="6" t="s">
        <v>348</v>
      </c>
      <c r="AO831" s="6">
        <v>62.7</v>
      </c>
      <c r="AP831" s="6">
        <v>12</v>
      </c>
      <c r="AQ831" s="6" t="s">
        <v>323</v>
      </c>
      <c r="AR831" s="6" t="s">
        <v>186</v>
      </c>
      <c r="AS831" s="6" t="s">
        <v>377</v>
      </c>
    </row>
    <row r="832" spans="1:45" x14ac:dyDescent="0.3">
      <c r="A832" s="7" t="s">
        <v>2784</v>
      </c>
      <c r="B832" s="7" t="s">
        <v>3818</v>
      </c>
      <c r="C832" s="7" t="s">
        <v>244</v>
      </c>
      <c r="D832" s="7" t="s">
        <v>265</v>
      </c>
      <c r="E832" s="7"/>
      <c r="F832" s="7" t="s">
        <v>367</v>
      </c>
      <c r="G832" s="7" t="s">
        <v>54</v>
      </c>
      <c r="H832" s="7"/>
      <c r="I832" s="7" t="s">
        <v>240</v>
      </c>
      <c r="J832" s="7" t="s">
        <v>99</v>
      </c>
      <c r="K832" s="7" t="s">
        <v>221</v>
      </c>
      <c r="L832" s="7" t="s">
        <v>2785</v>
      </c>
      <c r="M832" s="7" t="s">
        <v>3849</v>
      </c>
      <c r="N832" s="7"/>
      <c r="O832" s="7" t="s">
        <v>5415</v>
      </c>
      <c r="P832" s="7" t="s">
        <v>4275</v>
      </c>
      <c r="Q832" s="7">
        <v>40804005</v>
      </c>
      <c r="R832" s="7">
        <v>0.08</v>
      </c>
      <c r="S832" s="7">
        <v>0.18</v>
      </c>
      <c r="T832" s="7">
        <v>44296827.829999998</v>
      </c>
      <c r="U832" s="7">
        <v>38729811.159999996</v>
      </c>
      <c r="V832" s="7">
        <v>0.13</v>
      </c>
      <c r="W832" s="7">
        <v>0.06</v>
      </c>
      <c r="X832" s="7" t="s">
        <v>2786</v>
      </c>
      <c r="Y832" s="7">
        <v>14348034.619999999</v>
      </c>
      <c r="Z832" s="7">
        <v>12679656.029999999</v>
      </c>
      <c r="AA832" s="7">
        <v>60</v>
      </c>
      <c r="AB832" s="7">
        <v>26</v>
      </c>
      <c r="AC832" s="7" t="s">
        <v>347</v>
      </c>
      <c r="AD832" s="7" t="s">
        <v>336</v>
      </c>
      <c r="AE832" s="7">
        <v>0.24</v>
      </c>
      <c r="AF832" s="7" t="s">
        <v>4303</v>
      </c>
      <c r="AG832" s="7">
        <v>0.15</v>
      </c>
      <c r="AH832" s="7">
        <v>0.1</v>
      </c>
      <c r="AI832" s="7">
        <v>3</v>
      </c>
      <c r="AJ832" s="7"/>
      <c r="AK832" s="7">
        <v>7220934.1299999999</v>
      </c>
      <c r="AL832" s="7">
        <v>21922964.870000001</v>
      </c>
      <c r="AM832" s="7"/>
      <c r="AN832" s="7" t="s">
        <v>321</v>
      </c>
      <c r="AO832" s="7">
        <v>76.400000000000006</v>
      </c>
      <c r="AP832" s="7">
        <v>24</v>
      </c>
      <c r="AQ832" s="7" t="s">
        <v>387</v>
      </c>
      <c r="AR832" s="7" t="s">
        <v>192</v>
      </c>
      <c r="AS832" s="7" t="s">
        <v>357</v>
      </c>
    </row>
    <row r="833" spans="1:45" x14ac:dyDescent="0.3">
      <c r="A833" s="6" t="s">
        <v>2787</v>
      </c>
      <c r="B833" s="6" t="s">
        <v>3803</v>
      </c>
      <c r="C833" s="6" t="s">
        <v>258</v>
      </c>
      <c r="D833" s="6" t="s">
        <v>255</v>
      </c>
      <c r="E833" s="6" t="s">
        <v>4376</v>
      </c>
      <c r="F833" s="6" t="s">
        <v>35</v>
      </c>
      <c r="G833" s="6" t="s">
        <v>16</v>
      </c>
      <c r="H833" s="6" t="s">
        <v>4275</v>
      </c>
      <c r="I833" s="6" t="s">
        <v>203</v>
      </c>
      <c r="J833" s="6" t="s">
        <v>136</v>
      </c>
      <c r="K833" s="6" t="s">
        <v>210</v>
      </c>
      <c r="L833" s="6" t="s">
        <v>2788</v>
      </c>
      <c r="M833" s="6" t="s">
        <v>5373</v>
      </c>
      <c r="N833" s="6" t="s">
        <v>5416</v>
      </c>
      <c r="O833" s="6" t="s">
        <v>4274</v>
      </c>
      <c r="P833" s="6">
        <v>32</v>
      </c>
      <c r="Q833" s="6">
        <v>7294341</v>
      </c>
      <c r="R833" s="6">
        <v>0.23</v>
      </c>
      <c r="S833" s="6">
        <v>0.17</v>
      </c>
      <c r="T833" s="6">
        <v>6571471.8099999996</v>
      </c>
      <c r="U833" s="6">
        <v>4689343.1500000004</v>
      </c>
      <c r="V833" s="6">
        <v>0.17</v>
      </c>
      <c r="W833" s="6">
        <v>0.11</v>
      </c>
      <c r="X833" s="6" t="s">
        <v>2789</v>
      </c>
      <c r="Y833" s="6">
        <v>3411650.97</v>
      </c>
      <c r="Z833" s="6" t="s">
        <v>4357</v>
      </c>
      <c r="AA833" s="6">
        <v>90</v>
      </c>
      <c r="AB833" s="6">
        <v>81</v>
      </c>
      <c r="AC833" s="6"/>
      <c r="AD833" s="6" t="s">
        <v>455</v>
      </c>
      <c r="AE833" s="6">
        <v>0.75</v>
      </c>
      <c r="AF833" s="6" t="s">
        <v>4312</v>
      </c>
      <c r="AG833" s="6">
        <v>0.15</v>
      </c>
      <c r="AH833" s="6">
        <v>0.04</v>
      </c>
      <c r="AI833" s="6">
        <v>8</v>
      </c>
      <c r="AJ833" s="6">
        <v>516</v>
      </c>
      <c r="AK833" s="6">
        <v>724392.57</v>
      </c>
      <c r="AL833" s="6">
        <v>2579282.17</v>
      </c>
      <c r="AM833" s="6" t="s">
        <v>343</v>
      </c>
      <c r="AN833" s="6" t="s">
        <v>348</v>
      </c>
      <c r="AO833" s="6">
        <v>79.099999999999994</v>
      </c>
      <c r="AP833" s="6">
        <v>36</v>
      </c>
      <c r="AQ833" s="6" t="s">
        <v>4275</v>
      </c>
      <c r="AR833" s="6" t="s">
        <v>224</v>
      </c>
      <c r="AS833" s="6" t="s">
        <v>357</v>
      </c>
    </row>
    <row r="834" spans="1:45" x14ac:dyDescent="0.3">
      <c r="A834" s="7" t="s">
        <v>2790</v>
      </c>
      <c r="B834" s="7" t="s">
        <v>4194</v>
      </c>
      <c r="C834" s="7" t="s">
        <v>280</v>
      </c>
      <c r="D834" s="7" t="s">
        <v>245</v>
      </c>
      <c r="E834" s="7" t="s">
        <v>4325</v>
      </c>
      <c r="F834" s="7" t="s">
        <v>19</v>
      </c>
      <c r="G834" s="7" t="s">
        <v>78</v>
      </c>
      <c r="H834" s="7" t="s">
        <v>4271</v>
      </c>
      <c r="I834" s="7" t="s">
        <v>246</v>
      </c>
      <c r="J834" s="7" t="s">
        <v>115</v>
      </c>
      <c r="K834" s="7" t="s">
        <v>199</v>
      </c>
      <c r="L834" s="7" t="s">
        <v>2791</v>
      </c>
      <c r="M834" s="7" t="s">
        <v>5417</v>
      </c>
      <c r="N834" s="7" t="s">
        <v>3966</v>
      </c>
      <c r="O834" s="7" t="s">
        <v>906</v>
      </c>
      <c r="P834" s="7" t="s">
        <v>4275</v>
      </c>
      <c r="Q834" s="7">
        <v>41655972</v>
      </c>
      <c r="R834" s="7">
        <v>0.22</v>
      </c>
      <c r="S834" s="7">
        <v>0.06</v>
      </c>
      <c r="T834" s="7">
        <v>34441157.649999999</v>
      </c>
      <c r="U834" s="7">
        <v>21861951.690000001</v>
      </c>
      <c r="V834" s="7">
        <v>0.18</v>
      </c>
      <c r="W834" s="7">
        <v>0.08</v>
      </c>
      <c r="X834" s="7" t="s">
        <v>2792</v>
      </c>
      <c r="Y834" s="7">
        <v>16703309.539999999</v>
      </c>
      <c r="Z834" s="7">
        <v>16957738.16</v>
      </c>
      <c r="AA834" s="7">
        <v>60</v>
      </c>
      <c r="AB834" s="7">
        <v>52</v>
      </c>
      <c r="AC834" s="7" t="s">
        <v>376</v>
      </c>
      <c r="AD834" s="7" t="s">
        <v>320</v>
      </c>
      <c r="AE834" s="7">
        <v>0.93</v>
      </c>
      <c r="AF834" s="7" t="s">
        <v>4294</v>
      </c>
      <c r="AG834" s="7">
        <v>0.15</v>
      </c>
      <c r="AH834" s="7">
        <v>7.0000000000000007E-2</v>
      </c>
      <c r="AI834" s="7">
        <v>11</v>
      </c>
      <c r="AJ834" s="7">
        <v>3035</v>
      </c>
      <c r="AK834" s="7">
        <v>4055376.92</v>
      </c>
      <c r="AL834" s="7">
        <v>11921262.710000001</v>
      </c>
      <c r="AM834" s="7" t="s">
        <v>73</v>
      </c>
      <c r="AN834" s="7" t="s">
        <v>356</v>
      </c>
      <c r="AO834" s="7">
        <v>87.9</v>
      </c>
      <c r="AP834" s="7">
        <v>24</v>
      </c>
      <c r="AQ834" s="7" t="s">
        <v>392</v>
      </c>
      <c r="AR834" s="7" t="s">
        <v>206</v>
      </c>
      <c r="AS834" s="7"/>
    </row>
    <row r="835" spans="1:45" x14ac:dyDescent="0.3">
      <c r="A835" s="6" t="s">
        <v>2793</v>
      </c>
      <c r="B835" s="6" t="s">
        <v>5418</v>
      </c>
      <c r="C835" s="6" t="s">
        <v>243</v>
      </c>
      <c r="D835" s="6" t="s">
        <v>180</v>
      </c>
      <c r="E835" s="6" t="s">
        <v>36</v>
      </c>
      <c r="F835" s="6" t="s">
        <v>19</v>
      </c>
      <c r="G835" s="6" t="s">
        <v>80</v>
      </c>
      <c r="H835" s="6" t="s">
        <v>4271</v>
      </c>
      <c r="I835" s="6" t="s">
        <v>4272</v>
      </c>
      <c r="J835" s="6" t="s">
        <v>115</v>
      </c>
      <c r="K835" s="6" t="s">
        <v>204</v>
      </c>
      <c r="L835" s="6" t="s">
        <v>2794</v>
      </c>
      <c r="M835" s="6" t="s">
        <v>3562</v>
      </c>
      <c r="N835" s="6" t="s">
        <v>4652</v>
      </c>
      <c r="O835" s="6" t="s">
        <v>4828</v>
      </c>
      <c r="P835" s="6" t="s">
        <v>4275</v>
      </c>
      <c r="Q835" s="6">
        <v>31185336</v>
      </c>
      <c r="R835" s="6">
        <v>0.25</v>
      </c>
      <c r="S835" s="6">
        <v>0.08</v>
      </c>
      <c r="T835" s="6">
        <v>25260122.16</v>
      </c>
      <c r="U835" s="6">
        <v>16360104.630000001</v>
      </c>
      <c r="V835" s="6">
        <v>0.22</v>
      </c>
      <c r="W835" s="6">
        <v>0.15</v>
      </c>
      <c r="X835" s="6" t="s">
        <v>2795</v>
      </c>
      <c r="Y835" s="6">
        <v>8246932.5800000001</v>
      </c>
      <c r="Z835" s="6">
        <v>6616495.8899999997</v>
      </c>
      <c r="AA835" s="6">
        <v>30</v>
      </c>
      <c r="AB835" s="6">
        <v>115</v>
      </c>
      <c r="AC835" s="6" t="s">
        <v>376</v>
      </c>
      <c r="AD835" s="6" t="s">
        <v>320</v>
      </c>
      <c r="AE835" s="6">
        <v>0.6</v>
      </c>
      <c r="AF835" s="6" t="s">
        <v>152</v>
      </c>
      <c r="AG835" s="6">
        <v>0.15</v>
      </c>
      <c r="AH835" s="6">
        <v>0.08</v>
      </c>
      <c r="AI835" s="6">
        <v>9</v>
      </c>
      <c r="AJ835" s="6">
        <v>1906</v>
      </c>
      <c r="AK835" s="6"/>
      <c r="AL835" s="6">
        <v>12272241.130000001</v>
      </c>
      <c r="AM835" s="6" t="s">
        <v>391</v>
      </c>
      <c r="AN835" s="6"/>
      <c r="AO835" s="6"/>
      <c r="AP835" s="6">
        <v>60</v>
      </c>
      <c r="AQ835" s="6"/>
      <c r="AR835" s="6" t="s">
        <v>192</v>
      </c>
      <c r="AS835" s="6" t="s">
        <v>188</v>
      </c>
    </row>
    <row r="836" spans="1:45" x14ac:dyDescent="0.3">
      <c r="A836" s="7" t="s">
        <v>2796</v>
      </c>
      <c r="B836" s="7" t="s">
        <v>3649</v>
      </c>
      <c r="C836" s="7" t="s">
        <v>222</v>
      </c>
      <c r="D836" s="7" t="s">
        <v>394</v>
      </c>
      <c r="E836" s="7" t="s">
        <v>36</v>
      </c>
      <c r="F836" s="7" t="s">
        <v>19</v>
      </c>
      <c r="G836" s="7" t="s">
        <v>16</v>
      </c>
      <c r="H836" s="7" t="s">
        <v>212</v>
      </c>
      <c r="I836" s="7" t="s">
        <v>203</v>
      </c>
      <c r="J836" s="7" t="s">
        <v>115</v>
      </c>
      <c r="K836" s="7" t="s">
        <v>184</v>
      </c>
      <c r="L836" s="7" t="s">
        <v>2797</v>
      </c>
      <c r="M836" s="7" t="s">
        <v>3612</v>
      </c>
      <c r="N836" s="7" t="s">
        <v>5328</v>
      </c>
      <c r="O836" s="7" t="s">
        <v>4274</v>
      </c>
      <c r="P836" s="7">
        <v>22</v>
      </c>
      <c r="Q836" s="7">
        <v>47444174</v>
      </c>
      <c r="R836" s="7">
        <v>0.23</v>
      </c>
      <c r="S836" s="7">
        <v>0.14000000000000001</v>
      </c>
      <c r="T836" s="7">
        <v>41646495.939999998</v>
      </c>
      <c r="U836" s="7">
        <v>36268392</v>
      </c>
      <c r="V836" s="7">
        <v>0.21</v>
      </c>
      <c r="W836" s="7">
        <v>0.14000000000000001</v>
      </c>
      <c r="X836" s="7" t="s">
        <v>2798</v>
      </c>
      <c r="Y836" s="7">
        <v>36285598.380000003</v>
      </c>
      <c r="Z836" s="7">
        <v>13743754.99</v>
      </c>
      <c r="AA836" s="7">
        <v>60</v>
      </c>
      <c r="AB836" s="7">
        <v>6</v>
      </c>
      <c r="AC836" s="7" t="s">
        <v>353</v>
      </c>
      <c r="AD836" s="7" t="s">
        <v>226</v>
      </c>
      <c r="AE836" s="7">
        <v>0.51</v>
      </c>
      <c r="AF836" s="7"/>
      <c r="AG836" s="7">
        <v>0.05</v>
      </c>
      <c r="AH836" s="7">
        <v>0.04</v>
      </c>
      <c r="AI836" s="7">
        <v>13</v>
      </c>
      <c r="AJ836" s="7">
        <v>1548</v>
      </c>
      <c r="AK836" s="7">
        <v>1100313.77</v>
      </c>
      <c r="AL836" s="7">
        <v>19411548.670000002</v>
      </c>
      <c r="AM836" s="7" t="s">
        <v>343</v>
      </c>
      <c r="AN836" s="7" t="s">
        <v>321</v>
      </c>
      <c r="AO836" s="7">
        <v>100</v>
      </c>
      <c r="AP836" s="7">
        <v>36</v>
      </c>
      <c r="AQ836" s="7" t="s">
        <v>337</v>
      </c>
      <c r="AR836" s="7" t="s">
        <v>229</v>
      </c>
      <c r="AS836" s="7" t="s">
        <v>361</v>
      </c>
    </row>
    <row r="837" spans="1:45" x14ac:dyDescent="0.3">
      <c r="A837" s="6" t="s">
        <v>2799</v>
      </c>
      <c r="B837" s="6" t="s">
        <v>5419</v>
      </c>
      <c r="C837" s="6" t="s">
        <v>211</v>
      </c>
      <c r="D837" s="6" t="s">
        <v>232</v>
      </c>
      <c r="E837" s="6" t="s">
        <v>4265</v>
      </c>
      <c r="F837" s="6" t="s">
        <v>350</v>
      </c>
      <c r="G837" s="6" t="s">
        <v>16</v>
      </c>
      <c r="H837" s="6" t="s">
        <v>216</v>
      </c>
      <c r="I837" s="6" t="s">
        <v>4272</v>
      </c>
      <c r="J837" s="6" t="s">
        <v>130</v>
      </c>
      <c r="K837" s="6" t="s">
        <v>199</v>
      </c>
      <c r="L837" s="6" t="s">
        <v>2800</v>
      </c>
      <c r="M837" s="6" t="s">
        <v>5420</v>
      </c>
      <c r="N837" s="6"/>
      <c r="O837" s="6" t="s">
        <v>5421</v>
      </c>
      <c r="P837" s="6">
        <v>21</v>
      </c>
      <c r="Q837" s="6">
        <v>13325168</v>
      </c>
      <c r="R837" s="6">
        <v>0.08</v>
      </c>
      <c r="S837" s="6">
        <v>0.19</v>
      </c>
      <c r="T837" s="6">
        <v>14588393.93</v>
      </c>
      <c r="U837" s="6">
        <v>9272786.7799999993</v>
      </c>
      <c r="V837" s="6">
        <v>0.22</v>
      </c>
      <c r="W837" s="6">
        <v>0.18</v>
      </c>
      <c r="X837" s="6" t="s">
        <v>2801</v>
      </c>
      <c r="Y837" s="6">
        <v>10362344.890000001</v>
      </c>
      <c r="Z837" s="6">
        <v>10162368.699999999</v>
      </c>
      <c r="AA837" s="6">
        <v>120</v>
      </c>
      <c r="AB837" s="6">
        <v>140</v>
      </c>
      <c r="AC837" s="6" t="s">
        <v>347</v>
      </c>
      <c r="AD837" s="6" t="s">
        <v>381</v>
      </c>
      <c r="AE837" s="6">
        <v>0.89</v>
      </c>
      <c r="AF837" s="6" t="s">
        <v>155</v>
      </c>
      <c r="AG837" s="6">
        <v>0.15</v>
      </c>
      <c r="AH837" s="6">
        <v>0.09</v>
      </c>
      <c r="AI837" s="6">
        <v>10</v>
      </c>
      <c r="AJ837" s="6">
        <v>357</v>
      </c>
      <c r="AK837" s="6">
        <v>2652384.56</v>
      </c>
      <c r="AL837" s="6">
        <v>4107416.91</v>
      </c>
      <c r="AM837" s="6"/>
      <c r="AN837" s="6" t="s">
        <v>322</v>
      </c>
      <c r="AO837" s="6">
        <v>85.9</v>
      </c>
      <c r="AP837" s="6">
        <v>24</v>
      </c>
      <c r="AQ837" s="6" t="s">
        <v>392</v>
      </c>
      <c r="AR837" s="6" t="s">
        <v>192</v>
      </c>
      <c r="AS837" s="6"/>
    </row>
    <row r="838" spans="1:45" x14ac:dyDescent="0.3">
      <c r="A838" s="7" t="s">
        <v>2802</v>
      </c>
      <c r="B838" s="7" t="s">
        <v>4174</v>
      </c>
      <c r="C838" s="7" t="s">
        <v>269</v>
      </c>
      <c r="D838" s="7" t="s">
        <v>262</v>
      </c>
      <c r="E838" s="7" t="s">
        <v>4265</v>
      </c>
      <c r="F838" s="7" t="s">
        <v>228</v>
      </c>
      <c r="G838" s="7" t="s">
        <v>16</v>
      </c>
      <c r="H838" s="7" t="s">
        <v>4266</v>
      </c>
      <c r="I838" s="7" t="s">
        <v>4289</v>
      </c>
      <c r="J838" s="6" t="s">
        <v>130</v>
      </c>
      <c r="K838" s="7" t="s">
        <v>204</v>
      </c>
      <c r="L838" s="7" t="s">
        <v>2803</v>
      </c>
      <c r="M838" s="7" t="s">
        <v>5422</v>
      </c>
      <c r="N838" s="7" t="s">
        <v>5423</v>
      </c>
      <c r="O838" s="7" t="s">
        <v>5424</v>
      </c>
      <c r="P838" s="7">
        <v>7</v>
      </c>
      <c r="Q838" s="7">
        <v>44837557</v>
      </c>
      <c r="R838" s="7">
        <v>7.0000000000000007E-2</v>
      </c>
      <c r="S838" s="7">
        <v>-0.01</v>
      </c>
      <c r="T838" s="7">
        <v>41281938.729999997</v>
      </c>
      <c r="U838" s="7">
        <v>32270802.530000001</v>
      </c>
      <c r="V838" s="7">
        <v>0.17</v>
      </c>
      <c r="W838" s="7">
        <v>0.19</v>
      </c>
      <c r="X838" s="7" t="s">
        <v>2804</v>
      </c>
      <c r="Y838" s="7">
        <v>9774754.0800000001</v>
      </c>
      <c r="Z838" s="7">
        <v>7061942.5999999996</v>
      </c>
      <c r="AA838" s="7">
        <v>90</v>
      </c>
      <c r="AB838" s="7">
        <v>119</v>
      </c>
      <c r="AC838" s="7" t="s">
        <v>329</v>
      </c>
      <c r="AD838" s="7" t="s">
        <v>320</v>
      </c>
      <c r="AE838" s="7" t="s">
        <v>4467</v>
      </c>
      <c r="AF838" s="7" t="s">
        <v>153</v>
      </c>
      <c r="AG838" s="7">
        <v>0.15</v>
      </c>
      <c r="AH838" s="7">
        <v>0.06</v>
      </c>
      <c r="AI838" s="7">
        <v>2</v>
      </c>
      <c r="AJ838" s="7">
        <v>1341</v>
      </c>
      <c r="AK838" s="7">
        <v>983829.01</v>
      </c>
      <c r="AL838" s="7">
        <v>12420894.92</v>
      </c>
      <c r="AM838" s="7" t="s">
        <v>73</v>
      </c>
      <c r="AN838" s="7" t="s">
        <v>330</v>
      </c>
      <c r="AO838" s="7">
        <v>76.2</v>
      </c>
      <c r="AP838" s="7">
        <v>60</v>
      </c>
      <c r="AQ838" s="7" t="s">
        <v>387</v>
      </c>
      <c r="AR838" s="7" t="s">
        <v>192</v>
      </c>
      <c r="AS838" s="7" t="s">
        <v>188</v>
      </c>
    </row>
    <row r="839" spans="1:45" x14ac:dyDescent="0.3">
      <c r="A839" s="6" t="s">
        <v>2512</v>
      </c>
      <c r="B839" s="6" t="s">
        <v>3659</v>
      </c>
      <c r="C839" s="6" t="s">
        <v>231</v>
      </c>
      <c r="D839" s="6" t="s">
        <v>274</v>
      </c>
      <c r="E839" s="6" t="s">
        <v>4376</v>
      </c>
      <c r="F839" s="6"/>
      <c r="G839" s="6" t="s">
        <v>46</v>
      </c>
      <c r="H839" s="6" t="s">
        <v>216</v>
      </c>
      <c r="I839" s="6" t="s">
        <v>4307</v>
      </c>
      <c r="J839" s="6" t="s">
        <v>136</v>
      </c>
      <c r="K839" s="6" t="s">
        <v>199</v>
      </c>
      <c r="L839" s="6" t="s">
        <v>4195</v>
      </c>
      <c r="M839" s="6" t="s">
        <v>5425</v>
      </c>
      <c r="N839" s="6" t="s">
        <v>4780</v>
      </c>
      <c r="O839" s="6" t="s">
        <v>3963</v>
      </c>
      <c r="P839" s="6">
        <v>38</v>
      </c>
      <c r="Q839" s="6">
        <v>21726965</v>
      </c>
      <c r="R839" s="6">
        <v>0.01</v>
      </c>
      <c r="S839" s="6">
        <v>-0.04</v>
      </c>
      <c r="T839" s="6">
        <v>20649307.539999999</v>
      </c>
      <c r="U839" s="6">
        <v>14527342.43</v>
      </c>
      <c r="V839" s="6">
        <v>0.11</v>
      </c>
      <c r="W839" s="6">
        <v>0.06</v>
      </c>
      <c r="X839" s="6" t="s">
        <v>4196</v>
      </c>
      <c r="Y839" s="6">
        <v>12313113.66</v>
      </c>
      <c r="Z839" s="6">
        <v>10144985.17</v>
      </c>
      <c r="AA839" s="6">
        <v>120</v>
      </c>
      <c r="AB839" s="6">
        <v>173</v>
      </c>
      <c r="AC839" s="6" t="s">
        <v>353</v>
      </c>
      <c r="AD839" s="6" t="s">
        <v>226</v>
      </c>
      <c r="AE839" s="6">
        <v>0.39</v>
      </c>
      <c r="AF839" s="6" t="s">
        <v>4361</v>
      </c>
      <c r="AG839" s="6">
        <v>0.1</v>
      </c>
      <c r="AH839" s="6">
        <v>0.02</v>
      </c>
      <c r="AI839" s="6">
        <v>12</v>
      </c>
      <c r="AJ839" s="6">
        <v>2490</v>
      </c>
      <c r="AK839" s="6">
        <v>3027822.98</v>
      </c>
      <c r="AL839" s="6">
        <v>6976440.8399999999</v>
      </c>
      <c r="AM839" s="6" t="s">
        <v>355</v>
      </c>
      <c r="AN839" s="6" t="s">
        <v>356</v>
      </c>
      <c r="AO839" s="6">
        <v>99.1</v>
      </c>
      <c r="AP839" s="6" t="s">
        <v>4275</v>
      </c>
      <c r="AQ839" s="6"/>
      <c r="AR839" s="6" t="s">
        <v>229</v>
      </c>
      <c r="AS839" s="6"/>
    </row>
    <row r="840" spans="1:45" x14ac:dyDescent="0.3">
      <c r="A840" s="7" t="s">
        <v>977</v>
      </c>
      <c r="B840" s="7" t="s">
        <v>3680</v>
      </c>
      <c r="C840" s="7" t="s">
        <v>214</v>
      </c>
      <c r="D840" s="7" t="s">
        <v>180</v>
      </c>
      <c r="E840" s="7" t="s">
        <v>41</v>
      </c>
      <c r="F840" s="7" t="s">
        <v>350</v>
      </c>
      <c r="G840" s="7" t="s">
        <v>62</v>
      </c>
      <c r="H840" s="7" t="s">
        <v>4266</v>
      </c>
      <c r="I840" s="7" t="s">
        <v>183</v>
      </c>
      <c r="J840" s="6" t="s">
        <v>130</v>
      </c>
      <c r="K840" s="7" t="s">
        <v>204</v>
      </c>
      <c r="L840" s="7" t="s">
        <v>4197</v>
      </c>
      <c r="M840" s="7" t="s">
        <v>5426</v>
      </c>
      <c r="N840" s="7"/>
      <c r="O840" s="7" t="s">
        <v>5427</v>
      </c>
      <c r="P840" s="7">
        <v>59</v>
      </c>
      <c r="Q840" s="7">
        <v>12868803</v>
      </c>
      <c r="R840" s="7">
        <v>0.24</v>
      </c>
      <c r="S840" s="7">
        <v>-0.01</v>
      </c>
      <c r="T840" s="7">
        <v>9682487.3800000008</v>
      </c>
      <c r="U840" s="7">
        <v>6261940.29</v>
      </c>
      <c r="V840" s="7">
        <v>7.0000000000000007E-2</v>
      </c>
      <c r="W840" s="7">
        <v>0.06</v>
      </c>
      <c r="X840" s="7" t="s">
        <v>4198</v>
      </c>
      <c r="Y840" s="7">
        <v>6430995.3799999999</v>
      </c>
      <c r="Z840" s="7">
        <v>4255076.9000000004</v>
      </c>
      <c r="AA840" s="7">
        <v>60</v>
      </c>
      <c r="AB840" s="7">
        <v>158</v>
      </c>
      <c r="AC840" s="7" t="s">
        <v>329</v>
      </c>
      <c r="AD840" s="7" t="s">
        <v>336</v>
      </c>
      <c r="AE840" s="7">
        <v>0.63</v>
      </c>
      <c r="AF840" s="7" t="s">
        <v>4312</v>
      </c>
      <c r="AG840" s="7">
        <v>0.05</v>
      </c>
      <c r="AH840" s="7">
        <v>0.04</v>
      </c>
      <c r="AI840" s="7">
        <v>8</v>
      </c>
      <c r="AJ840" s="7">
        <v>1490</v>
      </c>
      <c r="AK840" s="7">
        <v>424086.2</v>
      </c>
      <c r="AL840" s="7">
        <v>2660379.7799999998</v>
      </c>
      <c r="AM840" s="7" t="s">
        <v>343</v>
      </c>
      <c r="AN840" s="7"/>
      <c r="AO840" s="7">
        <v>88.5</v>
      </c>
      <c r="AP840" s="7">
        <v>60</v>
      </c>
      <c r="AQ840" s="7" t="s">
        <v>387</v>
      </c>
      <c r="AR840" s="7" t="s">
        <v>192</v>
      </c>
      <c r="AS840" s="7" t="s">
        <v>361</v>
      </c>
    </row>
    <row r="841" spans="1:45" x14ac:dyDescent="0.3">
      <c r="A841" s="6" t="s">
        <v>2805</v>
      </c>
      <c r="B841" s="6" t="s">
        <v>4949</v>
      </c>
      <c r="C841" s="6" t="s">
        <v>243</v>
      </c>
      <c r="D841" s="6" t="s">
        <v>232</v>
      </c>
      <c r="E841" s="6" t="s">
        <v>20</v>
      </c>
      <c r="F841" s="6" t="s">
        <v>35</v>
      </c>
      <c r="G841" s="6" t="s">
        <v>62</v>
      </c>
      <c r="H841" s="6"/>
      <c r="I841" s="6" t="s">
        <v>213</v>
      </c>
      <c r="J841" s="6" t="s">
        <v>136</v>
      </c>
      <c r="K841" s="6" t="s">
        <v>221</v>
      </c>
      <c r="L841" s="6" t="s">
        <v>2806</v>
      </c>
      <c r="M841" s="6" t="s">
        <v>3337</v>
      </c>
      <c r="N841" s="6" t="s">
        <v>5015</v>
      </c>
      <c r="O841" s="6" t="s">
        <v>3406</v>
      </c>
      <c r="P841" s="6">
        <v>34</v>
      </c>
      <c r="Q841" s="6">
        <v>14566937</v>
      </c>
      <c r="R841" s="6">
        <v>0.11</v>
      </c>
      <c r="S841" s="6">
        <v>0.09</v>
      </c>
      <c r="T841" s="6">
        <v>14131385.58</v>
      </c>
      <c r="U841" s="6">
        <v>10952772</v>
      </c>
      <c r="V841" s="6">
        <v>0.16</v>
      </c>
      <c r="W841" s="6">
        <v>0.12</v>
      </c>
      <c r="X841" s="6" t="s">
        <v>2807</v>
      </c>
      <c r="Y841" s="6">
        <v>9319362.0700000003</v>
      </c>
      <c r="Z841" s="6">
        <v>6983685.8799999999</v>
      </c>
      <c r="AA841" s="6">
        <v>120</v>
      </c>
      <c r="AB841" s="6">
        <v>95</v>
      </c>
      <c r="AC841" s="6" t="s">
        <v>347</v>
      </c>
      <c r="AD841" s="6" t="s">
        <v>320</v>
      </c>
      <c r="AE841" s="6">
        <v>0.95</v>
      </c>
      <c r="AF841" s="6" t="s">
        <v>4312</v>
      </c>
      <c r="AG841" s="6">
        <v>0.1</v>
      </c>
      <c r="AH841" s="6">
        <v>0.05</v>
      </c>
      <c r="AI841" s="6">
        <v>2</v>
      </c>
      <c r="AJ841" s="6">
        <v>438</v>
      </c>
      <c r="AK841" s="6">
        <v>2229757.64</v>
      </c>
      <c r="AL841" s="6">
        <v>3750798.5</v>
      </c>
      <c r="AM841" s="6" t="s">
        <v>391</v>
      </c>
      <c r="AN841" s="6" t="s">
        <v>356</v>
      </c>
      <c r="AO841" s="6"/>
      <c r="AP841" s="6">
        <v>36</v>
      </c>
      <c r="AQ841" s="6"/>
      <c r="AR841" s="6" t="s">
        <v>224</v>
      </c>
      <c r="AS841" s="6"/>
    </row>
    <row r="842" spans="1:45" x14ac:dyDescent="0.3">
      <c r="A842" s="7" t="s">
        <v>2808</v>
      </c>
      <c r="B842" s="7" t="s">
        <v>3386</v>
      </c>
      <c r="C842" s="7" t="s">
        <v>266</v>
      </c>
      <c r="D842" s="7" t="s">
        <v>209</v>
      </c>
      <c r="E842" s="7"/>
      <c r="F842" s="7" t="s">
        <v>75</v>
      </c>
      <c r="G842" s="7" t="s">
        <v>70</v>
      </c>
      <c r="H842" s="7" t="s">
        <v>4280</v>
      </c>
      <c r="I842" s="7" t="s">
        <v>233</v>
      </c>
      <c r="J842" s="7" t="s">
        <v>99</v>
      </c>
      <c r="K842" s="7" t="s">
        <v>184</v>
      </c>
      <c r="L842" s="7" t="s">
        <v>2809</v>
      </c>
      <c r="M842" s="7" t="s">
        <v>3807</v>
      </c>
      <c r="N842" s="7"/>
      <c r="O842" s="7" t="s">
        <v>5428</v>
      </c>
      <c r="P842" s="7">
        <v>14</v>
      </c>
      <c r="Q842" s="7">
        <v>27904564</v>
      </c>
      <c r="R842" s="7">
        <v>0.18</v>
      </c>
      <c r="S842" s="7">
        <v>-0.05</v>
      </c>
      <c r="T842" s="7">
        <v>21737655.359999999</v>
      </c>
      <c r="U842" s="7">
        <v>18347399.629999999</v>
      </c>
      <c r="V842" s="7">
        <v>0.11</v>
      </c>
      <c r="W842" s="7">
        <v>0.17</v>
      </c>
      <c r="X842" s="7" t="s">
        <v>2810</v>
      </c>
      <c r="Y842" s="7">
        <v>17209590.48</v>
      </c>
      <c r="Z842" s="7">
        <v>11010712.33</v>
      </c>
      <c r="AA842" s="7">
        <v>90</v>
      </c>
      <c r="AB842" s="7">
        <v>157</v>
      </c>
      <c r="AC842" s="7"/>
      <c r="AD842" s="7" t="s">
        <v>406</v>
      </c>
      <c r="AE842" s="7">
        <v>0.52</v>
      </c>
      <c r="AF842" s="7" t="s">
        <v>153</v>
      </c>
      <c r="AG842" s="7">
        <v>0.1</v>
      </c>
      <c r="AH842" s="7">
        <v>0.01</v>
      </c>
      <c r="AI842" s="7">
        <v>1</v>
      </c>
      <c r="AJ842" s="7">
        <v>2665</v>
      </c>
      <c r="AK842" s="7">
        <v>914340.55</v>
      </c>
      <c r="AL842" s="7">
        <v>6621245.6799999997</v>
      </c>
      <c r="AM842" s="7" t="s">
        <v>391</v>
      </c>
      <c r="AN842" s="7" t="s">
        <v>356</v>
      </c>
      <c r="AO842" s="7">
        <v>85</v>
      </c>
      <c r="AP842" s="7">
        <v>48</v>
      </c>
      <c r="AQ842" s="7" t="s">
        <v>323</v>
      </c>
      <c r="AR842" s="7" t="s">
        <v>186</v>
      </c>
      <c r="AS842" s="7" t="s">
        <v>357</v>
      </c>
    </row>
    <row r="843" spans="1:45" x14ac:dyDescent="0.3">
      <c r="A843" s="6" t="s">
        <v>2811</v>
      </c>
      <c r="B843" s="6" t="s">
        <v>5232</v>
      </c>
      <c r="C843" s="6" t="s">
        <v>276</v>
      </c>
      <c r="D843" s="6" t="s">
        <v>202</v>
      </c>
      <c r="E843" s="6" t="s">
        <v>4265</v>
      </c>
      <c r="F843" s="6" t="s">
        <v>350</v>
      </c>
      <c r="G843" s="6" t="s">
        <v>33</v>
      </c>
      <c r="H843" s="6" t="s">
        <v>197</v>
      </c>
      <c r="I843" s="6" t="s">
        <v>4289</v>
      </c>
      <c r="J843" s="6" t="s">
        <v>105</v>
      </c>
      <c r="K843" s="6" t="s">
        <v>210</v>
      </c>
      <c r="L843" s="6" t="s">
        <v>2812</v>
      </c>
      <c r="M843" s="6" t="s">
        <v>5068</v>
      </c>
      <c r="N843" s="6" t="s">
        <v>4807</v>
      </c>
      <c r="O843" s="6" t="s">
        <v>3749</v>
      </c>
      <c r="P843" s="6">
        <v>41</v>
      </c>
      <c r="Q843" s="6">
        <v>37801468</v>
      </c>
      <c r="R843" s="6">
        <v>0.21</v>
      </c>
      <c r="S843" s="6">
        <v>0.13</v>
      </c>
      <c r="T843" s="6">
        <v>33745370.479999997</v>
      </c>
      <c r="U843" s="6">
        <v>22372677.350000001</v>
      </c>
      <c r="V843" s="6">
        <v>0.25</v>
      </c>
      <c r="W843" s="6">
        <v>0.14000000000000001</v>
      </c>
      <c r="X843" s="6"/>
      <c r="Y843" s="6">
        <v>17353855.390000001</v>
      </c>
      <c r="Z843" s="6">
        <v>8310470.2199999997</v>
      </c>
      <c r="AA843" s="6">
        <v>45</v>
      </c>
      <c r="AB843" s="6">
        <v>85</v>
      </c>
      <c r="AC843" s="6" t="s">
        <v>347</v>
      </c>
      <c r="AD843" s="6" t="s">
        <v>354</v>
      </c>
      <c r="AE843" s="6">
        <v>0.52</v>
      </c>
      <c r="AF843" s="6" t="s">
        <v>4361</v>
      </c>
      <c r="AG843" s="6">
        <v>0.15</v>
      </c>
      <c r="AH843" s="6">
        <v>0.04</v>
      </c>
      <c r="AI843" s="6">
        <v>2</v>
      </c>
      <c r="AJ843" s="6">
        <v>2649</v>
      </c>
      <c r="AK843" s="6">
        <v>3698052.26</v>
      </c>
      <c r="AL843" s="6">
        <v>11722486.18</v>
      </c>
      <c r="AM843" s="6" t="s">
        <v>355</v>
      </c>
      <c r="AN843" s="6" t="s">
        <v>321</v>
      </c>
      <c r="AO843" s="6">
        <v>52.7</v>
      </c>
      <c r="AP843" s="6">
        <v>36</v>
      </c>
      <c r="AQ843" s="6"/>
      <c r="AR843" s="6" t="s">
        <v>186</v>
      </c>
      <c r="AS843" s="6" t="s">
        <v>361</v>
      </c>
    </row>
    <row r="844" spans="1:45" x14ac:dyDescent="0.3">
      <c r="A844" s="7" t="s">
        <v>2813</v>
      </c>
      <c r="B844" s="7" t="s">
        <v>3998</v>
      </c>
      <c r="C844" s="7" t="s">
        <v>244</v>
      </c>
      <c r="D844" s="7" t="s">
        <v>248</v>
      </c>
      <c r="E844" s="7" t="s">
        <v>4306</v>
      </c>
      <c r="F844" s="7" t="s">
        <v>75</v>
      </c>
      <c r="G844" s="7" t="s">
        <v>38</v>
      </c>
      <c r="H844" s="7" t="s">
        <v>212</v>
      </c>
      <c r="I844" s="7" t="s">
        <v>203</v>
      </c>
      <c r="J844" s="7" t="s">
        <v>119</v>
      </c>
      <c r="K844" s="7" t="s">
        <v>184</v>
      </c>
      <c r="L844" s="7" t="s">
        <v>2814</v>
      </c>
      <c r="M844" s="7" t="s">
        <v>4805</v>
      </c>
      <c r="N844" s="7"/>
      <c r="O844" s="7" t="s">
        <v>5429</v>
      </c>
      <c r="P844" s="7">
        <v>32</v>
      </c>
      <c r="Q844" s="7">
        <v>35084697</v>
      </c>
      <c r="R844" s="7">
        <v>0.08</v>
      </c>
      <c r="S844" s="7">
        <v>0.18</v>
      </c>
      <c r="T844" s="7">
        <v>38087947.060000002</v>
      </c>
      <c r="U844" s="7">
        <v>27968844.719999999</v>
      </c>
      <c r="V844" s="7">
        <v>0.05</v>
      </c>
      <c r="W844" s="7">
        <v>0.18</v>
      </c>
      <c r="X844" s="7" t="s">
        <v>2815</v>
      </c>
      <c r="Y844" s="7">
        <v>34022461.759999998</v>
      </c>
      <c r="Z844" s="7">
        <v>19940187.370000001</v>
      </c>
      <c r="AA844" s="7">
        <v>60</v>
      </c>
      <c r="AB844" s="7">
        <v>44</v>
      </c>
      <c r="AC844" s="7" t="s">
        <v>329</v>
      </c>
      <c r="AD844" s="7" t="s">
        <v>226</v>
      </c>
      <c r="AE844" s="7">
        <v>0.13</v>
      </c>
      <c r="AF844" s="7" t="s">
        <v>4319</v>
      </c>
      <c r="AG844" s="7">
        <v>0.15</v>
      </c>
      <c r="AH844" s="7">
        <v>0.04</v>
      </c>
      <c r="AI844" s="7">
        <v>0</v>
      </c>
      <c r="AJ844" s="7">
        <v>3302</v>
      </c>
      <c r="AK844" s="7">
        <v>6634809.4299999997</v>
      </c>
      <c r="AL844" s="7">
        <v>5526489.2000000002</v>
      </c>
      <c r="AM844" s="7" t="s">
        <v>321</v>
      </c>
      <c r="AN844" s="7" t="s">
        <v>330</v>
      </c>
      <c r="AO844" s="7">
        <v>79</v>
      </c>
      <c r="AP844" s="7">
        <v>12</v>
      </c>
      <c r="AQ844" s="7" t="s">
        <v>4275</v>
      </c>
      <c r="AR844" s="7" t="s">
        <v>206</v>
      </c>
      <c r="AS844" s="7" t="s">
        <v>357</v>
      </c>
    </row>
    <row r="845" spans="1:45" x14ac:dyDescent="0.3">
      <c r="A845" s="6" t="s">
        <v>2816</v>
      </c>
      <c r="B845" s="6" t="s">
        <v>4199</v>
      </c>
      <c r="C845" s="6" t="s">
        <v>272</v>
      </c>
      <c r="D845" s="6" t="s">
        <v>180</v>
      </c>
      <c r="E845" s="6" t="s">
        <v>4325</v>
      </c>
      <c r="F845" s="6" t="s">
        <v>339</v>
      </c>
      <c r="G845" s="6" t="s">
        <v>66</v>
      </c>
      <c r="H845" s="6" t="s">
        <v>263</v>
      </c>
      <c r="I845" s="6"/>
      <c r="J845" s="6" t="s">
        <v>115</v>
      </c>
      <c r="K845" s="6" t="s">
        <v>210</v>
      </c>
      <c r="L845" s="6" t="s">
        <v>2817</v>
      </c>
      <c r="M845" s="6" t="s">
        <v>5430</v>
      </c>
      <c r="N845" s="6"/>
      <c r="O845" s="6" t="s">
        <v>3913</v>
      </c>
      <c r="P845" s="6" t="s">
        <v>4275</v>
      </c>
      <c r="Q845" s="6">
        <v>24361213</v>
      </c>
      <c r="R845" s="6">
        <v>0.21</v>
      </c>
      <c r="S845" s="6">
        <v>0.04</v>
      </c>
      <c r="T845" s="6">
        <v>20015172.600000001</v>
      </c>
      <c r="U845" s="6">
        <v>17221010.59</v>
      </c>
      <c r="V845" s="6">
        <v>0.26</v>
      </c>
      <c r="W845" s="6">
        <v>0.17</v>
      </c>
      <c r="X845" s="6" t="s">
        <v>2818</v>
      </c>
      <c r="Y845" s="6">
        <v>17493080.940000001</v>
      </c>
      <c r="Z845" s="6">
        <v>12026535.939999999</v>
      </c>
      <c r="AA845" s="6">
        <v>30</v>
      </c>
      <c r="AB845" s="6">
        <v>178</v>
      </c>
      <c r="AC845" s="6" t="s">
        <v>353</v>
      </c>
      <c r="AD845" s="6" t="s">
        <v>320</v>
      </c>
      <c r="AE845" s="6">
        <v>0.43</v>
      </c>
      <c r="AF845" s="6" t="s">
        <v>4276</v>
      </c>
      <c r="AG845" s="6">
        <v>0.15</v>
      </c>
      <c r="AH845" s="6">
        <v>0.09</v>
      </c>
      <c r="AI845" s="6">
        <v>4</v>
      </c>
      <c r="AJ845" s="6">
        <v>2151</v>
      </c>
      <c r="AK845" s="6">
        <v>2989624.53</v>
      </c>
      <c r="AL845" s="6">
        <v>7289097.7599999998</v>
      </c>
      <c r="AM845" s="6" t="s">
        <v>385</v>
      </c>
      <c r="AN845" s="6" t="s">
        <v>348</v>
      </c>
      <c r="AO845" s="6">
        <v>97.6</v>
      </c>
      <c r="AP845" s="6">
        <v>48</v>
      </c>
      <c r="AQ845" s="6"/>
      <c r="AR845" s="6" t="s">
        <v>192</v>
      </c>
      <c r="AS845" s="6" t="s">
        <v>188</v>
      </c>
    </row>
    <row r="846" spans="1:45" x14ac:dyDescent="0.3">
      <c r="A846" s="7" t="s">
        <v>2819</v>
      </c>
      <c r="B846" s="7" t="s">
        <v>4392</v>
      </c>
      <c r="C846" s="7" t="s">
        <v>230</v>
      </c>
      <c r="D846" s="7" t="s">
        <v>220</v>
      </c>
      <c r="E846" s="7" t="s">
        <v>20</v>
      </c>
      <c r="F846" s="7" t="s">
        <v>196</v>
      </c>
      <c r="G846" s="7" t="s">
        <v>33</v>
      </c>
      <c r="H846" s="7" t="s">
        <v>4275</v>
      </c>
      <c r="I846" s="7" t="s">
        <v>246</v>
      </c>
      <c r="J846" s="7" t="s">
        <v>136</v>
      </c>
      <c r="K846" s="7" t="s">
        <v>333</v>
      </c>
      <c r="L846" s="7" t="s">
        <v>2820</v>
      </c>
      <c r="M846" s="7" t="s">
        <v>4200</v>
      </c>
      <c r="N846" s="7" t="s">
        <v>4082</v>
      </c>
      <c r="O846" s="7" t="s">
        <v>4383</v>
      </c>
      <c r="P846" s="7">
        <v>42</v>
      </c>
      <c r="Q846" s="7">
        <v>49349543</v>
      </c>
      <c r="R846" s="7">
        <v>0.19</v>
      </c>
      <c r="S846" s="7">
        <v>7.0000000000000007E-2</v>
      </c>
      <c r="T846" s="7">
        <v>42771248.920000002</v>
      </c>
      <c r="U846" s="7">
        <v>36462654.789999999</v>
      </c>
      <c r="V846" s="7">
        <v>0.12</v>
      </c>
      <c r="W846" s="7">
        <v>0.19</v>
      </c>
      <c r="X846" s="7" t="s">
        <v>2821</v>
      </c>
      <c r="Y846" s="7">
        <v>27832285.210000001</v>
      </c>
      <c r="Z846" s="7">
        <v>19438342.100000001</v>
      </c>
      <c r="AA846" s="7">
        <v>30</v>
      </c>
      <c r="AB846" s="7">
        <v>29</v>
      </c>
      <c r="AC846" s="7" t="s">
        <v>376</v>
      </c>
      <c r="AD846" s="7" t="s">
        <v>455</v>
      </c>
      <c r="AE846" s="7">
        <v>0.57999999999999996</v>
      </c>
      <c r="AF846" s="7" t="s">
        <v>4312</v>
      </c>
      <c r="AG846" s="7">
        <v>0.05</v>
      </c>
      <c r="AH846" s="7">
        <v>7.0000000000000007E-2</v>
      </c>
      <c r="AI846" s="7">
        <v>2</v>
      </c>
      <c r="AJ846" s="7">
        <v>4262</v>
      </c>
      <c r="AK846" s="7">
        <v>8864244.4800000004</v>
      </c>
      <c r="AL846" s="7">
        <v>9718605.1300000008</v>
      </c>
      <c r="AM846" s="7" t="s">
        <v>321</v>
      </c>
      <c r="AN846" s="7" t="s">
        <v>322</v>
      </c>
      <c r="AO846" s="7">
        <v>91.5</v>
      </c>
      <c r="AP846" s="7">
        <v>60</v>
      </c>
      <c r="AQ846" s="7" t="s">
        <v>4275</v>
      </c>
      <c r="AR846" s="7" t="s">
        <v>192</v>
      </c>
      <c r="AS846" s="7" t="s">
        <v>361</v>
      </c>
    </row>
    <row r="847" spans="1:45" x14ac:dyDescent="0.3">
      <c r="A847" s="6" t="s">
        <v>2822</v>
      </c>
      <c r="B847" s="6" t="s">
        <v>3755</v>
      </c>
      <c r="C847" s="6" t="s">
        <v>275</v>
      </c>
      <c r="D847" s="6" t="s">
        <v>274</v>
      </c>
      <c r="E847" s="6" t="s">
        <v>41</v>
      </c>
      <c r="F847" s="6" t="s">
        <v>350</v>
      </c>
      <c r="G847" s="6" t="s">
        <v>73</v>
      </c>
      <c r="H847" s="6" t="s">
        <v>263</v>
      </c>
      <c r="I847" s="6" t="s">
        <v>246</v>
      </c>
      <c r="J847" s="6" t="s">
        <v>105</v>
      </c>
      <c r="K847" s="6" t="s">
        <v>221</v>
      </c>
      <c r="L847" s="6" t="s">
        <v>2823</v>
      </c>
      <c r="M847" s="6" t="s">
        <v>5431</v>
      </c>
      <c r="N847" s="6" t="s">
        <v>4201</v>
      </c>
      <c r="O847" s="6" t="s">
        <v>4202</v>
      </c>
      <c r="P847" s="6">
        <v>17</v>
      </c>
      <c r="Q847" s="6">
        <v>19722717</v>
      </c>
      <c r="R847" s="6">
        <v>0.34</v>
      </c>
      <c r="S847" s="6">
        <v>0.12</v>
      </c>
      <c r="T847" s="6">
        <v>14579032.41</v>
      </c>
      <c r="U847" s="6">
        <v>10266951.09</v>
      </c>
      <c r="V847" s="6">
        <v>0.19</v>
      </c>
      <c r="W847" s="6">
        <v>7.0000000000000007E-2</v>
      </c>
      <c r="X847" s="6" t="s">
        <v>2824</v>
      </c>
      <c r="Y847" s="6">
        <v>4951086.7300000004</v>
      </c>
      <c r="Z847" s="6">
        <v>3949609.65</v>
      </c>
      <c r="AA847" s="6">
        <v>30</v>
      </c>
      <c r="AB847" s="6">
        <v>4</v>
      </c>
      <c r="AC847" s="6" t="s">
        <v>342</v>
      </c>
      <c r="AD847" s="6" t="s">
        <v>336</v>
      </c>
      <c r="AE847" s="6">
        <v>0.71</v>
      </c>
      <c r="AF847" s="6" t="s">
        <v>153</v>
      </c>
      <c r="AG847" s="6">
        <v>0.15</v>
      </c>
      <c r="AH847" s="6">
        <v>0.03</v>
      </c>
      <c r="AI847" s="6">
        <v>9</v>
      </c>
      <c r="AJ847" s="6">
        <v>3995</v>
      </c>
      <c r="AK847" s="6">
        <v>2146006.94</v>
      </c>
      <c r="AL847" s="6">
        <v>3814135.53</v>
      </c>
      <c r="AM847" s="6"/>
      <c r="AN847" s="6" t="s">
        <v>322</v>
      </c>
      <c r="AO847" s="6"/>
      <c r="AP847" s="6" t="s">
        <v>4275</v>
      </c>
      <c r="AQ847" s="6"/>
      <c r="AR847" s="6" t="s">
        <v>192</v>
      </c>
      <c r="AS847" s="6"/>
    </row>
    <row r="848" spans="1:45" x14ac:dyDescent="0.3">
      <c r="A848" s="7" t="s">
        <v>2825</v>
      </c>
      <c r="B848" s="7" t="s">
        <v>5432</v>
      </c>
      <c r="C848" s="7" t="s">
        <v>214</v>
      </c>
      <c r="D848" s="7" t="s">
        <v>255</v>
      </c>
      <c r="E848" s="7" t="s">
        <v>4376</v>
      </c>
      <c r="F848" s="7" t="s">
        <v>31</v>
      </c>
      <c r="G848" s="7" t="s">
        <v>62</v>
      </c>
      <c r="H848" s="7" t="s">
        <v>236</v>
      </c>
      <c r="I848" s="7" t="s">
        <v>203</v>
      </c>
      <c r="J848" s="7" t="s">
        <v>136</v>
      </c>
      <c r="K848" s="7" t="s">
        <v>223</v>
      </c>
      <c r="L848" s="7" t="s">
        <v>2826</v>
      </c>
      <c r="M848" s="7" t="s">
        <v>3489</v>
      </c>
      <c r="N848" s="7" t="s">
        <v>5433</v>
      </c>
      <c r="O848" s="7" t="s">
        <v>5434</v>
      </c>
      <c r="P848" s="7">
        <v>45</v>
      </c>
      <c r="Q848" s="7">
        <v>9387446</v>
      </c>
      <c r="R848" s="7">
        <v>0.33</v>
      </c>
      <c r="S848" s="7">
        <v>0.16</v>
      </c>
      <c r="T848" s="7">
        <v>7295923.0300000003</v>
      </c>
      <c r="U848" s="7">
        <v>5655689.3899999997</v>
      </c>
      <c r="V848" s="7">
        <v>0.2</v>
      </c>
      <c r="W848" s="7">
        <v>0.1</v>
      </c>
      <c r="X848" s="7"/>
      <c r="Y848" s="7">
        <v>2025741.37</v>
      </c>
      <c r="Z848" s="7">
        <v>1348432.82</v>
      </c>
      <c r="AA848" s="7">
        <v>90</v>
      </c>
      <c r="AB848" s="7">
        <v>111</v>
      </c>
      <c r="AC848" s="7" t="s">
        <v>376</v>
      </c>
      <c r="AD848" s="7" t="s">
        <v>406</v>
      </c>
      <c r="AE848" s="7">
        <v>0.32</v>
      </c>
      <c r="AF848" s="7"/>
      <c r="AG848" s="7">
        <v>0.15</v>
      </c>
      <c r="AH848" s="7">
        <v>7.0000000000000007E-2</v>
      </c>
      <c r="AI848" s="7">
        <v>6</v>
      </c>
      <c r="AJ848" s="7">
        <v>2521</v>
      </c>
      <c r="AK848" s="7">
        <v>1285134.51</v>
      </c>
      <c r="AL848" s="7">
        <v>1782306.76</v>
      </c>
      <c r="AM848" s="7" t="s">
        <v>391</v>
      </c>
      <c r="AN848" s="7" t="s">
        <v>330</v>
      </c>
      <c r="AO848" s="7">
        <v>82.9</v>
      </c>
      <c r="AP848" s="7">
        <v>36</v>
      </c>
      <c r="AQ848" s="7" t="s">
        <v>337</v>
      </c>
      <c r="AR848" s="7" t="s">
        <v>192</v>
      </c>
      <c r="AS848" s="7"/>
    </row>
    <row r="849" spans="1:45" x14ac:dyDescent="0.3">
      <c r="A849" s="6" t="s">
        <v>2827</v>
      </c>
      <c r="B849" s="6" t="s">
        <v>4016</v>
      </c>
      <c r="C849" s="6" t="s">
        <v>269</v>
      </c>
      <c r="D849" s="6" t="s">
        <v>265</v>
      </c>
      <c r="E849" s="6" t="s">
        <v>4325</v>
      </c>
      <c r="F849" s="6" t="s">
        <v>339</v>
      </c>
      <c r="G849" s="6" t="s">
        <v>57</v>
      </c>
      <c r="H849" s="6" t="s">
        <v>4275</v>
      </c>
      <c r="I849" s="6" t="s">
        <v>4291</v>
      </c>
      <c r="J849" s="6" t="s">
        <v>115</v>
      </c>
      <c r="K849" s="6" t="s">
        <v>199</v>
      </c>
      <c r="L849" s="6" t="s">
        <v>2828</v>
      </c>
      <c r="M849" s="6" t="s">
        <v>3479</v>
      </c>
      <c r="N849" s="6"/>
      <c r="O849" s="6" t="s">
        <v>3646</v>
      </c>
      <c r="P849" s="6">
        <v>42</v>
      </c>
      <c r="Q849" s="6">
        <v>20403572</v>
      </c>
      <c r="R849" s="6">
        <v>0.1</v>
      </c>
      <c r="S849" s="6">
        <v>0.06</v>
      </c>
      <c r="T849" s="6">
        <v>19465007.690000001</v>
      </c>
      <c r="U849" s="6">
        <v>13665795.439999999</v>
      </c>
      <c r="V849" s="6">
        <v>0.27</v>
      </c>
      <c r="W849" s="6">
        <v>0.12</v>
      </c>
      <c r="X849" s="6" t="s">
        <v>2829</v>
      </c>
      <c r="Y849" s="6">
        <v>14225398.35</v>
      </c>
      <c r="Z849" s="6">
        <v>9786968.0099999998</v>
      </c>
      <c r="AA849" s="6">
        <v>120</v>
      </c>
      <c r="AB849" s="6">
        <v>18</v>
      </c>
      <c r="AC849" s="6"/>
      <c r="AD849" s="6" t="s">
        <v>226</v>
      </c>
      <c r="AE849" s="6">
        <v>0.8</v>
      </c>
      <c r="AF849" s="6" t="s">
        <v>4319</v>
      </c>
      <c r="AG849" s="6">
        <v>0.15</v>
      </c>
      <c r="AH849" s="6">
        <v>0.04</v>
      </c>
      <c r="AI849" s="6">
        <v>10</v>
      </c>
      <c r="AJ849" s="6">
        <v>1251</v>
      </c>
      <c r="AK849" s="6">
        <v>906771.39</v>
      </c>
      <c r="AL849" s="6">
        <v>9504293.9700000007</v>
      </c>
      <c r="AM849" s="6" t="s">
        <v>355</v>
      </c>
      <c r="AN849" s="6" t="s">
        <v>330</v>
      </c>
      <c r="AO849" s="6">
        <v>56.6</v>
      </c>
      <c r="AP849" s="6">
        <v>12</v>
      </c>
      <c r="AQ849" s="6"/>
      <c r="AR849" s="6" t="s">
        <v>192</v>
      </c>
      <c r="AS849" s="6" t="s">
        <v>357</v>
      </c>
    </row>
    <row r="850" spans="1:45" x14ac:dyDescent="0.3">
      <c r="A850" s="7" t="s">
        <v>2830</v>
      </c>
      <c r="B850" s="7" t="s">
        <v>4425</v>
      </c>
      <c r="C850" s="7" t="s">
        <v>269</v>
      </c>
      <c r="D850" s="7" t="s">
        <v>250</v>
      </c>
      <c r="E850" s="7" t="s">
        <v>113</v>
      </c>
      <c r="F850" s="7" t="s">
        <v>181</v>
      </c>
      <c r="G850" s="7" t="s">
        <v>16</v>
      </c>
      <c r="H850" s="7" t="s">
        <v>4326</v>
      </c>
      <c r="I850" s="7" t="s">
        <v>198</v>
      </c>
      <c r="J850" s="7" t="s">
        <v>111</v>
      </c>
      <c r="K850" s="7" t="s">
        <v>223</v>
      </c>
      <c r="L850" s="7" t="s">
        <v>2831</v>
      </c>
      <c r="M850" s="7" t="s">
        <v>3449</v>
      </c>
      <c r="N850" s="7" t="s">
        <v>5254</v>
      </c>
      <c r="O850" s="7" t="s">
        <v>5435</v>
      </c>
      <c r="P850" s="7">
        <v>46</v>
      </c>
      <c r="Q850" s="7">
        <v>19525468</v>
      </c>
      <c r="R850" s="7">
        <v>0.17</v>
      </c>
      <c r="S850" s="7">
        <v>0</v>
      </c>
      <c r="T850" s="7">
        <v>16206138.439999999</v>
      </c>
      <c r="U850" s="7">
        <v>14063094.279999999</v>
      </c>
      <c r="V850" s="7">
        <v>0.39</v>
      </c>
      <c r="W850" s="7">
        <v>0.19</v>
      </c>
      <c r="X850" s="7" t="s">
        <v>2832</v>
      </c>
      <c r="Y850" s="7">
        <v>14236416.15</v>
      </c>
      <c r="Z850" s="7">
        <v>14014064</v>
      </c>
      <c r="AA850" s="7">
        <v>45</v>
      </c>
      <c r="AB850" s="7">
        <v>12</v>
      </c>
      <c r="AC850" s="7" t="s">
        <v>376</v>
      </c>
      <c r="AD850" s="7" t="s">
        <v>336</v>
      </c>
      <c r="AE850" s="7">
        <v>0.47</v>
      </c>
      <c r="AF850" s="7" t="s">
        <v>4303</v>
      </c>
      <c r="AG850" s="7">
        <v>0.05</v>
      </c>
      <c r="AH850" s="7">
        <v>0.06</v>
      </c>
      <c r="AI850" s="7">
        <v>11</v>
      </c>
      <c r="AJ850" s="7">
        <v>4571</v>
      </c>
      <c r="AK850" s="7">
        <v>3176415.1</v>
      </c>
      <c r="AL850" s="7">
        <v>6087492.6399999997</v>
      </c>
      <c r="AM850" s="7" t="s">
        <v>321</v>
      </c>
      <c r="AN850" s="7" t="s">
        <v>322</v>
      </c>
      <c r="AO850" s="7">
        <v>76.400000000000006</v>
      </c>
      <c r="AP850" s="7">
        <v>12</v>
      </c>
      <c r="AQ850" s="7" t="s">
        <v>4275</v>
      </c>
      <c r="AR850" s="7" t="s">
        <v>206</v>
      </c>
      <c r="AS850" s="7" t="s">
        <v>324</v>
      </c>
    </row>
    <row r="851" spans="1:45" x14ac:dyDescent="0.3">
      <c r="A851" s="6" t="s">
        <v>2833</v>
      </c>
      <c r="B851" s="6" t="s">
        <v>4786</v>
      </c>
      <c r="C851" s="6" t="s">
        <v>219</v>
      </c>
      <c r="D851" s="6" t="s">
        <v>242</v>
      </c>
      <c r="E851" s="6" t="s">
        <v>41</v>
      </c>
      <c r="F851" s="6" t="s">
        <v>228</v>
      </c>
      <c r="G851" s="6" t="s">
        <v>38</v>
      </c>
      <c r="H851" s="6" t="s">
        <v>216</v>
      </c>
      <c r="I851" s="6" t="s">
        <v>183</v>
      </c>
      <c r="J851" s="6" t="s">
        <v>130</v>
      </c>
      <c r="K851" s="6" t="s">
        <v>221</v>
      </c>
      <c r="L851" s="6" t="s">
        <v>2834</v>
      </c>
      <c r="M851" s="6" t="s">
        <v>5436</v>
      </c>
      <c r="N851" s="6"/>
      <c r="O851" s="6" t="s">
        <v>5437</v>
      </c>
      <c r="P851" s="6">
        <v>42</v>
      </c>
      <c r="Q851" s="6">
        <v>33547480</v>
      </c>
      <c r="R851" s="6">
        <v>0.28999999999999998</v>
      </c>
      <c r="S851" s="6">
        <v>0.13</v>
      </c>
      <c r="T851" s="6">
        <v>26915143.199999999</v>
      </c>
      <c r="U851" s="6">
        <v>21645335.710000001</v>
      </c>
      <c r="V851" s="6">
        <v>0.21</v>
      </c>
      <c r="W851" s="6">
        <v>7.0000000000000007E-2</v>
      </c>
      <c r="X851" s="6" t="s">
        <v>2835</v>
      </c>
      <c r="Y851" s="6">
        <v>6725448.3899999997</v>
      </c>
      <c r="Z851" s="6">
        <v>2743461.47</v>
      </c>
      <c r="AA851" s="6">
        <v>30</v>
      </c>
      <c r="AB851" s="6">
        <v>106</v>
      </c>
      <c r="AC851" s="6" t="s">
        <v>342</v>
      </c>
      <c r="AD851" s="6" t="s">
        <v>354</v>
      </c>
      <c r="AE851" s="6">
        <v>0.28999999999999998</v>
      </c>
      <c r="AF851" s="6" t="s">
        <v>155</v>
      </c>
      <c r="AG851" s="6">
        <v>0.05</v>
      </c>
      <c r="AH851" s="6">
        <v>7.0000000000000007E-2</v>
      </c>
      <c r="AI851" s="6">
        <v>10</v>
      </c>
      <c r="AJ851" s="6">
        <v>4089</v>
      </c>
      <c r="AK851" s="6">
        <v>1595061.76</v>
      </c>
      <c r="AL851" s="6">
        <v>8103897.2300000004</v>
      </c>
      <c r="AM851" s="6" t="s">
        <v>385</v>
      </c>
      <c r="AN851" s="6" t="s">
        <v>322</v>
      </c>
      <c r="AO851" s="6">
        <v>64.7</v>
      </c>
      <c r="AP851" s="6">
        <v>12</v>
      </c>
      <c r="AQ851" s="6" t="s">
        <v>323</v>
      </c>
      <c r="AR851" s="6" t="s">
        <v>206</v>
      </c>
      <c r="AS851" s="6" t="s">
        <v>357</v>
      </c>
    </row>
    <row r="852" spans="1:45" x14ac:dyDescent="0.3">
      <c r="A852" s="7" t="s">
        <v>2836</v>
      </c>
      <c r="B852" s="7" t="s">
        <v>5105</v>
      </c>
      <c r="C852" s="7" t="s">
        <v>252</v>
      </c>
      <c r="D852" s="7"/>
      <c r="E852" s="7" t="s">
        <v>4376</v>
      </c>
      <c r="F852" s="7" t="s">
        <v>196</v>
      </c>
      <c r="G852" s="7" t="s">
        <v>38</v>
      </c>
      <c r="H852" s="7" t="s">
        <v>212</v>
      </c>
      <c r="I852" s="7" t="s">
        <v>4372</v>
      </c>
      <c r="J852" s="7" t="s">
        <v>136</v>
      </c>
      <c r="K852" s="7" t="s">
        <v>221</v>
      </c>
      <c r="L852" s="7" t="s">
        <v>2837</v>
      </c>
      <c r="M852" s="7" t="s">
        <v>4204</v>
      </c>
      <c r="N852" s="7" t="s">
        <v>2838</v>
      </c>
      <c r="O852" s="7" t="s">
        <v>5438</v>
      </c>
      <c r="P852" s="7">
        <v>28</v>
      </c>
      <c r="Q852" s="7">
        <v>36418027</v>
      </c>
      <c r="R852" s="7">
        <v>0.33</v>
      </c>
      <c r="S852" s="7">
        <v>0.06</v>
      </c>
      <c r="T852" s="7">
        <v>25864082.780000001</v>
      </c>
      <c r="U852" s="7">
        <v>22611428.559999999</v>
      </c>
      <c r="V852" s="7">
        <v>0.36</v>
      </c>
      <c r="W852" s="7">
        <v>0.06</v>
      </c>
      <c r="X852" s="7"/>
      <c r="Y852" s="7">
        <v>14486842.27</v>
      </c>
      <c r="Z852" s="7">
        <v>5251314.45</v>
      </c>
      <c r="AA852" s="7">
        <v>45</v>
      </c>
      <c r="AB852" s="7">
        <v>78</v>
      </c>
      <c r="AC852" s="7" t="s">
        <v>347</v>
      </c>
      <c r="AD852" s="7" t="s">
        <v>354</v>
      </c>
      <c r="AE852" s="7">
        <v>0.85</v>
      </c>
      <c r="AF852" s="7" t="s">
        <v>4312</v>
      </c>
      <c r="AG852" s="7">
        <v>0.15</v>
      </c>
      <c r="AH852" s="7">
        <v>0.1</v>
      </c>
      <c r="AI852" s="7">
        <v>5</v>
      </c>
      <c r="AJ852" s="7">
        <v>969</v>
      </c>
      <c r="AK852" s="7">
        <v>1269535.19</v>
      </c>
      <c r="AL852" s="7">
        <v>4010130.03</v>
      </c>
      <c r="AM852" s="7" t="s">
        <v>391</v>
      </c>
      <c r="AN852" s="7" t="s">
        <v>386</v>
      </c>
      <c r="AO852" s="7">
        <v>98.7</v>
      </c>
      <c r="AP852" s="7">
        <v>36</v>
      </c>
      <c r="AQ852" s="7" t="s">
        <v>323</v>
      </c>
      <c r="AR852" s="7" t="s">
        <v>229</v>
      </c>
      <c r="AS852" s="7"/>
    </row>
    <row r="853" spans="1:45" x14ac:dyDescent="0.3">
      <c r="A853" s="6" t="s">
        <v>2839</v>
      </c>
      <c r="B853" s="6" t="s">
        <v>5439</v>
      </c>
      <c r="C853" s="6" t="s">
        <v>252</v>
      </c>
      <c r="D853" s="6" t="s">
        <v>238</v>
      </c>
      <c r="E853" s="6" t="s">
        <v>4306</v>
      </c>
      <c r="F853" s="6" t="s">
        <v>75</v>
      </c>
      <c r="G853" s="6" t="s">
        <v>23</v>
      </c>
      <c r="H853" s="6"/>
      <c r="I853" s="6" t="s">
        <v>4272</v>
      </c>
      <c r="J853" s="7" t="s">
        <v>119</v>
      </c>
      <c r="K853" s="6" t="s">
        <v>204</v>
      </c>
      <c r="L853" s="6" t="s">
        <v>2840</v>
      </c>
      <c r="M853" s="6" t="s">
        <v>4205</v>
      </c>
      <c r="N853" s="6"/>
      <c r="O853" s="6" t="s">
        <v>5440</v>
      </c>
      <c r="P853" s="6">
        <v>8</v>
      </c>
      <c r="Q853" s="6">
        <v>36267226</v>
      </c>
      <c r="R853" s="6">
        <v>0.13</v>
      </c>
      <c r="S853" s="6">
        <v>0.17</v>
      </c>
      <c r="T853" s="6">
        <v>36916409.350000001</v>
      </c>
      <c r="U853" s="6">
        <v>29501006.539999999</v>
      </c>
      <c r="V853" s="6">
        <v>0.31</v>
      </c>
      <c r="W853" s="6">
        <v>0.08</v>
      </c>
      <c r="X853" s="6" t="s">
        <v>2841</v>
      </c>
      <c r="Y853" s="6">
        <v>9350256.4700000007</v>
      </c>
      <c r="Z853" s="6">
        <v>8630119.7599999998</v>
      </c>
      <c r="AA853" s="6">
        <v>90</v>
      </c>
      <c r="AB853" s="6">
        <v>165</v>
      </c>
      <c r="AC853" s="6"/>
      <c r="AD853" s="6" t="s">
        <v>406</v>
      </c>
      <c r="AE853" s="6">
        <v>0.27</v>
      </c>
      <c r="AF853" s="6" t="s">
        <v>4319</v>
      </c>
      <c r="AG853" s="6">
        <v>0.1</v>
      </c>
      <c r="AH853" s="6">
        <v>0.09</v>
      </c>
      <c r="AI853" s="6">
        <v>14</v>
      </c>
      <c r="AJ853" s="6">
        <v>2983</v>
      </c>
      <c r="AK853" s="6"/>
      <c r="AL853" s="6">
        <v>13635399.439999999</v>
      </c>
      <c r="AM853" s="6" t="s">
        <v>343</v>
      </c>
      <c r="AN853" s="6"/>
      <c r="AO853" s="6">
        <v>52.6</v>
      </c>
      <c r="AP853" s="6">
        <v>24</v>
      </c>
      <c r="AQ853" s="6" t="s">
        <v>4275</v>
      </c>
      <c r="AR853" s="6" t="s">
        <v>229</v>
      </c>
      <c r="AS853" s="6" t="s">
        <v>357</v>
      </c>
    </row>
    <row r="854" spans="1:45" x14ac:dyDescent="0.3">
      <c r="A854" s="7" t="s">
        <v>2842</v>
      </c>
      <c r="B854" s="7" t="s">
        <v>3481</v>
      </c>
      <c r="C854" s="7" t="s">
        <v>237</v>
      </c>
      <c r="D854" s="7" t="s">
        <v>209</v>
      </c>
      <c r="E854" s="7" t="s">
        <v>20</v>
      </c>
      <c r="F854" s="7" t="s">
        <v>196</v>
      </c>
      <c r="G854" s="7" t="s">
        <v>33</v>
      </c>
      <c r="H854" s="7" t="s">
        <v>197</v>
      </c>
      <c r="I854" s="7" t="s">
        <v>4272</v>
      </c>
      <c r="J854" s="7" t="s">
        <v>136</v>
      </c>
      <c r="K854" s="7" t="s">
        <v>333</v>
      </c>
      <c r="L854" s="7" t="s">
        <v>2843</v>
      </c>
      <c r="M854" s="7" t="s">
        <v>3398</v>
      </c>
      <c r="N854" s="7" t="s">
        <v>4206</v>
      </c>
      <c r="O854" s="7" t="s">
        <v>5441</v>
      </c>
      <c r="P854" s="7">
        <v>24</v>
      </c>
      <c r="Q854" s="7">
        <v>47435571</v>
      </c>
      <c r="R854" s="7">
        <v>0.24</v>
      </c>
      <c r="S854" s="7">
        <v>7.0000000000000007E-2</v>
      </c>
      <c r="T854" s="7">
        <v>38574606.340000004</v>
      </c>
      <c r="U854" s="7">
        <v>31894971.640000001</v>
      </c>
      <c r="V854" s="7">
        <v>0.31</v>
      </c>
      <c r="W854" s="7">
        <v>0.15</v>
      </c>
      <c r="X854" s="7" t="s">
        <v>2844</v>
      </c>
      <c r="Y854" s="7">
        <v>9225441.7100000009</v>
      </c>
      <c r="Z854" s="7">
        <v>3334974.12</v>
      </c>
      <c r="AA854" s="7">
        <v>120</v>
      </c>
      <c r="AB854" s="7">
        <v>24</v>
      </c>
      <c r="AC854" s="7" t="s">
        <v>347</v>
      </c>
      <c r="AD854" s="7" t="s">
        <v>320</v>
      </c>
      <c r="AE854" s="7">
        <v>0.33</v>
      </c>
      <c r="AF854" s="7" t="s">
        <v>155</v>
      </c>
      <c r="AG854" s="7">
        <v>0.1</v>
      </c>
      <c r="AH854" s="7">
        <v>0.09</v>
      </c>
      <c r="AI854" s="7">
        <v>1</v>
      </c>
      <c r="AJ854" s="7">
        <v>4371</v>
      </c>
      <c r="AK854" s="7"/>
      <c r="AL854" s="7">
        <v>11299066.050000001</v>
      </c>
      <c r="AM854" s="7" t="s">
        <v>355</v>
      </c>
      <c r="AN854" s="7" t="s">
        <v>386</v>
      </c>
      <c r="AO854" s="7">
        <v>71.3</v>
      </c>
      <c r="AP854" s="7">
        <v>48</v>
      </c>
      <c r="AQ854" s="7" t="s">
        <v>337</v>
      </c>
      <c r="AR854" s="7" t="s">
        <v>229</v>
      </c>
      <c r="AS854" s="7"/>
    </row>
    <row r="855" spans="1:45" x14ac:dyDescent="0.3">
      <c r="A855" s="6" t="s">
        <v>2845</v>
      </c>
      <c r="B855" s="6" t="s">
        <v>3495</v>
      </c>
      <c r="C855" s="6" t="s">
        <v>278</v>
      </c>
      <c r="D855" s="6" t="s">
        <v>265</v>
      </c>
      <c r="E855" s="6"/>
      <c r="F855" s="6" t="s">
        <v>367</v>
      </c>
      <c r="G855" s="6" t="s">
        <v>70</v>
      </c>
      <c r="H855" s="6" t="s">
        <v>4326</v>
      </c>
      <c r="I855" s="6" t="s">
        <v>213</v>
      </c>
      <c r="J855" s="6" t="s">
        <v>99</v>
      </c>
      <c r="K855" s="6" t="s">
        <v>326</v>
      </c>
      <c r="L855" s="6" t="s">
        <v>2846</v>
      </c>
      <c r="M855" s="6" t="s">
        <v>5442</v>
      </c>
      <c r="N855" s="6" t="s">
        <v>4526</v>
      </c>
      <c r="O855" s="6" t="s">
        <v>5443</v>
      </c>
      <c r="P855" s="6">
        <v>44</v>
      </c>
      <c r="Q855" s="6">
        <v>4836872</v>
      </c>
      <c r="R855" s="6">
        <v>0.05</v>
      </c>
      <c r="S855" s="6">
        <v>-0.04</v>
      </c>
      <c r="T855" s="6">
        <v>4411227.26</v>
      </c>
      <c r="U855" s="6">
        <v>2943706.33</v>
      </c>
      <c r="V855" s="6">
        <v>0.14000000000000001</v>
      </c>
      <c r="W855" s="6">
        <v>0.13</v>
      </c>
      <c r="X855" s="6" t="s">
        <v>2847</v>
      </c>
      <c r="Y855" s="6">
        <v>1525317.18</v>
      </c>
      <c r="Z855" s="6">
        <v>1489772.38</v>
      </c>
      <c r="AA855" s="6">
        <v>45</v>
      </c>
      <c r="AB855" s="6">
        <v>145</v>
      </c>
      <c r="AC855" s="6" t="s">
        <v>329</v>
      </c>
      <c r="AD855" s="6" t="s">
        <v>320</v>
      </c>
      <c r="AE855" s="6">
        <v>0.62</v>
      </c>
      <c r="AF855" s="6" t="s">
        <v>155</v>
      </c>
      <c r="AG855" s="6">
        <v>0.05</v>
      </c>
      <c r="AH855" s="6">
        <v>0.09</v>
      </c>
      <c r="AI855" s="6">
        <v>3</v>
      </c>
      <c r="AJ855" s="6">
        <v>2405</v>
      </c>
      <c r="AK855" s="6">
        <v>729488.21</v>
      </c>
      <c r="AL855" s="6">
        <v>543156.71</v>
      </c>
      <c r="AM855" s="6" t="s">
        <v>355</v>
      </c>
      <c r="AN855" s="6" t="s">
        <v>386</v>
      </c>
      <c r="AO855" s="6">
        <v>72.400000000000006</v>
      </c>
      <c r="AP855" s="6">
        <v>36</v>
      </c>
      <c r="AQ855" s="6" t="s">
        <v>387</v>
      </c>
      <c r="AR855" s="6" t="s">
        <v>186</v>
      </c>
      <c r="AS855" s="6" t="s">
        <v>361</v>
      </c>
    </row>
    <row r="856" spans="1:45" x14ac:dyDescent="0.3">
      <c r="A856" s="7" t="s">
        <v>2848</v>
      </c>
      <c r="B856" s="7" t="s">
        <v>3869</v>
      </c>
      <c r="C856" s="7" t="s">
        <v>254</v>
      </c>
      <c r="D856" s="7"/>
      <c r="E856" s="7" t="s">
        <v>20</v>
      </c>
      <c r="F856" s="7" t="s">
        <v>31</v>
      </c>
      <c r="G856" s="7" t="s">
        <v>33</v>
      </c>
      <c r="H856" s="7" t="s">
        <v>182</v>
      </c>
      <c r="I856" s="7" t="s">
        <v>4289</v>
      </c>
      <c r="J856" s="7" t="s">
        <v>136</v>
      </c>
      <c r="K856" s="7" t="s">
        <v>210</v>
      </c>
      <c r="L856" s="7" t="s">
        <v>2849</v>
      </c>
      <c r="M856" s="7" t="s">
        <v>4922</v>
      </c>
      <c r="N856" s="7" t="s">
        <v>4208</v>
      </c>
      <c r="O856" s="7" t="s">
        <v>4281</v>
      </c>
      <c r="P856" s="7" t="s">
        <v>4275</v>
      </c>
      <c r="Q856" s="7">
        <v>33401850</v>
      </c>
      <c r="R856" s="7">
        <v>0.31</v>
      </c>
      <c r="S856" s="7">
        <v>0.08</v>
      </c>
      <c r="T856" s="7">
        <v>24891058.620000001</v>
      </c>
      <c r="U856" s="7">
        <v>19136379.949999999</v>
      </c>
      <c r="V856" s="7">
        <v>0.21</v>
      </c>
      <c r="W856" s="7">
        <v>0.08</v>
      </c>
      <c r="X856" s="7" t="s">
        <v>2850</v>
      </c>
      <c r="Y856" s="7">
        <v>2550616</v>
      </c>
      <c r="Z856" s="7">
        <v>2178801.94</v>
      </c>
      <c r="AA856" s="7">
        <v>90</v>
      </c>
      <c r="AB856" s="7">
        <v>134</v>
      </c>
      <c r="AC856" s="7" t="s">
        <v>353</v>
      </c>
      <c r="AD856" s="7" t="s">
        <v>455</v>
      </c>
      <c r="AE856" s="7">
        <v>0.86</v>
      </c>
      <c r="AF856" s="7" t="s">
        <v>4319</v>
      </c>
      <c r="AG856" s="7">
        <v>0.1</v>
      </c>
      <c r="AH856" s="7">
        <v>0.09</v>
      </c>
      <c r="AI856" s="7">
        <v>15</v>
      </c>
      <c r="AJ856" s="7">
        <v>3025</v>
      </c>
      <c r="AK856" s="7">
        <v>4165390.24</v>
      </c>
      <c r="AL856" s="7">
        <v>3223282.4</v>
      </c>
      <c r="AM856" s="7" t="s">
        <v>385</v>
      </c>
      <c r="AN856" s="7" t="s">
        <v>330</v>
      </c>
      <c r="AO856" s="7">
        <v>51</v>
      </c>
      <c r="AP856" s="7">
        <v>48</v>
      </c>
      <c r="AQ856" s="7" t="s">
        <v>392</v>
      </c>
      <c r="AR856" s="7" t="s">
        <v>206</v>
      </c>
      <c r="AS856" s="7"/>
    </row>
    <row r="857" spans="1:45" x14ac:dyDescent="0.3">
      <c r="A857" s="6" t="s">
        <v>2851</v>
      </c>
      <c r="B857" s="6" t="s">
        <v>4895</v>
      </c>
      <c r="C857" s="6" t="s">
        <v>179</v>
      </c>
      <c r="D857" s="6" t="s">
        <v>253</v>
      </c>
      <c r="E857" s="6" t="s">
        <v>36</v>
      </c>
      <c r="F857" s="6" t="s">
        <v>339</v>
      </c>
      <c r="G857" s="6" t="s">
        <v>78</v>
      </c>
      <c r="H857" s="6" t="s">
        <v>4326</v>
      </c>
      <c r="I857" s="6" t="s">
        <v>240</v>
      </c>
      <c r="J857" s="6" t="s">
        <v>115</v>
      </c>
      <c r="K857" s="6" t="s">
        <v>199</v>
      </c>
      <c r="L857" s="6" t="s">
        <v>2852</v>
      </c>
      <c r="M857" s="6" t="s">
        <v>3857</v>
      </c>
      <c r="N857" s="6" t="s">
        <v>3538</v>
      </c>
      <c r="O857" s="6" t="s">
        <v>5444</v>
      </c>
      <c r="P857" s="6">
        <v>34</v>
      </c>
      <c r="Q857" s="6">
        <v>16687656</v>
      </c>
      <c r="R857" s="6">
        <v>0.14000000000000001</v>
      </c>
      <c r="S857" s="6">
        <v>0.01</v>
      </c>
      <c r="T857" s="6">
        <v>14494898</v>
      </c>
      <c r="U857" s="6"/>
      <c r="V857" s="6">
        <v>0.24</v>
      </c>
      <c r="W857" s="6">
        <v>0.11</v>
      </c>
      <c r="X857" s="6" t="s">
        <v>2853</v>
      </c>
      <c r="Y857" s="6">
        <v>8501646.5399999991</v>
      </c>
      <c r="Z857" s="6">
        <v>2993269.4</v>
      </c>
      <c r="AA857" s="6">
        <v>60</v>
      </c>
      <c r="AB857" s="6">
        <v>105</v>
      </c>
      <c r="AC857" s="6" t="s">
        <v>353</v>
      </c>
      <c r="AD857" s="6" t="s">
        <v>354</v>
      </c>
      <c r="AE857" s="6">
        <v>0.31</v>
      </c>
      <c r="AF857" s="6" t="s">
        <v>152</v>
      </c>
      <c r="AG857" s="6">
        <v>0.05</v>
      </c>
      <c r="AH857" s="6">
        <v>7.0000000000000007E-2</v>
      </c>
      <c r="AI857" s="6">
        <v>15</v>
      </c>
      <c r="AJ857" s="6">
        <v>874</v>
      </c>
      <c r="AK857" s="6">
        <v>2963494.92</v>
      </c>
      <c r="AL857" s="6">
        <v>4043678.43</v>
      </c>
      <c r="AM857" s="6" t="s">
        <v>391</v>
      </c>
      <c r="AN857" s="6" t="s">
        <v>330</v>
      </c>
      <c r="AO857" s="6">
        <v>77.599999999999994</v>
      </c>
      <c r="AP857" s="6">
        <v>48</v>
      </c>
      <c r="AQ857" s="6" t="s">
        <v>323</v>
      </c>
      <c r="AR857" s="6" t="s">
        <v>206</v>
      </c>
      <c r="AS857" s="6"/>
    </row>
    <row r="858" spans="1:45" x14ac:dyDescent="0.3">
      <c r="A858" s="7" t="s">
        <v>1367</v>
      </c>
      <c r="B858" s="7" t="s">
        <v>3624</v>
      </c>
      <c r="C858" s="7" t="s">
        <v>195</v>
      </c>
      <c r="D858" s="7" t="s">
        <v>242</v>
      </c>
      <c r="E858" s="7" t="s">
        <v>113</v>
      </c>
      <c r="F858" s="7" t="s">
        <v>367</v>
      </c>
      <c r="G858" s="7" t="s">
        <v>23</v>
      </c>
      <c r="H858" s="7" t="s">
        <v>4266</v>
      </c>
      <c r="I858" s="7" t="s">
        <v>198</v>
      </c>
      <c r="J858" s="7" t="s">
        <v>127</v>
      </c>
      <c r="K858" s="7" t="s">
        <v>204</v>
      </c>
      <c r="L858" s="7" t="s">
        <v>4209</v>
      </c>
      <c r="M858" s="7" t="s">
        <v>3920</v>
      </c>
      <c r="N858" s="7"/>
      <c r="O858" s="7" t="s">
        <v>4753</v>
      </c>
      <c r="P858" s="7">
        <v>57</v>
      </c>
      <c r="Q858" s="7" t="s">
        <v>4275</v>
      </c>
      <c r="R858" s="7" t="s">
        <v>3273</v>
      </c>
      <c r="S858" s="7">
        <v>-0.04</v>
      </c>
      <c r="T858" s="7">
        <v>23821995.73</v>
      </c>
      <c r="U858" s="7">
        <v>15164329.74</v>
      </c>
      <c r="V858" s="7">
        <v>0.08</v>
      </c>
      <c r="W858" s="7">
        <v>0.19</v>
      </c>
      <c r="X858" s="7"/>
      <c r="Y858" s="7">
        <v>13227004.140000001</v>
      </c>
      <c r="Z858" s="7">
        <v>8856267.5800000001</v>
      </c>
      <c r="AA858" s="7">
        <v>30</v>
      </c>
      <c r="AB858" s="7">
        <v>132</v>
      </c>
      <c r="AC858" s="7" t="s">
        <v>347</v>
      </c>
      <c r="AD858" s="7" t="s">
        <v>406</v>
      </c>
      <c r="AE858" s="7">
        <v>0.25</v>
      </c>
      <c r="AF858" s="7" t="s">
        <v>4303</v>
      </c>
      <c r="AG858" s="7">
        <v>0.1</v>
      </c>
      <c r="AH858" s="7">
        <v>7.0000000000000007E-2</v>
      </c>
      <c r="AI858" s="7">
        <v>12</v>
      </c>
      <c r="AJ858" s="7">
        <v>4827</v>
      </c>
      <c r="AK858" s="7">
        <v>4765988.8600000003</v>
      </c>
      <c r="AL858" s="7">
        <v>6540282.8200000003</v>
      </c>
      <c r="AM858" s="7"/>
      <c r="AN858" s="7" t="s">
        <v>348</v>
      </c>
      <c r="AO858" s="7">
        <v>86.7</v>
      </c>
      <c r="AP858" s="7">
        <v>48</v>
      </c>
      <c r="AQ858" s="7" t="s">
        <v>323</v>
      </c>
      <c r="AR858" s="7" t="s">
        <v>192</v>
      </c>
      <c r="AS858" s="7" t="s">
        <v>361</v>
      </c>
    </row>
    <row r="859" spans="1:45" x14ac:dyDescent="0.3">
      <c r="A859" s="6" t="s">
        <v>2854</v>
      </c>
      <c r="B859" s="6" t="s">
        <v>3914</v>
      </c>
      <c r="C859" s="6" t="s">
        <v>286</v>
      </c>
      <c r="D859" s="6" t="s">
        <v>265</v>
      </c>
      <c r="E859" s="6" t="s">
        <v>36</v>
      </c>
      <c r="F859" s="6" t="s">
        <v>19</v>
      </c>
      <c r="G859" s="6" t="s">
        <v>23</v>
      </c>
      <c r="H859" s="6" t="s">
        <v>4280</v>
      </c>
      <c r="I859" s="6" t="s">
        <v>246</v>
      </c>
      <c r="J859" s="6" t="s">
        <v>115</v>
      </c>
      <c r="K859" s="6" t="s">
        <v>223</v>
      </c>
      <c r="L859" s="6" t="s">
        <v>2855</v>
      </c>
      <c r="M859" s="6" t="s">
        <v>5445</v>
      </c>
      <c r="N859" s="6" t="s">
        <v>5446</v>
      </c>
      <c r="O859" s="6" t="s">
        <v>3642</v>
      </c>
      <c r="P859" s="6">
        <v>45</v>
      </c>
      <c r="Q859" s="6">
        <v>28757901</v>
      </c>
      <c r="R859" s="6">
        <v>0.09</v>
      </c>
      <c r="S859" s="6">
        <v>-0.01</v>
      </c>
      <c r="T859" s="6">
        <v>25907993.010000002</v>
      </c>
      <c r="U859" s="6">
        <v>16647870.550000001</v>
      </c>
      <c r="V859" s="6">
        <v>0.33</v>
      </c>
      <c r="W859" s="6">
        <v>0.15</v>
      </c>
      <c r="X859" s="6" t="s">
        <v>2856</v>
      </c>
      <c r="Y859" s="6">
        <v>4594691.5</v>
      </c>
      <c r="Z859" s="6">
        <v>1936419.03</v>
      </c>
      <c r="AA859" s="6">
        <v>30</v>
      </c>
      <c r="AB859" s="6">
        <v>146</v>
      </c>
      <c r="AC859" s="6" t="s">
        <v>329</v>
      </c>
      <c r="AD859" s="6" t="s">
        <v>381</v>
      </c>
      <c r="AE859" s="6">
        <v>0.41</v>
      </c>
      <c r="AF859" s="6" t="s">
        <v>159</v>
      </c>
      <c r="AG859" s="6">
        <v>0.05</v>
      </c>
      <c r="AH859" s="6">
        <v>0.09</v>
      </c>
      <c r="AI859" s="6">
        <v>10</v>
      </c>
      <c r="AJ859" s="6">
        <v>26</v>
      </c>
      <c r="AK859" s="6">
        <v>1534912.43</v>
      </c>
      <c r="AL859" s="6">
        <v>5200580.18</v>
      </c>
      <c r="AM859" s="6"/>
      <c r="AN859" s="6" t="s">
        <v>321</v>
      </c>
      <c r="AO859" s="6">
        <v>73.3</v>
      </c>
      <c r="AP859" s="6">
        <v>48</v>
      </c>
      <c r="AQ859" s="6" t="s">
        <v>392</v>
      </c>
      <c r="AR859" s="6" t="s">
        <v>229</v>
      </c>
      <c r="AS859" s="6" t="s">
        <v>357</v>
      </c>
    </row>
    <row r="860" spans="1:45" x14ac:dyDescent="0.3">
      <c r="A860" s="7" t="s">
        <v>2857</v>
      </c>
      <c r="B860" s="7" t="s">
        <v>3964</v>
      </c>
      <c r="C860" s="7" t="s">
        <v>239</v>
      </c>
      <c r="D860" s="7" t="s">
        <v>242</v>
      </c>
      <c r="E860" s="7" t="s">
        <v>20</v>
      </c>
      <c r="F860" s="7" t="s">
        <v>196</v>
      </c>
      <c r="G860" s="7" t="s">
        <v>28</v>
      </c>
      <c r="H860" s="7" t="s">
        <v>182</v>
      </c>
      <c r="I860" s="7" t="s">
        <v>183</v>
      </c>
      <c r="J860" s="7" t="s">
        <v>136</v>
      </c>
      <c r="K860" s="7" t="s">
        <v>333</v>
      </c>
      <c r="L860" s="7" t="s">
        <v>2858</v>
      </c>
      <c r="M860" s="7" t="s">
        <v>5325</v>
      </c>
      <c r="N860" s="7"/>
      <c r="O860" s="7" t="s">
        <v>3306</v>
      </c>
      <c r="P860" s="7">
        <v>47</v>
      </c>
      <c r="Q860" s="7">
        <v>21697970</v>
      </c>
      <c r="R860" s="7">
        <v>0.11</v>
      </c>
      <c r="S860" s="7">
        <v>0.06</v>
      </c>
      <c r="T860" s="7">
        <v>20469864.899999999</v>
      </c>
      <c r="U860" s="7">
        <v>14656586.33</v>
      </c>
      <c r="V860" s="7">
        <v>0.21</v>
      </c>
      <c r="W860" s="7">
        <v>0.18</v>
      </c>
      <c r="X860" s="7" t="s">
        <v>2859</v>
      </c>
      <c r="Y860" s="7">
        <v>17431528.760000002</v>
      </c>
      <c r="Z860" s="7">
        <v>16997333.300000001</v>
      </c>
      <c r="AA860" s="7">
        <v>45</v>
      </c>
      <c r="AB860" s="7">
        <v>40</v>
      </c>
      <c r="AC860" s="7" t="s">
        <v>347</v>
      </c>
      <c r="AD860" s="7" t="s">
        <v>226</v>
      </c>
      <c r="AE860" s="7">
        <v>0.05</v>
      </c>
      <c r="AF860" s="7" t="s">
        <v>152</v>
      </c>
      <c r="AG860" s="7">
        <v>0.05</v>
      </c>
      <c r="AH860" s="7">
        <v>0.05</v>
      </c>
      <c r="AI860" s="7">
        <v>6</v>
      </c>
      <c r="AJ860" s="7">
        <v>2564</v>
      </c>
      <c r="AK860" s="7">
        <v>3225848.81</v>
      </c>
      <c r="AL860" s="7">
        <v>7266282.9100000001</v>
      </c>
      <c r="AM860" s="7"/>
      <c r="AN860" s="7" t="s">
        <v>322</v>
      </c>
      <c r="AO860" s="7">
        <v>51.6</v>
      </c>
      <c r="AP860" s="7">
        <v>48</v>
      </c>
      <c r="AQ860" s="7" t="s">
        <v>4275</v>
      </c>
      <c r="AR860" s="7" t="s">
        <v>186</v>
      </c>
      <c r="AS860" s="7" t="s">
        <v>361</v>
      </c>
    </row>
    <row r="861" spans="1:45" x14ac:dyDescent="0.3">
      <c r="A861" s="6" t="s">
        <v>2860</v>
      </c>
      <c r="B861" s="6" t="s">
        <v>4413</v>
      </c>
      <c r="C861" s="6" t="s">
        <v>285</v>
      </c>
      <c r="D861" s="6" t="s">
        <v>242</v>
      </c>
      <c r="E861" s="6" t="s">
        <v>36</v>
      </c>
      <c r="F861" s="6"/>
      <c r="G861" s="6" t="s">
        <v>54</v>
      </c>
      <c r="H861" s="6" t="s">
        <v>4266</v>
      </c>
      <c r="I861" s="6" t="s">
        <v>4272</v>
      </c>
      <c r="J861" s="6" t="s">
        <v>115</v>
      </c>
      <c r="K861" s="6" t="s">
        <v>326</v>
      </c>
      <c r="L861" s="6" t="s">
        <v>2861</v>
      </c>
      <c r="M861" s="6" t="s">
        <v>5447</v>
      </c>
      <c r="N861" s="6" t="s">
        <v>5448</v>
      </c>
      <c r="O861" s="6" t="s">
        <v>4274</v>
      </c>
      <c r="P861" s="6">
        <v>52</v>
      </c>
      <c r="Q861" s="6">
        <v>33897344</v>
      </c>
      <c r="R861" s="6">
        <v>0.3</v>
      </c>
      <c r="S861" s="6">
        <v>0.13</v>
      </c>
      <c r="T861" s="6">
        <v>26812799.100000001</v>
      </c>
      <c r="U861" s="6">
        <v>22514689.940000001</v>
      </c>
      <c r="V861" s="6">
        <v>0.28999999999999998</v>
      </c>
      <c r="W861" s="6">
        <v>0.1</v>
      </c>
      <c r="X861" s="6" t="s">
        <v>2862</v>
      </c>
      <c r="Y861" s="6">
        <v>22064083.399999999</v>
      </c>
      <c r="Z861" s="6">
        <v>12694304.23</v>
      </c>
      <c r="AA861" s="6">
        <v>90</v>
      </c>
      <c r="AB861" s="6">
        <v>31</v>
      </c>
      <c r="AC861" s="6" t="s">
        <v>353</v>
      </c>
      <c r="AD861" s="6" t="s">
        <v>336</v>
      </c>
      <c r="AE861" s="6">
        <v>0.28000000000000003</v>
      </c>
      <c r="AF861" s="6" t="s">
        <v>4312</v>
      </c>
      <c r="AG861" s="6">
        <v>0.15</v>
      </c>
      <c r="AH861" s="6">
        <v>0.05</v>
      </c>
      <c r="AI861" s="6">
        <v>11</v>
      </c>
      <c r="AJ861" s="6"/>
      <c r="AK861" s="6">
        <v>5776862.3300000001</v>
      </c>
      <c r="AL861" s="6">
        <v>7139892.2400000002</v>
      </c>
      <c r="AM861" s="6" t="s">
        <v>385</v>
      </c>
      <c r="AN861" s="6" t="s">
        <v>386</v>
      </c>
      <c r="AO861" s="6">
        <v>59.5</v>
      </c>
      <c r="AP861" s="6">
        <v>60</v>
      </c>
      <c r="AQ861" s="6" t="s">
        <v>4275</v>
      </c>
      <c r="AR861" s="6" t="s">
        <v>224</v>
      </c>
      <c r="AS861" s="6" t="s">
        <v>324</v>
      </c>
    </row>
    <row r="862" spans="1:45" x14ac:dyDescent="0.3">
      <c r="A862" s="7" t="s">
        <v>2863</v>
      </c>
      <c r="B862" s="7" t="s">
        <v>3467</v>
      </c>
      <c r="C862" s="7" t="s">
        <v>279</v>
      </c>
      <c r="D862" s="7" t="s">
        <v>274</v>
      </c>
      <c r="E862" s="7"/>
      <c r="F862" s="7" t="s">
        <v>19</v>
      </c>
      <c r="G862" s="7" t="s">
        <v>54</v>
      </c>
      <c r="H862" s="7" t="s">
        <v>4326</v>
      </c>
      <c r="I862" s="7" t="s">
        <v>213</v>
      </c>
      <c r="J862" s="7" t="s">
        <v>99</v>
      </c>
      <c r="K862" s="7" t="s">
        <v>326</v>
      </c>
      <c r="L862" s="7" t="s">
        <v>2864</v>
      </c>
      <c r="M862" s="7" t="s">
        <v>3318</v>
      </c>
      <c r="N862" s="7" t="s">
        <v>906</v>
      </c>
      <c r="O862" s="7" t="s">
        <v>3894</v>
      </c>
      <c r="P862" s="7">
        <v>59</v>
      </c>
      <c r="Q862" s="7">
        <v>20712326</v>
      </c>
      <c r="R862" s="7">
        <v>0.28000000000000003</v>
      </c>
      <c r="S862" s="7">
        <v>0.03</v>
      </c>
      <c r="T862" s="7">
        <v>15360260.960000001</v>
      </c>
      <c r="U862" s="7">
        <v>13480289.970000001</v>
      </c>
      <c r="V862" s="7">
        <v>0.32</v>
      </c>
      <c r="W862" s="7">
        <v>7.0000000000000007E-2</v>
      </c>
      <c r="X862" s="7"/>
      <c r="Y862" s="7" t="s">
        <v>158</v>
      </c>
      <c r="Z862" s="7">
        <v>2295611.33</v>
      </c>
      <c r="AA862" s="7">
        <v>90</v>
      </c>
      <c r="AB862" s="7">
        <v>132</v>
      </c>
      <c r="AC862" s="7" t="s">
        <v>353</v>
      </c>
      <c r="AD862" s="7" t="s">
        <v>320</v>
      </c>
      <c r="AE862" s="7">
        <v>0.81</v>
      </c>
      <c r="AF862" s="7" t="s">
        <v>155</v>
      </c>
      <c r="AG862" s="7">
        <v>0.05</v>
      </c>
      <c r="AH862" s="7">
        <v>0.08</v>
      </c>
      <c r="AI862" s="7">
        <v>13</v>
      </c>
      <c r="AJ862" s="7">
        <v>4505</v>
      </c>
      <c r="AK862" s="7"/>
      <c r="AL862" s="7">
        <v>4378576.49</v>
      </c>
      <c r="AM862" s="7" t="s">
        <v>73</v>
      </c>
      <c r="AN862" s="7" t="s">
        <v>330</v>
      </c>
      <c r="AO862" s="7">
        <v>60.6</v>
      </c>
      <c r="AP862" s="7">
        <v>48</v>
      </c>
      <c r="AQ862" s="7" t="s">
        <v>323</v>
      </c>
      <c r="AR862" s="7" t="s">
        <v>229</v>
      </c>
      <c r="AS862" s="7" t="s">
        <v>377</v>
      </c>
    </row>
    <row r="863" spans="1:45" x14ac:dyDescent="0.3">
      <c r="A863" s="6" t="s">
        <v>2865</v>
      </c>
      <c r="B863" s="6" t="s">
        <v>4536</v>
      </c>
      <c r="C863" s="6" t="s">
        <v>260</v>
      </c>
      <c r="D863" s="6"/>
      <c r="E863" s="6" t="s">
        <v>20</v>
      </c>
      <c r="F863" s="6" t="s">
        <v>35</v>
      </c>
      <c r="G863" s="6"/>
      <c r="H863" s="6" t="s">
        <v>4271</v>
      </c>
      <c r="I863" s="6"/>
      <c r="J863" s="6" t="s">
        <v>136</v>
      </c>
      <c r="K863" s="6" t="s">
        <v>199</v>
      </c>
      <c r="L863" s="6" t="s">
        <v>2866</v>
      </c>
      <c r="M863" s="6" t="s">
        <v>4645</v>
      </c>
      <c r="N863" s="6" t="s">
        <v>4524</v>
      </c>
      <c r="O863" s="6" t="s">
        <v>4210</v>
      </c>
      <c r="P863" s="6">
        <v>15</v>
      </c>
      <c r="Q863" s="6">
        <v>24647101</v>
      </c>
      <c r="R863" s="6">
        <v>0.02</v>
      </c>
      <c r="S863" s="6">
        <v>0.17</v>
      </c>
      <c r="T863" s="6">
        <v>28260366.010000002</v>
      </c>
      <c r="U863" s="6">
        <v>24343495.079999998</v>
      </c>
      <c r="V863" s="6">
        <v>0.2</v>
      </c>
      <c r="W863" s="6">
        <v>0.08</v>
      </c>
      <c r="X863" s="6" t="s">
        <v>2867</v>
      </c>
      <c r="Y863" s="6">
        <v>21117045.199999999</v>
      </c>
      <c r="Z863" s="6" t="s">
        <v>4357</v>
      </c>
      <c r="AA863" s="6">
        <v>45</v>
      </c>
      <c r="AB863" s="6">
        <v>31</v>
      </c>
      <c r="AC863" s="6" t="s">
        <v>329</v>
      </c>
      <c r="AD863" s="6" t="s">
        <v>455</v>
      </c>
      <c r="AE863" s="6">
        <v>0.87</v>
      </c>
      <c r="AF863" s="6" t="s">
        <v>155</v>
      </c>
      <c r="AG863" s="6">
        <v>0.1</v>
      </c>
      <c r="AH863" s="6">
        <v>0.02</v>
      </c>
      <c r="AI863" s="6">
        <v>2</v>
      </c>
      <c r="AJ863" s="6">
        <v>4898</v>
      </c>
      <c r="AK863" s="6">
        <v>6111148.1399999997</v>
      </c>
      <c r="AL863" s="6">
        <v>14045422.970000001</v>
      </c>
      <c r="AM863" s="6" t="s">
        <v>391</v>
      </c>
      <c r="AN863" s="6" t="s">
        <v>356</v>
      </c>
      <c r="AO863" s="6">
        <v>65.5</v>
      </c>
      <c r="AP863" s="6">
        <v>36</v>
      </c>
      <c r="AQ863" s="6" t="s">
        <v>392</v>
      </c>
      <c r="AR863" s="6" t="s">
        <v>229</v>
      </c>
      <c r="AS863" s="6" t="s">
        <v>324</v>
      </c>
    </row>
    <row r="864" spans="1:45" x14ac:dyDescent="0.3">
      <c r="A864" s="7" t="s">
        <v>2868</v>
      </c>
      <c r="B864" s="7" t="s">
        <v>4821</v>
      </c>
      <c r="C864" s="7" t="s">
        <v>268</v>
      </c>
      <c r="D864" s="7" t="s">
        <v>190</v>
      </c>
      <c r="E864" s="7" t="s">
        <v>4270</v>
      </c>
      <c r="F864" s="7" t="s">
        <v>181</v>
      </c>
      <c r="G864" s="7" t="s">
        <v>70</v>
      </c>
      <c r="H864" s="7" t="s">
        <v>4266</v>
      </c>
      <c r="I864" s="7" t="s">
        <v>4272</v>
      </c>
      <c r="J864" s="7" t="s">
        <v>111</v>
      </c>
      <c r="K864" s="7" t="s">
        <v>223</v>
      </c>
      <c r="L864" s="7" t="s">
        <v>2869</v>
      </c>
      <c r="M864" s="7" t="s">
        <v>5449</v>
      </c>
      <c r="N864" s="7" t="s">
        <v>4864</v>
      </c>
      <c r="O864" s="7" t="s">
        <v>1815</v>
      </c>
      <c r="P864" s="7">
        <v>38</v>
      </c>
      <c r="Q864" s="7">
        <v>17465566</v>
      </c>
      <c r="R864" s="7">
        <v>0.26</v>
      </c>
      <c r="S864" s="7">
        <v>0.17</v>
      </c>
      <c r="T864" s="7">
        <v>15121687.039999999</v>
      </c>
      <c r="U864" s="7">
        <v>11537241.949999999</v>
      </c>
      <c r="V864" s="7">
        <v>0.33</v>
      </c>
      <c r="W864" s="7">
        <v>0.1</v>
      </c>
      <c r="X864" s="7" t="s">
        <v>2870</v>
      </c>
      <c r="Y864" s="7">
        <v>4371596.37</v>
      </c>
      <c r="Z864" s="7">
        <v>2006570.97</v>
      </c>
      <c r="AA864" s="7">
        <v>45</v>
      </c>
      <c r="AB864" s="7">
        <v>130</v>
      </c>
      <c r="AC864" s="7" t="s">
        <v>342</v>
      </c>
      <c r="AD864" s="7" t="s">
        <v>381</v>
      </c>
      <c r="AE864" s="7">
        <v>0.87</v>
      </c>
      <c r="AF864" s="7" t="s">
        <v>4312</v>
      </c>
      <c r="AG864" s="7">
        <v>0.05</v>
      </c>
      <c r="AH864" s="7">
        <v>0.05</v>
      </c>
      <c r="AI864" s="7">
        <v>9</v>
      </c>
      <c r="AJ864" s="7"/>
      <c r="AK864" s="7">
        <v>2515053.64</v>
      </c>
      <c r="AL864" s="7">
        <v>2228652.6800000002</v>
      </c>
      <c r="AM864" s="7" t="s">
        <v>321</v>
      </c>
      <c r="AN864" s="7" t="s">
        <v>356</v>
      </c>
      <c r="AO864" s="7">
        <v>86.4</v>
      </c>
      <c r="AP864" s="7">
        <v>48</v>
      </c>
      <c r="AQ864" s="7" t="s">
        <v>337</v>
      </c>
      <c r="AR864" s="7" t="s">
        <v>192</v>
      </c>
      <c r="AS864" s="7" t="s">
        <v>357</v>
      </c>
    </row>
    <row r="865" spans="1:45" x14ac:dyDescent="0.3">
      <c r="A865" s="6" t="s">
        <v>2871</v>
      </c>
      <c r="B865" s="6" t="s">
        <v>5450</v>
      </c>
      <c r="C865" s="6" t="s">
        <v>276</v>
      </c>
      <c r="D865" s="6" t="s">
        <v>281</v>
      </c>
      <c r="E865" s="6"/>
      <c r="F865" s="6" t="s">
        <v>35</v>
      </c>
      <c r="G865" s="6" t="s">
        <v>80</v>
      </c>
      <c r="H865" s="6"/>
      <c r="I865" s="6"/>
      <c r="J865" s="6" t="s">
        <v>99</v>
      </c>
      <c r="K865" s="6" t="s">
        <v>223</v>
      </c>
      <c r="L865" s="6" t="s">
        <v>2872</v>
      </c>
      <c r="M865" s="6" t="s">
        <v>5022</v>
      </c>
      <c r="N865" s="6" t="s">
        <v>2873</v>
      </c>
      <c r="O865" s="6" t="s">
        <v>3899</v>
      </c>
      <c r="P865" s="6">
        <v>25</v>
      </c>
      <c r="Q865" s="6">
        <v>23446130</v>
      </c>
      <c r="R865" s="6">
        <v>0.16</v>
      </c>
      <c r="S865" s="6">
        <v>0.1</v>
      </c>
      <c r="T865" s="6">
        <v>21664224.120000001</v>
      </c>
      <c r="U865" s="6">
        <v>15352247.65</v>
      </c>
      <c r="V865" s="6">
        <v>0.22</v>
      </c>
      <c r="W865" s="6">
        <v>0.05</v>
      </c>
      <c r="X865" s="6" t="s">
        <v>2874</v>
      </c>
      <c r="Y865" s="6">
        <v>8085849.9100000001</v>
      </c>
      <c r="Z865" s="6">
        <v>8464348.5099999998</v>
      </c>
      <c r="AA865" s="6">
        <v>90</v>
      </c>
      <c r="AB865" s="6">
        <v>153</v>
      </c>
      <c r="AC865" s="6"/>
      <c r="AD865" s="6" t="s">
        <v>320</v>
      </c>
      <c r="AE865" s="6">
        <v>0.22</v>
      </c>
      <c r="AF865" s="6" t="s">
        <v>153</v>
      </c>
      <c r="AG865" s="6">
        <v>0.05</v>
      </c>
      <c r="AH865" s="6">
        <v>0.03</v>
      </c>
      <c r="AI865" s="6">
        <v>10</v>
      </c>
      <c r="AJ865" s="6">
        <v>4028</v>
      </c>
      <c r="AK865" s="6">
        <v>1460925.98</v>
      </c>
      <c r="AL865" s="6">
        <v>5730240.3799999999</v>
      </c>
      <c r="AM865" s="6" t="s">
        <v>391</v>
      </c>
      <c r="AN865" s="6" t="s">
        <v>322</v>
      </c>
      <c r="AO865" s="6">
        <v>86.9</v>
      </c>
      <c r="AP865" s="6">
        <v>60</v>
      </c>
      <c r="AQ865" s="6" t="s">
        <v>323</v>
      </c>
      <c r="AR865" s="6" t="s">
        <v>186</v>
      </c>
      <c r="AS865" s="6" t="s">
        <v>361</v>
      </c>
    </row>
    <row r="866" spans="1:45" x14ac:dyDescent="0.3">
      <c r="A866" s="7" t="s">
        <v>2875</v>
      </c>
      <c r="B866" s="7" t="s">
        <v>3442</v>
      </c>
      <c r="C866" s="7" t="s">
        <v>268</v>
      </c>
      <c r="D866" s="7" t="s">
        <v>180</v>
      </c>
      <c r="E866" s="7" t="s">
        <v>20</v>
      </c>
      <c r="F866" s="7" t="s">
        <v>196</v>
      </c>
      <c r="G866" s="7" t="s">
        <v>66</v>
      </c>
      <c r="H866" s="7" t="s">
        <v>4266</v>
      </c>
      <c r="I866" s="7" t="s">
        <v>4372</v>
      </c>
      <c r="J866" s="7" t="s">
        <v>136</v>
      </c>
      <c r="K866" s="7" t="s">
        <v>333</v>
      </c>
      <c r="L866" s="7" t="s">
        <v>2876</v>
      </c>
      <c r="M866" s="7" t="s">
        <v>4180</v>
      </c>
      <c r="N866" s="7" t="s">
        <v>4283</v>
      </c>
      <c r="O866" s="7" t="s">
        <v>3804</v>
      </c>
      <c r="P866" s="7">
        <v>3</v>
      </c>
      <c r="Q866" s="7">
        <v>14982627</v>
      </c>
      <c r="R866" s="7">
        <v>0.2</v>
      </c>
      <c r="S866" s="7">
        <v>0.17</v>
      </c>
      <c r="T866" s="7">
        <v>14023738.869999999</v>
      </c>
      <c r="U866" s="7">
        <v>11007454.74</v>
      </c>
      <c r="V866" s="7">
        <v>0.2</v>
      </c>
      <c r="W866" s="7">
        <v>0.13</v>
      </c>
      <c r="X866" s="7" t="s">
        <v>2877</v>
      </c>
      <c r="Y866" s="7">
        <v>6370388.0599999996</v>
      </c>
      <c r="Z866" s="7">
        <v>4243237.58</v>
      </c>
      <c r="AA866" s="7">
        <v>30</v>
      </c>
      <c r="AB866" s="7">
        <v>60</v>
      </c>
      <c r="AC866" s="7" t="s">
        <v>376</v>
      </c>
      <c r="AD866" s="7" t="s">
        <v>354</v>
      </c>
      <c r="AE866" s="7">
        <v>0.35</v>
      </c>
      <c r="AF866" s="7" t="s">
        <v>4312</v>
      </c>
      <c r="AG866" s="7">
        <v>0.15</v>
      </c>
      <c r="AH866" s="7">
        <v>0.09</v>
      </c>
      <c r="AI866" s="7">
        <v>6</v>
      </c>
      <c r="AJ866" s="7">
        <v>2717</v>
      </c>
      <c r="AK866" s="7">
        <v>997277.05</v>
      </c>
      <c r="AL866" s="7">
        <v>5834909.6500000004</v>
      </c>
      <c r="AM866" s="7" t="s">
        <v>385</v>
      </c>
      <c r="AN866" s="7" t="s">
        <v>356</v>
      </c>
      <c r="AO866" s="7">
        <v>77.900000000000006</v>
      </c>
      <c r="AP866" s="7" t="s">
        <v>4275</v>
      </c>
      <c r="AQ866" s="7" t="s">
        <v>323</v>
      </c>
      <c r="AR866" s="7" t="s">
        <v>206</v>
      </c>
      <c r="AS866" s="7"/>
    </row>
    <row r="867" spans="1:45" x14ac:dyDescent="0.3">
      <c r="A867" s="6" t="s">
        <v>2878</v>
      </c>
      <c r="B867" s="6" t="s">
        <v>3451</v>
      </c>
      <c r="C867" s="6" t="s">
        <v>244</v>
      </c>
      <c r="D867" s="6" t="s">
        <v>262</v>
      </c>
      <c r="E867" s="6" t="s">
        <v>20</v>
      </c>
      <c r="F867" s="6"/>
      <c r="G867" s="6" t="s">
        <v>33</v>
      </c>
      <c r="H867" s="6" t="s">
        <v>216</v>
      </c>
      <c r="I867" s="6" t="s">
        <v>203</v>
      </c>
      <c r="J867" s="6" t="s">
        <v>136</v>
      </c>
      <c r="K867" s="6" t="s">
        <v>184</v>
      </c>
      <c r="L867" s="6" t="s">
        <v>2879</v>
      </c>
      <c r="M867" s="6" t="s">
        <v>5003</v>
      </c>
      <c r="N867" s="6" t="s">
        <v>4211</v>
      </c>
      <c r="O867" s="6" t="s">
        <v>5451</v>
      </c>
      <c r="P867" s="6">
        <v>38</v>
      </c>
      <c r="Q867" s="6">
        <v>7168689</v>
      </c>
      <c r="R867" s="6">
        <v>0.24</v>
      </c>
      <c r="S867" s="6">
        <v>0.11</v>
      </c>
      <c r="T867" s="6">
        <v>6047506.04</v>
      </c>
      <c r="U867" s="6">
        <v>3940046.31</v>
      </c>
      <c r="V867" s="6">
        <v>0.08</v>
      </c>
      <c r="W867" s="6">
        <v>0.17</v>
      </c>
      <c r="X867" s="6" t="s">
        <v>2880</v>
      </c>
      <c r="Y867" s="6">
        <v>5426389.96</v>
      </c>
      <c r="Z867" s="6">
        <v>4000433.33</v>
      </c>
      <c r="AA867" s="6">
        <v>90</v>
      </c>
      <c r="AB867" s="6">
        <v>133</v>
      </c>
      <c r="AC867" s="6"/>
      <c r="AD867" s="6" t="s">
        <v>455</v>
      </c>
      <c r="AE867" s="6">
        <v>0.36</v>
      </c>
      <c r="AF867" s="6" t="s">
        <v>152</v>
      </c>
      <c r="AG867" s="6">
        <v>0.1</v>
      </c>
      <c r="AH867" s="6">
        <v>0.04</v>
      </c>
      <c r="AI867" s="6">
        <v>13</v>
      </c>
      <c r="AJ867" s="6">
        <v>1979</v>
      </c>
      <c r="AK867" s="6">
        <v>838056.73</v>
      </c>
      <c r="AL867" s="6">
        <v>2172228.23</v>
      </c>
      <c r="AM867" s="6"/>
      <c r="AN867" s="6" t="s">
        <v>330</v>
      </c>
      <c r="AO867" s="6"/>
      <c r="AP867" s="6">
        <v>36</v>
      </c>
      <c r="AQ867" s="6" t="s">
        <v>337</v>
      </c>
      <c r="AR867" s="6" t="s">
        <v>192</v>
      </c>
      <c r="AS867" s="6"/>
    </row>
    <row r="868" spans="1:45" x14ac:dyDescent="0.3">
      <c r="A868" s="7" t="s">
        <v>2881</v>
      </c>
      <c r="B868" s="7" t="s">
        <v>3623</v>
      </c>
      <c r="C868" s="7" t="s">
        <v>230</v>
      </c>
      <c r="D868" s="7" t="s">
        <v>274</v>
      </c>
      <c r="E868" s="7" t="s">
        <v>20</v>
      </c>
      <c r="F868" s="7" t="s">
        <v>31</v>
      </c>
      <c r="G868" s="7" t="s">
        <v>70</v>
      </c>
      <c r="H868" s="7" t="s">
        <v>212</v>
      </c>
      <c r="I868" s="7" t="s">
        <v>4289</v>
      </c>
      <c r="J868" s="7" t="s">
        <v>136</v>
      </c>
      <c r="K868" s="7" t="s">
        <v>326</v>
      </c>
      <c r="L868" s="7" t="s">
        <v>2882</v>
      </c>
      <c r="M868" s="7" t="s">
        <v>5452</v>
      </c>
      <c r="N868" s="7" t="s">
        <v>5453</v>
      </c>
      <c r="O868" s="7" t="s">
        <v>4212</v>
      </c>
      <c r="P868" s="7">
        <v>6</v>
      </c>
      <c r="Q868" s="7">
        <v>43534314</v>
      </c>
      <c r="R868" s="7">
        <v>0.11</v>
      </c>
      <c r="S868" s="7">
        <v>0.03</v>
      </c>
      <c r="T868" s="7">
        <v>39907905.640000001</v>
      </c>
      <c r="U868" s="7">
        <v>24643409.030000001</v>
      </c>
      <c r="V868" s="7">
        <v>0.35</v>
      </c>
      <c r="W868" s="7">
        <v>0.05</v>
      </c>
      <c r="X868" s="7" t="s">
        <v>2883</v>
      </c>
      <c r="Y868" s="7">
        <v>24908262.289999999</v>
      </c>
      <c r="Z868" s="7">
        <v>25355114.800000001</v>
      </c>
      <c r="AA868" s="7">
        <v>90</v>
      </c>
      <c r="AB868" s="7">
        <v>126</v>
      </c>
      <c r="AC868" s="7" t="s">
        <v>342</v>
      </c>
      <c r="AD868" s="7" t="s">
        <v>336</v>
      </c>
      <c r="AE868" s="7">
        <v>0.49</v>
      </c>
      <c r="AF868" s="7" t="s">
        <v>4276</v>
      </c>
      <c r="AG868" s="7">
        <v>0.1</v>
      </c>
      <c r="AH868" s="7">
        <v>0.02</v>
      </c>
      <c r="AI868" s="7">
        <v>9</v>
      </c>
      <c r="AJ868" s="7">
        <v>2935</v>
      </c>
      <c r="AK868" s="7"/>
      <c r="AL868" s="7">
        <v>15353951.09</v>
      </c>
      <c r="AM868" s="7" t="s">
        <v>73</v>
      </c>
      <c r="AN868" s="7" t="s">
        <v>356</v>
      </c>
      <c r="AO868" s="7">
        <v>71.400000000000006</v>
      </c>
      <c r="AP868" s="7">
        <v>12</v>
      </c>
      <c r="AQ868" s="7" t="s">
        <v>337</v>
      </c>
      <c r="AR868" s="7" t="s">
        <v>229</v>
      </c>
      <c r="AS868" s="7" t="s">
        <v>361</v>
      </c>
    </row>
    <row r="869" spans="1:45" x14ac:dyDescent="0.3">
      <c r="A869" s="6" t="s">
        <v>2884</v>
      </c>
      <c r="B869" s="6" t="s">
        <v>4883</v>
      </c>
      <c r="C869" s="6" t="s">
        <v>179</v>
      </c>
      <c r="D869" s="6" t="s">
        <v>562</v>
      </c>
      <c r="E869" s="6" t="s">
        <v>20</v>
      </c>
      <c r="F869" s="6" t="s">
        <v>196</v>
      </c>
      <c r="G869" s="6" t="s">
        <v>57</v>
      </c>
      <c r="H869" s="6" t="s">
        <v>212</v>
      </c>
      <c r="I869" s="6" t="s">
        <v>4291</v>
      </c>
      <c r="J869" s="6" t="s">
        <v>136</v>
      </c>
      <c r="K869" s="6" t="s">
        <v>333</v>
      </c>
      <c r="L869" s="6" t="s">
        <v>2885</v>
      </c>
      <c r="M869" s="6" t="s">
        <v>4213</v>
      </c>
      <c r="N869" s="6" t="s">
        <v>4096</v>
      </c>
      <c r="O869" s="6" t="s">
        <v>4214</v>
      </c>
      <c r="P869" s="6">
        <v>39</v>
      </c>
      <c r="Q869" s="6" t="s">
        <v>4275</v>
      </c>
      <c r="R869" s="6">
        <v>0.18</v>
      </c>
      <c r="S869" s="6">
        <v>0.17</v>
      </c>
      <c r="T869" s="6">
        <v>16586715.460000001</v>
      </c>
      <c r="U869" s="6">
        <v>12899888.51</v>
      </c>
      <c r="V869" s="6">
        <v>0.25</v>
      </c>
      <c r="W869" s="6">
        <v>0.18</v>
      </c>
      <c r="X869" s="6" t="s">
        <v>2886</v>
      </c>
      <c r="Y869" s="6">
        <v>9972479.9499999993</v>
      </c>
      <c r="Z869" s="6">
        <v>5063509.8</v>
      </c>
      <c r="AA869" s="6">
        <v>45</v>
      </c>
      <c r="AB869" s="6">
        <v>173</v>
      </c>
      <c r="AC869" s="6" t="s">
        <v>347</v>
      </c>
      <c r="AD869" s="6" t="s">
        <v>381</v>
      </c>
      <c r="AE869" s="6">
        <v>0.31</v>
      </c>
      <c r="AF869" s="6" t="s">
        <v>162</v>
      </c>
      <c r="AG869" s="6">
        <v>0.15</v>
      </c>
      <c r="AH869" s="6">
        <v>0.08</v>
      </c>
      <c r="AI869" s="6">
        <v>8</v>
      </c>
      <c r="AJ869" s="6">
        <v>807</v>
      </c>
      <c r="AK869" s="6">
        <v>3975380.84</v>
      </c>
      <c r="AL869" s="6">
        <v>4060690.82</v>
      </c>
      <c r="AM869" s="6" t="s">
        <v>391</v>
      </c>
      <c r="AN869" s="6" t="s">
        <v>348</v>
      </c>
      <c r="AO869" s="6">
        <v>93.8</v>
      </c>
      <c r="AP869" s="6">
        <v>12</v>
      </c>
      <c r="AQ869" s="6" t="s">
        <v>387</v>
      </c>
      <c r="AR869" s="6" t="s">
        <v>186</v>
      </c>
      <c r="AS869" s="6" t="s">
        <v>188</v>
      </c>
    </row>
    <row r="870" spans="1:45" x14ac:dyDescent="0.3">
      <c r="A870" s="7" t="s">
        <v>2887</v>
      </c>
      <c r="B870" s="7" t="s">
        <v>4053</v>
      </c>
      <c r="C870" s="7" t="s">
        <v>231</v>
      </c>
      <c r="D870" s="7" t="s">
        <v>238</v>
      </c>
      <c r="E870" s="7"/>
      <c r="F870" s="7" t="s">
        <v>363</v>
      </c>
      <c r="G870" s="7" t="s">
        <v>50</v>
      </c>
      <c r="H870" s="7" t="s">
        <v>212</v>
      </c>
      <c r="I870" s="7" t="s">
        <v>233</v>
      </c>
      <c r="J870" s="7" t="s">
        <v>99</v>
      </c>
      <c r="K870" s="7" t="s">
        <v>210</v>
      </c>
      <c r="L870" s="7" t="s">
        <v>2888</v>
      </c>
      <c r="M870" s="7" t="s">
        <v>4821</v>
      </c>
      <c r="N870" s="7"/>
      <c r="O870" s="7" t="s">
        <v>4215</v>
      </c>
      <c r="P870" s="7">
        <v>53</v>
      </c>
      <c r="Q870" s="7">
        <v>8596928</v>
      </c>
      <c r="R870" s="7">
        <v>0.05</v>
      </c>
      <c r="S870" s="7">
        <v>-0.02</v>
      </c>
      <c r="T870" s="7">
        <v>8003739.9699999997</v>
      </c>
      <c r="U870" s="7">
        <v>5625076.6799999997</v>
      </c>
      <c r="V870" s="7">
        <v>0.22</v>
      </c>
      <c r="W870" s="7">
        <v>0.15</v>
      </c>
      <c r="X870" s="7" t="s">
        <v>2889</v>
      </c>
      <c r="Y870" s="7">
        <v>4462375.68</v>
      </c>
      <c r="Z870" s="7">
        <v>1647536.89</v>
      </c>
      <c r="AA870" s="7">
        <v>45</v>
      </c>
      <c r="AB870" s="7">
        <v>176</v>
      </c>
      <c r="AC870" s="7" t="s">
        <v>347</v>
      </c>
      <c r="AD870" s="7" t="s">
        <v>354</v>
      </c>
      <c r="AE870" s="7">
        <v>0.54</v>
      </c>
      <c r="AF870" s="7" t="s">
        <v>4276</v>
      </c>
      <c r="AG870" s="7">
        <v>0.05</v>
      </c>
      <c r="AH870" s="7">
        <v>0.03</v>
      </c>
      <c r="AI870" s="7">
        <v>3</v>
      </c>
      <c r="AJ870" s="7">
        <v>3482</v>
      </c>
      <c r="AK870" s="7">
        <v>781478.39</v>
      </c>
      <c r="AL870" s="7">
        <v>2708909.4</v>
      </c>
      <c r="AM870" s="7" t="s">
        <v>355</v>
      </c>
      <c r="AN870" s="7" t="s">
        <v>321</v>
      </c>
      <c r="AO870" s="7"/>
      <c r="AP870" s="7">
        <v>48</v>
      </c>
      <c r="AQ870" s="7" t="s">
        <v>4275</v>
      </c>
      <c r="AR870" s="7" t="s">
        <v>224</v>
      </c>
      <c r="AS870" s="7" t="s">
        <v>188</v>
      </c>
    </row>
    <row r="871" spans="1:45" x14ac:dyDescent="0.3">
      <c r="A871" s="6" t="s">
        <v>2890</v>
      </c>
      <c r="B871" s="6" t="s">
        <v>5314</v>
      </c>
      <c r="C871" s="6" t="s">
        <v>257</v>
      </c>
      <c r="D871" s="6" t="s">
        <v>232</v>
      </c>
      <c r="E871" s="6" t="s">
        <v>4376</v>
      </c>
      <c r="F871" s="6" t="s">
        <v>35</v>
      </c>
      <c r="G871" s="6" t="s">
        <v>50</v>
      </c>
      <c r="H871" s="6" t="s">
        <v>212</v>
      </c>
      <c r="I871" s="6" t="s">
        <v>4372</v>
      </c>
      <c r="J871" s="6" t="s">
        <v>136</v>
      </c>
      <c r="K871" s="6" t="s">
        <v>333</v>
      </c>
      <c r="L871" s="6" t="s">
        <v>2891</v>
      </c>
      <c r="M871" s="6" t="s">
        <v>3464</v>
      </c>
      <c r="N871" s="6"/>
      <c r="O871" s="6" t="s">
        <v>4274</v>
      </c>
      <c r="P871" s="6">
        <v>23</v>
      </c>
      <c r="Q871" s="6">
        <v>6441244</v>
      </c>
      <c r="R871" s="6">
        <v>0.31</v>
      </c>
      <c r="S871" s="6">
        <v>0.2</v>
      </c>
      <c r="T871" s="6">
        <v>5333350.03</v>
      </c>
      <c r="U871" s="6">
        <v>4703106.1399999997</v>
      </c>
      <c r="V871" s="6">
        <v>0.15</v>
      </c>
      <c r="W871" s="6">
        <v>0.06</v>
      </c>
      <c r="X871" s="6" t="s">
        <v>2892</v>
      </c>
      <c r="Y871" s="6">
        <v>1151677.55</v>
      </c>
      <c r="Z871" s="6">
        <v>457431.44</v>
      </c>
      <c r="AA871" s="6">
        <v>60</v>
      </c>
      <c r="AB871" s="6">
        <v>7</v>
      </c>
      <c r="AC871" s="6" t="s">
        <v>342</v>
      </c>
      <c r="AD871" s="6" t="s">
        <v>406</v>
      </c>
      <c r="AE871" s="6">
        <v>0.23</v>
      </c>
      <c r="AF871" s="6" t="s">
        <v>4319</v>
      </c>
      <c r="AG871" s="6">
        <v>0.1</v>
      </c>
      <c r="AH871" s="6">
        <v>0.05</v>
      </c>
      <c r="AI871" s="6">
        <v>15</v>
      </c>
      <c r="AJ871" s="6">
        <v>3116</v>
      </c>
      <c r="AK871" s="6">
        <v>775768.89</v>
      </c>
      <c r="AL871" s="6">
        <v>1222865.8799999999</v>
      </c>
      <c r="AM871" s="6" t="s">
        <v>321</v>
      </c>
      <c r="AN871" s="6"/>
      <c r="AO871" s="6">
        <v>60.9</v>
      </c>
      <c r="AP871" s="6">
        <v>60</v>
      </c>
      <c r="AQ871" s="6" t="s">
        <v>4275</v>
      </c>
      <c r="AR871" s="6" t="s">
        <v>229</v>
      </c>
      <c r="AS871" s="6" t="s">
        <v>377</v>
      </c>
    </row>
    <row r="872" spans="1:45" x14ac:dyDescent="0.3">
      <c r="A872" s="7" t="s">
        <v>2893</v>
      </c>
      <c r="B872" s="7" t="s">
        <v>5124</v>
      </c>
      <c r="C872" s="7" t="s">
        <v>284</v>
      </c>
      <c r="D872" s="7" t="s">
        <v>248</v>
      </c>
      <c r="E872" s="7" t="s">
        <v>59</v>
      </c>
      <c r="F872" s="7"/>
      <c r="G872" s="7" t="s">
        <v>73</v>
      </c>
      <c r="H872" s="7" t="s">
        <v>4340</v>
      </c>
      <c r="I872" s="7"/>
      <c r="J872" s="7" t="s">
        <v>99</v>
      </c>
      <c r="K872" s="7" t="s">
        <v>184</v>
      </c>
      <c r="L872" s="7" t="s">
        <v>2894</v>
      </c>
      <c r="M872" s="7" t="s">
        <v>5454</v>
      </c>
      <c r="N872" s="7"/>
      <c r="O872" s="7" t="s">
        <v>5415</v>
      </c>
      <c r="P872" s="7">
        <v>22</v>
      </c>
      <c r="Q872" s="7">
        <v>5448761</v>
      </c>
      <c r="R872" s="7">
        <v>0.09</v>
      </c>
      <c r="S872" s="7">
        <v>-0.03</v>
      </c>
      <c r="T872" s="7">
        <v>4809621.33</v>
      </c>
      <c r="U872" s="7">
        <v>2934068.53</v>
      </c>
      <c r="V872" s="7">
        <v>0.4</v>
      </c>
      <c r="W872" s="7">
        <v>0.13</v>
      </c>
      <c r="X872" s="7" t="s">
        <v>2895</v>
      </c>
      <c r="Y872" s="7">
        <v>1628269.39</v>
      </c>
      <c r="Z872" s="7">
        <v>798965.07</v>
      </c>
      <c r="AA872" s="7">
        <v>120</v>
      </c>
      <c r="AB872" s="7">
        <v>179</v>
      </c>
      <c r="AC872" s="7" t="s">
        <v>353</v>
      </c>
      <c r="AD872" s="7" t="s">
        <v>354</v>
      </c>
      <c r="AE872" s="7">
        <v>0.92</v>
      </c>
      <c r="AF872" s="7" t="s">
        <v>159</v>
      </c>
      <c r="AG872" s="7">
        <v>0.15</v>
      </c>
      <c r="AH872" s="7">
        <v>0.03</v>
      </c>
      <c r="AI872" s="7">
        <v>2</v>
      </c>
      <c r="AJ872" s="7">
        <v>460</v>
      </c>
      <c r="AK872" s="7">
        <v>337165.2</v>
      </c>
      <c r="AL872" s="7">
        <v>1010718.4</v>
      </c>
      <c r="AM872" s="7" t="s">
        <v>73</v>
      </c>
      <c r="AN872" s="7" t="s">
        <v>322</v>
      </c>
      <c r="AO872" s="7">
        <v>95.1</v>
      </c>
      <c r="AP872" s="7">
        <v>24</v>
      </c>
      <c r="AQ872" s="7" t="s">
        <v>392</v>
      </c>
      <c r="AR872" s="7" t="s">
        <v>224</v>
      </c>
      <c r="AS872" s="7" t="s">
        <v>377</v>
      </c>
    </row>
    <row r="873" spans="1:45" x14ac:dyDescent="0.3">
      <c r="A873" s="6" t="s">
        <v>2896</v>
      </c>
      <c r="B873" s="6" t="s">
        <v>2010</v>
      </c>
      <c r="C873" s="6" t="s">
        <v>267</v>
      </c>
      <c r="D873" s="6" t="s">
        <v>242</v>
      </c>
      <c r="E873" s="6" t="s">
        <v>113</v>
      </c>
      <c r="F873" s="6" t="s">
        <v>367</v>
      </c>
      <c r="G873" s="6" t="s">
        <v>57</v>
      </c>
      <c r="H873" s="6" t="s">
        <v>212</v>
      </c>
      <c r="I873" s="6" t="s">
        <v>246</v>
      </c>
      <c r="J873" s="6" t="s">
        <v>123</v>
      </c>
      <c r="K873" s="6" t="s">
        <v>333</v>
      </c>
      <c r="L873" s="6" t="s">
        <v>2897</v>
      </c>
      <c r="M873" s="6" t="s">
        <v>4863</v>
      </c>
      <c r="N873" s="6" t="s">
        <v>2898</v>
      </c>
      <c r="O873" s="6" t="s">
        <v>4274</v>
      </c>
      <c r="P873" s="6">
        <v>41</v>
      </c>
      <c r="Q873" s="6">
        <v>49182208</v>
      </c>
      <c r="R873" s="6">
        <v>0.32</v>
      </c>
      <c r="S873" s="6">
        <v>0.15</v>
      </c>
      <c r="T873" s="6">
        <v>38460486.659999996</v>
      </c>
      <c r="U873" s="6">
        <v>33661176.719999999</v>
      </c>
      <c r="V873" s="6">
        <v>0.15</v>
      </c>
      <c r="W873" s="6">
        <v>0.06</v>
      </c>
      <c r="X873" s="6" t="s">
        <v>2899</v>
      </c>
      <c r="Y873" s="6">
        <v>31842766.91</v>
      </c>
      <c r="Z873" s="6">
        <v>14932096.08</v>
      </c>
      <c r="AA873" s="6">
        <v>30</v>
      </c>
      <c r="AB873" s="6">
        <v>112</v>
      </c>
      <c r="AC873" s="6" t="s">
        <v>329</v>
      </c>
      <c r="AD873" s="6" t="s">
        <v>320</v>
      </c>
      <c r="AE873" s="6">
        <v>0.42</v>
      </c>
      <c r="AF873" s="6" t="s">
        <v>4319</v>
      </c>
      <c r="AG873" s="6">
        <v>0.1</v>
      </c>
      <c r="AH873" s="6">
        <v>0.09</v>
      </c>
      <c r="AI873" s="6">
        <v>11</v>
      </c>
      <c r="AJ873" s="6">
        <v>4688</v>
      </c>
      <c r="AK873" s="6">
        <v>1622255.92</v>
      </c>
      <c r="AL873" s="6">
        <v>13834942.550000001</v>
      </c>
      <c r="AM873" s="6"/>
      <c r="AN873" s="6"/>
      <c r="AO873" s="6">
        <v>96.6</v>
      </c>
      <c r="AP873" s="6">
        <v>24</v>
      </c>
      <c r="AQ873" s="6" t="s">
        <v>4275</v>
      </c>
      <c r="AR873" s="6" t="s">
        <v>229</v>
      </c>
      <c r="AS873" s="6" t="s">
        <v>377</v>
      </c>
    </row>
    <row r="874" spans="1:45" x14ac:dyDescent="0.3">
      <c r="A874" s="7" t="s">
        <v>2900</v>
      </c>
      <c r="B874" s="7" t="s">
        <v>3956</v>
      </c>
      <c r="C874" s="7" t="s">
        <v>256</v>
      </c>
      <c r="D874" s="7" t="s">
        <v>242</v>
      </c>
      <c r="E874" s="7" t="s">
        <v>4376</v>
      </c>
      <c r="F874" s="7" t="s">
        <v>31</v>
      </c>
      <c r="G874" s="7" t="s">
        <v>80</v>
      </c>
      <c r="H874" s="7" t="s">
        <v>236</v>
      </c>
      <c r="I874" s="7" t="s">
        <v>240</v>
      </c>
      <c r="J874" s="7" t="s">
        <v>136</v>
      </c>
      <c r="K874" s="7" t="s">
        <v>199</v>
      </c>
      <c r="L874" s="7" t="s">
        <v>2901</v>
      </c>
      <c r="M874" s="7" t="s">
        <v>5249</v>
      </c>
      <c r="N874" s="7" t="s">
        <v>4833</v>
      </c>
      <c r="O874" s="7" t="s">
        <v>3654</v>
      </c>
      <c r="P874" s="7">
        <v>7</v>
      </c>
      <c r="Q874" s="7">
        <v>44510694</v>
      </c>
      <c r="R874" s="7">
        <v>0.34</v>
      </c>
      <c r="S874" s="7">
        <v>0.09</v>
      </c>
      <c r="T874" s="7">
        <v>32020993.260000002</v>
      </c>
      <c r="U874" s="7">
        <v>24399442.260000002</v>
      </c>
      <c r="V874" s="7">
        <v>0.38</v>
      </c>
      <c r="W874" s="7">
        <v>0.15</v>
      </c>
      <c r="X874" s="7" t="s">
        <v>2902</v>
      </c>
      <c r="Y874" s="7">
        <v>9811863.2599999998</v>
      </c>
      <c r="Z874" s="7">
        <v>3082810.96</v>
      </c>
      <c r="AA874" s="7">
        <v>45</v>
      </c>
      <c r="AB874" s="7">
        <v>48</v>
      </c>
      <c r="AC874" s="7" t="s">
        <v>342</v>
      </c>
      <c r="AD874" s="7" t="s">
        <v>406</v>
      </c>
      <c r="AE874" s="7">
        <v>0.94</v>
      </c>
      <c r="AF874" s="7" t="s">
        <v>152</v>
      </c>
      <c r="AG874" s="7">
        <v>0.1</v>
      </c>
      <c r="AH874" s="7">
        <v>0.02</v>
      </c>
      <c r="AI874" s="7">
        <v>7</v>
      </c>
      <c r="AJ874" s="7">
        <v>4282</v>
      </c>
      <c r="AK874" s="7">
        <v>4637650.03</v>
      </c>
      <c r="AL874" s="7">
        <v>5039816.5</v>
      </c>
      <c r="AM874" s="7"/>
      <c r="AN874" s="7" t="s">
        <v>322</v>
      </c>
      <c r="AO874" s="7">
        <v>79.5</v>
      </c>
      <c r="AP874" s="7">
        <v>48</v>
      </c>
      <c r="AQ874" s="7" t="s">
        <v>323</v>
      </c>
      <c r="AR874" s="7" t="s">
        <v>186</v>
      </c>
      <c r="AS874" s="7" t="s">
        <v>188</v>
      </c>
    </row>
    <row r="875" spans="1:45" x14ac:dyDescent="0.3">
      <c r="A875" s="6" t="s">
        <v>2903</v>
      </c>
      <c r="B875" s="6" t="s">
        <v>5455</v>
      </c>
      <c r="C875" s="6" t="s">
        <v>201</v>
      </c>
      <c r="D875" s="6" t="s">
        <v>209</v>
      </c>
      <c r="E875" s="6" t="s">
        <v>4376</v>
      </c>
      <c r="F875" s="6" t="s">
        <v>35</v>
      </c>
      <c r="G875" s="6" t="s">
        <v>57</v>
      </c>
      <c r="H875" s="6" t="s">
        <v>212</v>
      </c>
      <c r="I875" s="6"/>
      <c r="J875" s="6" t="s">
        <v>136</v>
      </c>
      <c r="K875" s="6" t="s">
        <v>184</v>
      </c>
      <c r="L875" s="6" t="s">
        <v>2904</v>
      </c>
      <c r="M875" s="6" t="s">
        <v>5456</v>
      </c>
      <c r="N875" s="6"/>
      <c r="O875" s="6" t="s">
        <v>5331</v>
      </c>
      <c r="P875" s="6">
        <v>19</v>
      </c>
      <c r="Q875" s="6">
        <v>21732944</v>
      </c>
      <c r="R875" s="6">
        <v>0.15</v>
      </c>
      <c r="S875" s="6">
        <v>-0.03</v>
      </c>
      <c r="T875" s="6">
        <v>17918812.329999998</v>
      </c>
      <c r="U875" s="6">
        <v>12061057.710000001</v>
      </c>
      <c r="V875" s="6">
        <v>0.14000000000000001</v>
      </c>
      <c r="W875" s="6">
        <v>0.06</v>
      </c>
      <c r="X875" s="6" t="s">
        <v>2905</v>
      </c>
      <c r="Y875" s="6">
        <v>5171951.16</v>
      </c>
      <c r="Z875" s="6">
        <v>2489486.7200000002</v>
      </c>
      <c r="AA875" s="6">
        <v>30</v>
      </c>
      <c r="AB875" s="6">
        <v>89</v>
      </c>
      <c r="AC875" s="6" t="s">
        <v>342</v>
      </c>
      <c r="AD875" s="6" t="s">
        <v>381</v>
      </c>
      <c r="AE875" s="6">
        <v>0.75</v>
      </c>
      <c r="AF875" s="6" t="s">
        <v>4361</v>
      </c>
      <c r="AG875" s="6">
        <v>0.15</v>
      </c>
      <c r="AH875" s="6">
        <v>0.09</v>
      </c>
      <c r="AI875" s="6">
        <v>6</v>
      </c>
      <c r="AJ875" s="6">
        <v>4209</v>
      </c>
      <c r="AK875" s="6">
        <v>2346287.0299999998</v>
      </c>
      <c r="AL875" s="6">
        <v>2956239.46</v>
      </c>
      <c r="AM875" s="6" t="s">
        <v>385</v>
      </c>
      <c r="AN875" s="6" t="s">
        <v>386</v>
      </c>
      <c r="AO875" s="6">
        <v>57.5</v>
      </c>
      <c r="AP875" s="6" t="s">
        <v>4275</v>
      </c>
      <c r="AQ875" s="6" t="s">
        <v>4275</v>
      </c>
      <c r="AR875" s="6" t="s">
        <v>224</v>
      </c>
      <c r="AS875" s="6"/>
    </row>
    <row r="876" spans="1:45" x14ac:dyDescent="0.3">
      <c r="A876" s="7" t="s">
        <v>2906</v>
      </c>
      <c r="B876" s="7" t="s">
        <v>4216</v>
      </c>
      <c r="C876" s="7" t="s">
        <v>278</v>
      </c>
      <c r="D876" s="7" t="s">
        <v>180</v>
      </c>
      <c r="E876" s="7" t="s">
        <v>4265</v>
      </c>
      <c r="F876" s="7" t="s">
        <v>228</v>
      </c>
      <c r="G876" s="7" t="s">
        <v>16</v>
      </c>
      <c r="H876" s="7"/>
      <c r="I876" s="7" t="s">
        <v>246</v>
      </c>
      <c r="J876" s="6" t="s">
        <v>130</v>
      </c>
      <c r="K876" s="7" t="s">
        <v>326</v>
      </c>
      <c r="L876" s="7" t="s">
        <v>2907</v>
      </c>
      <c r="M876" s="7" t="s">
        <v>3315</v>
      </c>
      <c r="N876" s="7" t="s">
        <v>4208</v>
      </c>
      <c r="O876" s="7" t="s">
        <v>5431</v>
      </c>
      <c r="P876" s="7">
        <v>30</v>
      </c>
      <c r="Q876" s="7">
        <v>41116182</v>
      </c>
      <c r="R876" s="7">
        <v>7.0000000000000007E-2</v>
      </c>
      <c r="S876" s="7">
        <v>-0.04</v>
      </c>
      <c r="T876" s="7">
        <v>36708527.289999999</v>
      </c>
      <c r="U876" s="7">
        <v>29625090.16</v>
      </c>
      <c r="V876" s="7">
        <v>0.2</v>
      </c>
      <c r="W876" s="7">
        <v>0.13</v>
      </c>
      <c r="X876" s="7" t="s">
        <v>2908</v>
      </c>
      <c r="Y876" s="7">
        <v>5068500.46</v>
      </c>
      <c r="Z876" s="7">
        <v>2071135.08</v>
      </c>
      <c r="AA876" s="7">
        <v>60</v>
      </c>
      <c r="AB876" s="7">
        <v>139</v>
      </c>
      <c r="AC876" s="7" t="s">
        <v>376</v>
      </c>
      <c r="AD876" s="7" t="s">
        <v>226</v>
      </c>
      <c r="AE876" s="7">
        <v>0.77</v>
      </c>
      <c r="AF876" s="7" t="s">
        <v>4361</v>
      </c>
      <c r="AG876" s="7">
        <v>0.05</v>
      </c>
      <c r="AH876" s="7">
        <v>7.0000000000000007E-2</v>
      </c>
      <c r="AI876" s="7">
        <v>2</v>
      </c>
      <c r="AJ876" s="7">
        <v>3684</v>
      </c>
      <c r="AK876" s="7">
        <v>6442405.6500000004</v>
      </c>
      <c r="AL876" s="7">
        <v>5476591.9100000001</v>
      </c>
      <c r="AM876" s="7" t="s">
        <v>73</v>
      </c>
      <c r="AN876" s="7" t="s">
        <v>322</v>
      </c>
      <c r="AO876" s="7">
        <v>96.2</v>
      </c>
      <c r="AP876" s="7" t="s">
        <v>4275</v>
      </c>
      <c r="AQ876" s="7"/>
      <c r="AR876" s="7" t="s">
        <v>192</v>
      </c>
      <c r="AS876" s="7" t="s">
        <v>188</v>
      </c>
    </row>
    <row r="877" spans="1:45" x14ac:dyDescent="0.3">
      <c r="A877" s="6" t="s">
        <v>2909</v>
      </c>
      <c r="B877" s="6" t="s">
        <v>4630</v>
      </c>
      <c r="C877" s="6" t="s">
        <v>230</v>
      </c>
      <c r="D877" s="6" t="s">
        <v>232</v>
      </c>
      <c r="E877" s="6" t="s">
        <v>4376</v>
      </c>
      <c r="F877" s="6"/>
      <c r="G877" s="6" t="s">
        <v>73</v>
      </c>
      <c r="H877" s="6" t="s">
        <v>236</v>
      </c>
      <c r="I877" s="6" t="s">
        <v>4272</v>
      </c>
      <c r="J877" s="6" t="s">
        <v>136</v>
      </c>
      <c r="K877" s="6" t="s">
        <v>184</v>
      </c>
      <c r="L877" s="6" t="s">
        <v>2910</v>
      </c>
      <c r="M877" s="6" t="s">
        <v>4584</v>
      </c>
      <c r="N877" s="6" t="s">
        <v>5457</v>
      </c>
      <c r="O877" s="6" t="s">
        <v>3309</v>
      </c>
      <c r="P877" s="6">
        <v>57</v>
      </c>
      <c r="Q877" s="6" t="s">
        <v>4275</v>
      </c>
      <c r="R877" s="6">
        <v>0.26</v>
      </c>
      <c r="S877" s="6">
        <v>7.0000000000000007E-2</v>
      </c>
      <c r="T877" s="6">
        <v>20333561.77</v>
      </c>
      <c r="U877" s="6">
        <v>15511243.76</v>
      </c>
      <c r="V877" s="6">
        <v>0.34</v>
      </c>
      <c r="W877" s="6">
        <v>0.14000000000000001</v>
      </c>
      <c r="X877" s="6" t="s">
        <v>2911</v>
      </c>
      <c r="Y877" s="6">
        <v>12525049.140000001</v>
      </c>
      <c r="Z877" s="6">
        <v>11293672.439999999</v>
      </c>
      <c r="AA877" s="6">
        <v>90</v>
      </c>
      <c r="AB877" s="6">
        <v>164</v>
      </c>
      <c r="AC877" s="6" t="s">
        <v>347</v>
      </c>
      <c r="AD877" s="6" t="s">
        <v>381</v>
      </c>
      <c r="AE877" s="6">
        <v>0.06</v>
      </c>
      <c r="AF877" s="6" t="s">
        <v>155</v>
      </c>
      <c r="AG877" s="6">
        <v>0.05</v>
      </c>
      <c r="AH877" s="6">
        <v>0.03</v>
      </c>
      <c r="AI877" s="6">
        <v>14</v>
      </c>
      <c r="AJ877" s="6">
        <v>1726</v>
      </c>
      <c r="AK877" s="6">
        <v>1067116.8500000001</v>
      </c>
      <c r="AL877" s="6">
        <v>9019785.6300000008</v>
      </c>
      <c r="AM877" s="6" t="s">
        <v>385</v>
      </c>
      <c r="AN877" s="6" t="s">
        <v>348</v>
      </c>
      <c r="AO877" s="6">
        <v>63.6</v>
      </c>
      <c r="AP877" s="6">
        <v>48</v>
      </c>
      <c r="AQ877" s="6" t="s">
        <v>387</v>
      </c>
      <c r="AR877" s="6" t="s">
        <v>229</v>
      </c>
      <c r="AS877" s="6" t="s">
        <v>361</v>
      </c>
    </row>
    <row r="878" spans="1:45" x14ac:dyDescent="0.3">
      <c r="A878" s="7" t="s">
        <v>2912</v>
      </c>
      <c r="B878" s="7" t="s">
        <v>4217</v>
      </c>
      <c r="C878" s="7" t="s">
        <v>251</v>
      </c>
      <c r="D878" s="7" t="s">
        <v>242</v>
      </c>
      <c r="E878" s="7" t="s">
        <v>20</v>
      </c>
      <c r="F878" s="7" t="s">
        <v>31</v>
      </c>
      <c r="G878" s="7" t="s">
        <v>80</v>
      </c>
      <c r="H878" s="7" t="s">
        <v>4266</v>
      </c>
      <c r="I878" s="7" t="s">
        <v>203</v>
      </c>
      <c r="J878" s="7" t="s">
        <v>136</v>
      </c>
      <c r="K878" s="7" t="s">
        <v>223</v>
      </c>
      <c r="L878" s="7" t="s">
        <v>2913</v>
      </c>
      <c r="M878" s="7" t="s">
        <v>5356</v>
      </c>
      <c r="N878" s="7" t="s">
        <v>5458</v>
      </c>
      <c r="O878" s="7" t="s">
        <v>5223</v>
      </c>
      <c r="P878" s="7">
        <v>21</v>
      </c>
      <c r="Q878" s="7" t="s">
        <v>4275</v>
      </c>
      <c r="R878" s="7">
        <v>0.28000000000000003</v>
      </c>
      <c r="S878" s="7">
        <v>0.02</v>
      </c>
      <c r="T878" s="7">
        <v>18285605.280000001</v>
      </c>
      <c r="U878" s="7">
        <v>11798011.199999999</v>
      </c>
      <c r="V878" s="7">
        <v>0.2</v>
      </c>
      <c r="W878" s="7">
        <v>7.0000000000000007E-2</v>
      </c>
      <c r="X878" s="7" t="s">
        <v>2170</v>
      </c>
      <c r="Y878" s="7">
        <v>8438710.9600000009</v>
      </c>
      <c r="Z878" s="7">
        <v>7214432.6299999999</v>
      </c>
      <c r="AA878" s="7">
        <v>90</v>
      </c>
      <c r="AB878" s="7">
        <v>84</v>
      </c>
      <c r="AC878" s="7" t="s">
        <v>376</v>
      </c>
      <c r="AD878" s="7" t="s">
        <v>406</v>
      </c>
      <c r="AE878" s="7">
        <v>0.25</v>
      </c>
      <c r="AF878" s="7" t="s">
        <v>162</v>
      </c>
      <c r="AG878" s="7">
        <v>0.15</v>
      </c>
      <c r="AH878" s="7">
        <v>0.02</v>
      </c>
      <c r="AI878" s="7">
        <v>13</v>
      </c>
      <c r="AJ878" s="7">
        <v>4124</v>
      </c>
      <c r="AK878" s="7"/>
      <c r="AL878" s="7">
        <v>2273719.31</v>
      </c>
      <c r="AM878" s="7" t="s">
        <v>73</v>
      </c>
      <c r="AN878" s="7" t="s">
        <v>356</v>
      </c>
      <c r="AO878" s="7">
        <v>71.900000000000006</v>
      </c>
      <c r="AP878" s="7">
        <v>36</v>
      </c>
      <c r="AQ878" s="7"/>
      <c r="AR878" s="7" t="s">
        <v>192</v>
      </c>
      <c r="AS878" s="7"/>
    </row>
    <row r="879" spans="1:45" x14ac:dyDescent="0.3">
      <c r="A879" s="6" t="s">
        <v>2914</v>
      </c>
      <c r="B879" s="6" t="s">
        <v>3964</v>
      </c>
      <c r="C879" s="6" t="s">
        <v>267</v>
      </c>
      <c r="D879" s="6" t="s">
        <v>245</v>
      </c>
      <c r="E879" s="6" t="s">
        <v>4325</v>
      </c>
      <c r="F879" s="6" t="s">
        <v>339</v>
      </c>
      <c r="G879" s="6" t="s">
        <v>70</v>
      </c>
      <c r="H879" s="6" t="s">
        <v>216</v>
      </c>
      <c r="I879" s="6" t="s">
        <v>4291</v>
      </c>
      <c r="J879" s="6" t="s">
        <v>115</v>
      </c>
      <c r="K879" s="6" t="s">
        <v>326</v>
      </c>
      <c r="L879" s="6" t="s">
        <v>2915</v>
      </c>
      <c r="M879" s="6" t="s">
        <v>3804</v>
      </c>
      <c r="N879" s="6" t="s">
        <v>4315</v>
      </c>
      <c r="O879" s="6" t="s">
        <v>4274</v>
      </c>
      <c r="P879" s="6">
        <v>24</v>
      </c>
      <c r="Q879" s="6">
        <v>31058286</v>
      </c>
      <c r="R879" s="6">
        <v>0.23</v>
      </c>
      <c r="S879" s="6">
        <v>0.01</v>
      </c>
      <c r="T879" s="6">
        <v>24154029.02</v>
      </c>
      <c r="U879" s="6"/>
      <c r="V879" s="6">
        <v>0.27</v>
      </c>
      <c r="W879" s="6">
        <v>0.18</v>
      </c>
      <c r="X879" s="6" t="s">
        <v>2916</v>
      </c>
      <c r="Y879" s="6">
        <v>13587915.390000001</v>
      </c>
      <c r="Z879" s="6">
        <v>8306469.3300000001</v>
      </c>
      <c r="AA879" s="6">
        <v>90</v>
      </c>
      <c r="AB879" s="6">
        <v>155</v>
      </c>
      <c r="AC879" s="6" t="s">
        <v>376</v>
      </c>
      <c r="AD879" s="6" t="s">
        <v>336</v>
      </c>
      <c r="AE879" s="6">
        <v>0.28000000000000003</v>
      </c>
      <c r="AF879" s="6" t="s">
        <v>4294</v>
      </c>
      <c r="AG879" s="6">
        <v>0.15</v>
      </c>
      <c r="AH879" s="6">
        <v>0.03</v>
      </c>
      <c r="AI879" s="6">
        <v>6</v>
      </c>
      <c r="AJ879" s="6">
        <v>1100</v>
      </c>
      <c r="AK879" s="6">
        <v>3836518.61</v>
      </c>
      <c r="AL879" s="6"/>
      <c r="AM879" s="6" t="s">
        <v>385</v>
      </c>
      <c r="AN879" s="6" t="s">
        <v>356</v>
      </c>
      <c r="AO879" s="6">
        <v>74</v>
      </c>
      <c r="AP879" s="6">
        <v>36</v>
      </c>
      <c r="AQ879" s="6" t="s">
        <v>392</v>
      </c>
      <c r="AR879" s="6" t="s">
        <v>206</v>
      </c>
      <c r="AS879" s="6" t="s">
        <v>357</v>
      </c>
    </row>
    <row r="880" spans="1:45" x14ac:dyDescent="0.3">
      <c r="A880" s="7" t="s">
        <v>2917</v>
      </c>
      <c r="B880" s="7" t="s">
        <v>4146</v>
      </c>
      <c r="C880" s="7" t="s">
        <v>279</v>
      </c>
      <c r="D880" s="7" t="s">
        <v>274</v>
      </c>
      <c r="E880" s="7" t="s">
        <v>41</v>
      </c>
      <c r="F880" s="7" t="s">
        <v>228</v>
      </c>
      <c r="G880" s="7" t="s">
        <v>54</v>
      </c>
      <c r="H880" s="7" t="s">
        <v>4340</v>
      </c>
      <c r="I880" s="7" t="s">
        <v>4272</v>
      </c>
      <c r="J880" s="6" t="s">
        <v>130</v>
      </c>
      <c r="K880" s="7" t="s">
        <v>333</v>
      </c>
      <c r="L880" s="7" t="s">
        <v>2918</v>
      </c>
      <c r="M880" s="7" t="s">
        <v>4218</v>
      </c>
      <c r="N880" s="7" t="s">
        <v>5459</v>
      </c>
      <c r="O880" s="7" t="s">
        <v>5218</v>
      </c>
      <c r="P880" s="7">
        <v>20</v>
      </c>
      <c r="Q880" s="7">
        <v>41592802</v>
      </c>
      <c r="R880" s="7">
        <v>0.26</v>
      </c>
      <c r="S880" s="7">
        <v>-0.04</v>
      </c>
      <c r="T880" s="7">
        <v>29547526.539999999</v>
      </c>
      <c r="U880" s="7"/>
      <c r="V880" s="7">
        <v>0.39</v>
      </c>
      <c r="W880" s="7">
        <v>7.0000000000000007E-2</v>
      </c>
      <c r="X880" s="7" t="s">
        <v>2919</v>
      </c>
      <c r="Y880" s="7">
        <v>11388182.220000001</v>
      </c>
      <c r="Z880" s="7">
        <v>4819178.68</v>
      </c>
      <c r="AA880" s="7">
        <v>45</v>
      </c>
      <c r="AB880" s="7">
        <v>105</v>
      </c>
      <c r="AC880" s="7" t="s">
        <v>347</v>
      </c>
      <c r="AD880" s="7" t="s">
        <v>336</v>
      </c>
      <c r="AE880" s="7">
        <v>0.67</v>
      </c>
      <c r="AF880" s="7" t="s">
        <v>4294</v>
      </c>
      <c r="AG880" s="7">
        <v>0.1</v>
      </c>
      <c r="AH880" s="7">
        <v>0.03</v>
      </c>
      <c r="AI880" s="7">
        <v>2</v>
      </c>
      <c r="AJ880" s="7">
        <v>4565</v>
      </c>
      <c r="AK880" s="7">
        <v>3975988.57</v>
      </c>
      <c r="AL880" s="7">
        <v>4239202.03</v>
      </c>
      <c r="AM880" s="7" t="s">
        <v>343</v>
      </c>
      <c r="AN880" s="7" t="s">
        <v>321</v>
      </c>
      <c r="AO880" s="7"/>
      <c r="AP880" s="7">
        <v>60</v>
      </c>
      <c r="AQ880" s="7" t="s">
        <v>387</v>
      </c>
      <c r="AR880" s="7" t="s">
        <v>206</v>
      </c>
      <c r="AS880" s="7"/>
    </row>
    <row r="881" spans="1:45" x14ac:dyDescent="0.3">
      <c r="A881" s="6" t="s">
        <v>2920</v>
      </c>
      <c r="B881" s="6" t="s">
        <v>5460</v>
      </c>
      <c r="C881" s="6" t="s">
        <v>278</v>
      </c>
      <c r="D881" s="6" t="s">
        <v>262</v>
      </c>
      <c r="E881" s="6"/>
      <c r="F881" s="6" t="s">
        <v>367</v>
      </c>
      <c r="G881" s="6" t="s">
        <v>50</v>
      </c>
      <c r="H881" s="6" t="s">
        <v>4326</v>
      </c>
      <c r="I881" s="6" t="s">
        <v>4272</v>
      </c>
      <c r="J881" s="6" t="s">
        <v>99</v>
      </c>
      <c r="K881" s="6" t="s">
        <v>184</v>
      </c>
      <c r="L881" s="6" t="s">
        <v>2921</v>
      </c>
      <c r="M881" s="6" t="s">
        <v>3759</v>
      </c>
      <c r="N881" s="6" t="s">
        <v>4219</v>
      </c>
      <c r="O881" s="6" t="s">
        <v>4295</v>
      </c>
      <c r="P881" s="6">
        <v>23</v>
      </c>
      <c r="Q881" s="6">
        <v>1638700</v>
      </c>
      <c r="R881" s="6">
        <v>0.15</v>
      </c>
      <c r="S881" s="6">
        <v>0.19</v>
      </c>
      <c r="T881" s="6">
        <v>1657545.05</v>
      </c>
      <c r="U881" s="6">
        <v>1127437.28</v>
      </c>
      <c r="V881" s="6" t="s">
        <v>4374</v>
      </c>
      <c r="W881" s="6">
        <v>0.13</v>
      </c>
      <c r="X881" s="6" t="s">
        <v>2922</v>
      </c>
      <c r="Y881" s="6">
        <v>1451980.4</v>
      </c>
      <c r="Z881" s="6">
        <v>647568.66</v>
      </c>
      <c r="AA881" s="6">
        <v>90</v>
      </c>
      <c r="AB881" s="6">
        <v>104</v>
      </c>
      <c r="AC881" s="6" t="s">
        <v>347</v>
      </c>
      <c r="AD881" s="6" t="s">
        <v>320</v>
      </c>
      <c r="AE881" s="6">
        <v>0.85</v>
      </c>
      <c r="AF881" s="6" t="s">
        <v>4319</v>
      </c>
      <c r="AG881" s="6">
        <v>0.15</v>
      </c>
      <c r="AH881" s="6">
        <v>0.06</v>
      </c>
      <c r="AI881" s="6">
        <v>15</v>
      </c>
      <c r="AJ881" s="6">
        <v>2361</v>
      </c>
      <c r="AK881" s="6">
        <v>155753.64000000001</v>
      </c>
      <c r="AL881" s="6">
        <v>723269.67</v>
      </c>
      <c r="AM881" s="6" t="s">
        <v>355</v>
      </c>
      <c r="AN881" s="6" t="s">
        <v>330</v>
      </c>
      <c r="AO881" s="6">
        <v>67.2</v>
      </c>
      <c r="AP881" s="6">
        <v>48</v>
      </c>
      <c r="AQ881" s="6" t="s">
        <v>387</v>
      </c>
      <c r="AR881" s="6" t="s">
        <v>229</v>
      </c>
      <c r="AS881" s="6" t="s">
        <v>188</v>
      </c>
    </row>
    <row r="882" spans="1:45" x14ac:dyDescent="0.3">
      <c r="A882" s="7" t="s">
        <v>2923</v>
      </c>
      <c r="B882" s="7" t="s">
        <v>1353</v>
      </c>
      <c r="C882" s="7" t="s">
        <v>256</v>
      </c>
      <c r="D882" s="7" t="s">
        <v>202</v>
      </c>
      <c r="E882" s="7" t="s">
        <v>4325</v>
      </c>
      <c r="F882" s="7" t="s">
        <v>339</v>
      </c>
      <c r="G882" s="7"/>
      <c r="H882" s="7" t="s">
        <v>4340</v>
      </c>
      <c r="I882" s="7" t="s">
        <v>198</v>
      </c>
      <c r="J882" s="7" t="s">
        <v>115</v>
      </c>
      <c r="K882" s="7" t="s">
        <v>221</v>
      </c>
      <c r="L882" s="7" t="s">
        <v>2924</v>
      </c>
      <c r="M882" s="7" t="s">
        <v>4296</v>
      </c>
      <c r="N882" s="7" t="s">
        <v>5461</v>
      </c>
      <c r="O882" s="7" t="s">
        <v>3870</v>
      </c>
      <c r="P882" s="7">
        <v>46</v>
      </c>
      <c r="Q882" s="7">
        <v>9757626</v>
      </c>
      <c r="R882" s="7">
        <v>0.06</v>
      </c>
      <c r="S882" s="7">
        <v>-0.01</v>
      </c>
      <c r="T882" s="7">
        <v>9080446.7599999998</v>
      </c>
      <c r="U882" s="7"/>
      <c r="V882" s="7">
        <v>0.23</v>
      </c>
      <c r="W882" s="7">
        <v>0.18</v>
      </c>
      <c r="X882" s="7" t="s">
        <v>2925</v>
      </c>
      <c r="Y882" s="7">
        <v>3767368.68</v>
      </c>
      <c r="Z882" s="7">
        <v>3753064.78</v>
      </c>
      <c r="AA882" s="7">
        <v>90</v>
      </c>
      <c r="AB882" s="7">
        <v>173</v>
      </c>
      <c r="AC882" s="7" t="s">
        <v>353</v>
      </c>
      <c r="AD882" s="7" t="s">
        <v>381</v>
      </c>
      <c r="AE882" s="7">
        <v>0.13</v>
      </c>
      <c r="AF882" s="7" t="s">
        <v>159</v>
      </c>
      <c r="AG882" s="7">
        <v>0.1</v>
      </c>
      <c r="AH882" s="7">
        <v>0.09</v>
      </c>
      <c r="AI882" s="7">
        <v>7</v>
      </c>
      <c r="AJ882" s="7"/>
      <c r="AK882" s="7"/>
      <c r="AL882" s="7">
        <v>3705884</v>
      </c>
      <c r="AM882" s="7"/>
      <c r="AN882" s="7" t="s">
        <v>322</v>
      </c>
      <c r="AO882" s="7">
        <v>94.3</v>
      </c>
      <c r="AP882" s="7">
        <v>12</v>
      </c>
      <c r="AQ882" s="7" t="s">
        <v>4275</v>
      </c>
      <c r="AR882" s="7" t="s">
        <v>224</v>
      </c>
      <c r="AS882" s="7" t="s">
        <v>357</v>
      </c>
    </row>
    <row r="883" spans="1:45" x14ac:dyDescent="0.3">
      <c r="A883" s="6" t="s">
        <v>2926</v>
      </c>
      <c r="B883" s="6" t="s">
        <v>4616</v>
      </c>
      <c r="C883" s="6" t="s">
        <v>270</v>
      </c>
      <c r="D883" s="6" t="s">
        <v>245</v>
      </c>
      <c r="E883" s="6" t="s">
        <v>4270</v>
      </c>
      <c r="F883" s="6" t="s">
        <v>181</v>
      </c>
      <c r="G883" s="6" t="s">
        <v>33</v>
      </c>
      <c r="H883" s="6" t="s">
        <v>4271</v>
      </c>
      <c r="I883" s="6" t="s">
        <v>4289</v>
      </c>
      <c r="J883" s="6" t="s">
        <v>111</v>
      </c>
      <c r="K883" s="6" t="s">
        <v>223</v>
      </c>
      <c r="L883" s="6" t="s">
        <v>2927</v>
      </c>
      <c r="M883" s="6" t="s">
        <v>5462</v>
      </c>
      <c r="N883" s="6" t="s">
        <v>4220</v>
      </c>
      <c r="O883" s="6" t="s">
        <v>4221</v>
      </c>
      <c r="P883" s="6" t="s">
        <v>4275</v>
      </c>
      <c r="Q883" s="6">
        <v>17538395</v>
      </c>
      <c r="R883" s="6">
        <v>0.1</v>
      </c>
      <c r="S883" s="6">
        <v>0.04</v>
      </c>
      <c r="T883" s="6">
        <v>16415937.720000001</v>
      </c>
      <c r="U883" s="6">
        <v>13874307.07</v>
      </c>
      <c r="V883" s="6">
        <v>0.09</v>
      </c>
      <c r="W883" s="6">
        <v>0.17</v>
      </c>
      <c r="X883" s="6" t="s">
        <v>2928</v>
      </c>
      <c r="Y883" s="6">
        <v>6906351.2999999998</v>
      </c>
      <c r="Z883" s="6">
        <v>3081544.15</v>
      </c>
      <c r="AA883" s="6">
        <v>45</v>
      </c>
      <c r="AB883" s="6">
        <v>33</v>
      </c>
      <c r="AC883" s="6" t="s">
        <v>376</v>
      </c>
      <c r="AD883" s="6" t="s">
        <v>406</v>
      </c>
      <c r="AE883" s="6">
        <v>0.14000000000000001</v>
      </c>
      <c r="AF883" s="6" t="s">
        <v>4312</v>
      </c>
      <c r="AG883" s="6">
        <v>0.15</v>
      </c>
      <c r="AH883" s="6">
        <v>0.1</v>
      </c>
      <c r="AI883" s="6">
        <v>9</v>
      </c>
      <c r="AJ883" s="6">
        <v>936</v>
      </c>
      <c r="AK883" s="6"/>
      <c r="AL883" s="6">
        <v>8086504.8600000003</v>
      </c>
      <c r="AM883" s="6" t="s">
        <v>385</v>
      </c>
      <c r="AN883" s="6"/>
      <c r="AO883" s="6">
        <v>92.6</v>
      </c>
      <c r="AP883" s="6">
        <v>60</v>
      </c>
      <c r="AQ883" s="6" t="s">
        <v>392</v>
      </c>
      <c r="AR883" s="6" t="s">
        <v>224</v>
      </c>
      <c r="AS883" s="6"/>
    </row>
    <row r="884" spans="1:45" x14ac:dyDescent="0.3">
      <c r="A884" s="7" t="s">
        <v>2929</v>
      </c>
      <c r="B884" s="7" t="s">
        <v>4809</v>
      </c>
      <c r="C884" s="7" t="s">
        <v>244</v>
      </c>
      <c r="D884" s="7" t="s">
        <v>562</v>
      </c>
      <c r="E884" s="7" t="s">
        <v>4306</v>
      </c>
      <c r="F884" s="7" t="s">
        <v>75</v>
      </c>
      <c r="G884" s="7" t="s">
        <v>28</v>
      </c>
      <c r="H884" s="7" t="s">
        <v>4266</v>
      </c>
      <c r="I884" s="7" t="s">
        <v>240</v>
      </c>
      <c r="J884" s="7" t="s">
        <v>119</v>
      </c>
      <c r="K884" s="7" t="s">
        <v>204</v>
      </c>
      <c r="L884" s="7" t="s">
        <v>2930</v>
      </c>
      <c r="M884" s="7" t="s">
        <v>5463</v>
      </c>
      <c r="N884" s="7"/>
      <c r="O884" s="7" t="s">
        <v>4085</v>
      </c>
      <c r="P884" s="7">
        <v>42</v>
      </c>
      <c r="Q884" s="7">
        <v>29781945</v>
      </c>
      <c r="R884" s="7">
        <v>0.31</v>
      </c>
      <c r="S884" s="7">
        <v>0.15</v>
      </c>
      <c r="T884" s="7">
        <v>23631973.359999999</v>
      </c>
      <c r="U884" s="7">
        <v>14661006.73</v>
      </c>
      <c r="V884" s="7">
        <v>0.15</v>
      </c>
      <c r="W884" s="7">
        <v>0.05</v>
      </c>
      <c r="X884" s="7" t="s">
        <v>2931</v>
      </c>
      <c r="Y884" s="7">
        <v>12892545.52</v>
      </c>
      <c r="Z884" s="7">
        <v>11682820.17</v>
      </c>
      <c r="AA884" s="7">
        <v>120</v>
      </c>
      <c r="AB884" s="7">
        <v>102</v>
      </c>
      <c r="AC884" s="7" t="s">
        <v>342</v>
      </c>
      <c r="AD884" s="7" t="s">
        <v>354</v>
      </c>
      <c r="AE884" s="7">
        <v>0.18</v>
      </c>
      <c r="AF884" s="7" t="s">
        <v>153</v>
      </c>
      <c r="AG884" s="7">
        <v>0.15</v>
      </c>
      <c r="AH884" s="7">
        <v>0.1</v>
      </c>
      <c r="AI884" s="7">
        <v>7</v>
      </c>
      <c r="AJ884" s="7">
        <v>1539</v>
      </c>
      <c r="AK884" s="7">
        <v>3959237.08</v>
      </c>
      <c r="AL884" s="7">
        <v>8860412.0500000007</v>
      </c>
      <c r="AM884" s="7" t="s">
        <v>355</v>
      </c>
      <c r="AN884" s="7"/>
      <c r="AO884" s="7">
        <v>97.2</v>
      </c>
      <c r="AP884" s="7">
        <v>60</v>
      </c>
      <c r="AQ884" s="7" t="s">
        <v>323</v>
      </c>
      <c r="AR884" s="7" t="s">
        <v>224</v>
      </c>
      <c r="AS884" s="7" t="s">
        <v>361</v>
      </c>
    </row>
    <row r="885" spans="1:45" x14ac:dyDescent="0.3">
      <c r="A885" s="6" t="s">
        <v>2932</v>
      </c>
      <c r="B885" s="6" t="s">
        <v>4452</v>
      </c>
      <c r="C885" s="6" t="s">
        <v>275</v>
      </c>
      <c r="D885" s="6" t="s">
        <v>245</v>
      </c>
      <c r="E885" s="6"/>
      <c r="F885" s="6" t="s">
        <v>181</v>
      </c>
      <c r="G885" s="6" t="s">
        <v>16</v>
      </c>
      <c r="H885" s="6" t="s">
        <v>212</v>
      </c>
      <c r="I885" s="6" t="s">
        <v>203</v>
      </c>
      <c r="J885" s="6" t="s">
        <v>99</v>
      </c>
      <c r="K885" s="6" t="s">
        <v>184</v>
      </c>
      <c r="L885" s="6" t="s">
        <v>2933</v>
      </c>
      <c r="M885" s="6" t="s">
        <v>5464</v>
      </c>
      <c r="N885" s="6" t="s">
        <v>4953</v>
      </c>
      <c r="O885" s="6" t="s">
        <v>5465</v>
      </c>
      <c r="P885" s="6">
        <v>34</v>
      </c>
      <c r="Q885" s="6">
        <v>2042057</v>
      </c>
      <c r="R885" s="6">
        <v>0.3</v>
      </c>
      <c r="S885" s="6">
        <v>0.18</v>
      </c>
      <c r="T885" s="6">
        <v>1686739.08</v>
      </c>
      <c r="U885" s="6">
        <v>1302746.74</v>
      </c>
      <c r="V885" s="6">
        <v>0.22</v>
      </c>
      <c r="W885" s="6">
        <v>0.15</v>
      </c>
      <c r="X885" s="6" t="s">
        <v>2934</v>
      </c>
      <c r="Y885" s="6">
        <v>152148.78</v>
      </c>
      <c r="Z885" s="6">
        <v>90865.89</v>
      </c>
      <c r="AA885" s="6">
        <v>30</v>
      </c>
      <c r="AB885" s="6">
        <v>150</v>
      </c>
      <c r="AC885" s="6" t="s">
        <v>347</v>
      </c>
      <c r="AD885" s="6" t="s">
        <v>320</v>
      </c>
      <c r="AE885" s="6">
        <v>0.66</v>
      </c>
      <c r="AF885" s="6" t="s">
        <v>159</v>
      </c>
      <c r="AG885" s="6">
        <v>0.1</v>
      </c>
      <c r="AH885" s="6">
        <v>0.03</v>
      </c>
      <c r="AI885" s="6">
        <v>12</v>
      </c>
      <c r="AJ885" s="6">
        <v>1254</v>
      </c>
      <c r="AK885" s="6">
        <v>360905.37</v>
      </c>
      <c r="AL885" s="6"/>
      <c r="AM885" s="6" t="s">
        <v>355</v>
      </c>
      <c r="AN885" s="6" t="s">
        <v>322</v>
      </c>
      <c r="AO885" s="6">
        <v>96.3</v>
      </c>
      <c r="AP885" s="6">
        <v>24</v>
      </c>
      <c r="AQ885" s="6"/>
      <c r="AR885" s="6" t="s">
        <v>192</v>
      </c>
      <c r="AS885" s="6" t="s">
        <v>377</v>
      </c>
    </row>
    <row r="886" spans="1:45" x14ac:dyDescent="0.3">
      <c r="A886" s="7" t="s">
        <v>2935</v>
      </c>
      <c r="B886" s="7" t="s">
        <v>3947</v>
      </c>
      <c r="C886" s="7" t="s">
        <v>235</v>
      </c>
      <c r="D886" s="7" t="s">
        <v>281</v>
      </c>
      <c r="E886" s="7" t="s">
        <v>4376</v>
      </c>
      <c r="F886" s="7" t="s">
        <v>196</v>
      </c>
      <c r="G886" s="7" t="s">
        <v>66</v>
      </c>
      <c r="H886" s="7" t="s">
        <v>4271</v>
      </c>
      <c r="I886" s="7" t="s">
        <v>198</v>
      </c>
      <c r="J886" s="7" t="s">
        <v>136</v>
      </c>
      <c r="K886" s="7" t="s">
        <v>221</v>
      </c>
      <c r="L886" s="7" t="s">
        <v>2936</v>
      </c>
      <c r="M886" s="7" t="s">
        <v>5466</v>
      </c>
      <c r="N886" s="7"/>
      <c r="O886" s="7" t="s">
        <v>4798</v>
      </c>
      <c r="P886" s="7">
        <v>52</v>
      </c>
      <c r="Q886" s="7">
        <v>9466762</v>
      </c>
      <c r="R886" s="7">
        <v>0.16</v>
      </c>
      <c r="S886" s="7">
        <v>0.18</v>
      </c>
      <c r="T886" s="7">
        <v>9383454.4900000002</v>
      </c>
      <c r="U886" s="7">
        <v>6213587.9100000001</v>
      </c>
      <c r="V886" s="7">
        <v>0.33</v>
      </c>
      <c r="W886" s="7">
        <v>0.16</v>
      </c>
      <c r="X886" s="7"/>
      <c r="Y886" s="7">
        <v>2638547.09</v>
      </c>
      <c r="Z886" s="7">
        <v>941953.51</v>
      </c>
      <c r="AA886" s="7">
        <v>60</v>
      </c>
      <c r="AB886" s="7">
        <v>48</v>
      </c>
      <c r="AC886" s="7" t="s">
        <v>376</v>
      </c>
      <c r="AD886" s="7" t="s">
        <v>320</v>
      </c>
      <c r="AE886" s="7">
        <v>0.28999999999999998</v>
      </c>
      <c r="AF886" s="7" t="s">
        <v>159</v>
      </c>
      <c r="AG886" s="7">
        <v>0.15</v>
      </c>
      <c r="AH886" s="7">
        <v>0.03</v>
      </c>
      <c r="AI886" s="7">
        <v>2</v>
      </c>
      <c r="AJ886" s="7">
        <v>4535</v>
      </c>
      <c r="AK886" s="7">
        <v>1828786.68</v>
      </c>
      <c r="AL886" s="7"/>
      <c r="AM886" s="7" t="s">
        <v>391</v>
      </c>
      <c r="AN886" s="7" t="s">
        <v>322</v>
      </c>
      <c r="AO886" s="7">
        <v>63.2</v>
      </c>
      <c r="AP886" s="7">
        <v>36</v>
      </c>
      <c r="AQ886" s="7" t="s">
        <v>323</v>
      </c>
      <c r="AR886" s="7" t="s">
        <v>206</v>
      </c>
      <c r="AS886" s="7" t="s">
        <v>188</v>
      </c>
    </row>
    <row r="887" spans="1:45" x14ac:dyDescent="0.3">
      <c r="A887" s="6" t="s">
        <v>2937</v>
      </c>
      <c r="B887" s="6" t="s">
        <v>3967</v>
      </c>
      <c r="C887" s="6" t="s">
        <v>261</v>
      </c>
      <c r="D887" s="6" t="s">
        <v>562</v>
      </c>
      <c r="E887" s="6" t="s">
        <v>4306</v>
      </c>
      <c r="F887" s="6" t="s">
        <v>75</v>
      </c>
      <c r="G887" s="6" t="s">
        <v>57</v>
      </c>
      <c r="H887" s="6"/>
      <c r="I887" s="6" t="s">
        <v>4272</v>
      </c>
      <c r="J887" s="7" t="s">
        <v>133</v>
      </c>
      <c r="K887" s="6" t="s">
        <v>210</v>
      </c>
      <c r="L887" s="6" t="s">
        <v>2938</v>
      </c>
      <c r="M887" s="6" t="s">
        <v>3880</v>
      </c>
      <c r="N887" s="6" t="s">
        <v>3310</v>
      </c>
      <c r="O887" s="6" t="s">
        <v>4223</v>
      </c>
      <c r="P887" s="6">
        <v>59</v>
      </c>
      <c r="Q887" s="6">
        <v>23666199</v>
      </c>
      <c r="R887" s="6">
        <v>0.32</v>
      </c>
      <c r="S887" s="6">
        <v>0.12</v>
      </c>
      <c r="T887" s="6">
        <v>18024177.16</v>
      </c>
      <c r="U887" s="6">
        <v>14025956.029999999</v>
      </c>
      <c r="V887" s="6">
        <v>0.21</v>
      </c>
      <c r="W887" s="6">
        <v>0.06</v>
      </c>
      <c r="X887" s="6" t="s">
        <v>2939</v>
      </c>
      <c r="Y887" s="6">
        <v>4198501.76</v>
      </c>
      <c r="Z887" s="6">
        <v>1648631.72</v>
      </c>
      <c r="AA887" s="6">
        <v>90</v>
      </c>
      <c r="AB887" s="6">
        <v>96</v>
      </c>
      <c r="AC887" s="6" t="s">
        <v>329</v>
      </c>
      <c r="AD887" s="6" t="s">
        <v>320</v>
      </c>
      <c r="AE887" s="6">
        <v>0.86</v>
      </c>
      <c r="AF887" s="6" t="s">
        <v>4276</v>
      </c>
      <c r="AG887" s="6">
        <v>0.05</v>
      </c>
      <c r="AH887" s="6">
        <v>0.09</v>
      </c>
      <c r="AI887" s="6">
        <v>10</v>
      </c>
      <c r="AJ887" s="6">
        <v>4403</v>
      </c>
      <c r="AK887" s="6">
        <v>1564746.14</v>
      </c>
      <c r="AL887" s="6">
        <v>6611606.6900000004</v>
      </c>
      <c r="AM887" s="6" t="s">
        <v>391</v>
      </c>
      <c r="AN887" s="6"/>
      <c r="AO887" s="6">
        <v>95.9</v>
      </c>
      <c r="AP887" s="6">
        <v>48</v>
      </c>
      <c r="AQ887" s="6" t="s">
        <v>387</v>
      </c>
      <c r="AR887" s="6" t="s">
        <v>206</v>
      </c>
      <c r="AS887" s="6" t="s">
        <v>377</v>
      </c>
    </row>
    <row r="888" spans="1:45" x14ac:dyDescent="0.3">
      <c r="A888" s="7" t="s">
        <v>2940</v>
      </c>
      <c r="B888" s="7" t="s">
        <v>3550</v>
      </c>
      <c r="C888" s="7" t="s">
        <v>252</v>
      </c>
      <c r="D888" s="7" t="s">
        <v>232</v>
      </c>
      <c r="E888" s="7" t="s">
        <v>4325</v>
      </c>
      <c r="F888" s="7" t="s">
        <v>339</v>
      </c>
      <c r="G888" s="7" t="s">
        <v>50</v>
      </c>
      <c r="H888" s="7" t="s">
        <v>212</v>
      </c>
      <c r="I888" s="7" t="s">
        <v>4291</v>
      </c>
      <c r="J888" s="7" t="s">
        <v>115</v>
      </c>
      <c r="K888" s="7" t="s">
        <v>184</v>
      </c>
      <c r="L888" s="7" t="s">
        <v>2941</v>
      </c>
      <c r="M888" s="7" t="s">
        <v>4287</v>
      </c>
      <c r="N888" s="7"/>
      <c r="O888" s="7" t="s">
        <v>5421</v>
      </c>
      <c r="P888" s="7" t="s">
        <v>4275</v>
      </c>
      <c r="Q888" s="7">
        <v>41692319</v>
      </c>
      <c r="R888" s="7">
        <v>0.21</v>
      </c>
      <c r="S888" s="7">
        <v>-0.01</v>
      </c>
      <c r="T888" s="7">
        <v>32607562.690000001</v>
      </c>
      <c r="U888" s="7">
        <v>22944388.920000002</v>
      </c>
      <c r="V888" s="7">
        <v>0.09</v>
      </c>
      <c r="W888" s="7">
        <v>0.12</v>
      </c>
      <c r="X888" s="7" t="s">
        <v>2942</v>
      </c>
      <c r="Y888" s="7">
        <v>7967273.96</v>
      </c>
      <c r="Z888" s="7">
        <v>4184876.37</v>
      </c>
      <c r="AA888" s="7">
        <v>45</v>
      </c>
      <c r="AB888" s="7">
        <v>60</v>
      </c>
      <c r="AC888" s="7" t="s">
        <v>342</v>
      </c>
      <c r="AD888" s="7" t="s">
        <v>320</v>
      </c>
      <c r="AE888" s="7">
        <v>0.89</v>
      </c>
      <c r="AF888" s="7" t="s">
        <v>155</v>
      </c>
      <c r="AG888" s="7">
        <v>0.15</v>
      </c>
      <c r="AH888" s="7">
        <v>0.02</v>
      </c>
      <c r="AI888" s="7">
        <v>13</v>
      </c>
      <c r="AJ888" s="7">
        <v>4742</v>
      </c>
      <c r="AK888" s="7">
        <v>3994144.8</v>
      </c>
      <c r="AL888" s="7">
        <v>6217121.5199999996</v>
      </c>
      <c r="AM888" s="7" t="s">
        <v>355</v>
      </c>
      <c r="AN888" s="7" t="s">
        <v>321</v>
      </c>
      <c r="AO888" s="7">
        <v>75.3</v>
      </c>
      <c r="AP888" s="7">
        <v>12</v>
      </c>
      <c r="AQ888" s="7" t="s">
        <v>4275</v>
      </c>
      <c r="AR888" s="7" t="s">
        <v>224</v>
      </c>
      <c r="AS888" s="7" t="s">
        <v>188</v>
      </c>
    </row>
    <row r="889" spans="1:45" x14ac:dyDescent="0.3">
      <c r="A889" s="6" t="s">
        <v>2943</v>
      </c>
      <c r="B889" s="6" t="s">
        <v>5467</v>
      </c>
      <c r="C889" s="6" t="s">
        <v>230</v>
      </c>
      <c r="D889" s="6" t="s">
        <v>242</v>
      </c>
      <c r="E889" s="6" t="s">
        <v>4265</v>
      </c>
      <c r="F889" s="6" t="s">
        <v>350</v>
      </c>
      <c r="G889" s="6" t="s">
        <v>54</v>
      </c>
      <c r="H889" s="6" t="s">
        <v>212</v>
      </c>
      <c r="I889" s="6" t="s">
        <v>198</v>
      </c>
      <c r="J889" s="6" t="s">
        <v>130</v>
      </c>
      <c r="K889" s="6" t="s">
        <v>326</v>
      </c>
      <c r="L889" s="6" t="s">
        <v>2944</v>
      </c>
      <c r="M889" s="6" t="s">
        <v>5468</v>
      </c>
      <c r="N889" s="6" t="s">
        <v>5031</v>
      </c>
      <c r="O889" s="6" t="s">
        <v>4650</v>
      </c>
      <c r="P889" s="6">
        <v>19</v>
      </c>
      <c r="Q889" s="6">
        <v>23436057</v>
      </c>
      <c r="R889" s="6">
        <v>0.19</v>
      </c>
      <c r="S889" s="6">
        <v>0.04</v>
      </c>
      <c r="T889" s="6">
        <v>19742534.420000002</v>
      </c>
      <c r="U889" s="6">
        <v>12581851.949999999</v>
      </c>
      <c r="V889" s="6">
        <v>0.26</v>
      </c>
      <c r="W889" s="6">
        <v>0.09</v>
      </c>
      <c r="X889" s="6" t="s">
        <v>2945</v>
      </c>
      <c r="Y889" s="6">
        <v>16878886.82</v>
      </c>
      <c r="Z889" s="6">
        <v>18420383.600000001</v>
      </c>
      <c r="AA889" s="6">
        <v>60</v>
      </c>
      <c r="AB889" s="6">
        <v>170</v>
      </c>
      <c r="AC889" s="6" t="s">
        <v>342</v>
      </c>
      <c r="AD889" s="6" t="s">
        <v>226</v>
      </c>
      <c r="AE889" s="6">
        <v>0.24</v>
      </c>
      <c r="AF889" s="6" t="s">
        <v>4319</v>
      </c>
      <c r="AG889" s="6">
        <v>0.05</v>
      </c>
      <c r="AH889" s="6">
        <v>7.0000000000000007E-2</v>
      </c>
      <c r="AI889" s="6">
        <v>10</v>
      </c>
      <c r="AJ889" s="6">
        <v>1069</v>
      </c>
      <c r="AK889" s="6">
        <v>2356426.04</v>
      </c>
      <c r="AL889" s="6">
        <v>3957209.22</v>
      </c>
      <c r="AM889" s="6" t="s">
        <v>355</v>
      </c>
      <c r="AN889" s="6" t="s">
        <v>386</v>
      </c>
      <c r="AO889" s="6"/>
      <c r="AP889" s="6" t="s">
        <v>4275</v>
      </c>
      <c r="AQ889" s="6"/>
      <c r="AR889" s="6" t="s">
        <v>229</v>
      </c>
      <c r="AS889" s="6" t="s">
        <v>377</v>
      </c>
    </row>
    <row r="890" spans="1:45" x14ac:dyDescent="0.3">
      <c r="A890" s="7" t="s">
        <v>2946</v>
      </c>
      <c r="B890" s="7" t="s">
        <v>4224</v>
      </c>
      <c r="C890" s="7" t="s">
        <v>249</v>
      </c>
      <c r="D890" s="7" t="s">
        <v>238</v>
      </c>
      <c r="E890" s="7" t="s">
        <v>4270</v>
      </c>
      <c r="F890" s="7" t="s">
        <v>181</v>
      </c>
      <c r="G890" s="7" t="s">
        <v>38</v>
      </c>
      <c r="H890" s="7" t="s">
        <v>4280</v>
      </c>
      <c r="I890" s="7" t="s">
        <v>4372</v>
      </c>
      <c r="J890" s="7" t="s">
        <v>127</v>
      </c>
      <c r="K890" s="7" t="s">
        <v>184</v>
      </c>
      <c r="L890" s="7" t="s">
        <v>2947</v>
      </c>
      <c r="M890" s="7" t="s">
        <v>3560</v>
      </c>
      <c r="N890" s="7"/>
      <c r="O890" s="7" t="s">
        <v>4274</v>
      </c>
      <c r="P890" s="7">
        <v>7</v>
      </c>
      <c r="Q890" s="7">
        <v>40924246</v>
      </c>
      <c r="R890" s="7">
        <v>0.32</v>
      </c>
      <c r="S890" s="7">
        <v>0.03</v>
      </c>
      <c r="T890" s="7">
        <v>28663341.899999999</v>
      </c>
      <c r="U890" s="7"/>
      <c r="V890" s="7" t="s">
        <v>4374</v>
      </c>
      <c r="W890" s="7">
        <v>7.0000000000000007E-2</v>
      </c>
      <c r="X890" s="7" t="s">
        <v>2948</v>
      </c>
      <c r="Y890" s="7">
        <v>9361774.4800000004</v>
      </c>
      <c r="Z890" s="7">
        <v>10292938.039999999</v>
      </c>
      <c r="AA890" s="7">
        <v>90</v>
      </c>
      <c r="AB890" s="7">
        <v>177</v>
      </c>
      <c r="AC890" s="7" t="s">
        <v>376</v>
      </c>
      <c r="AD890" s="7" t="s">
        <v>226</v>
      </c>
      <c r="AE890" s="7">
        <v>0.95</v>
      </c>
      <c r="AF890" s="7" t="s">
        <v>152</v>
      </c>
      <c r="AG890" s="7">
        <v>0.05</v>
      </c>
      <c r="AH890" s="7">
        <v>0.01</v>
      </c>
      <c r="AI890" s="7">
        <v>11</v>
      </c>
      <c r="AJ890" s="7">
        <v>2946</v>
      </c>
      <c r="AK890" s="7">
        <v>4412912.91</v>
      </c>
      <c r="AL890" s="7">
        <v>6984020.3099999996</v>
      </c>
      <c r="AM890" s="7" t="s">
        <v>321</v>
      </c>
      <c r="AN890" s="7" t="s">
        <v>386</v>
      </c>
      <c r="AO890" s="7">
        <v>55.1</v>
      </c>
      <c r="AP890" s="7">
        <v>24</v>
      </c>
      <c r="AQ890" s="7" t="s">
        <v>387</v>
      </c>
      <c r="AR890" s="7" t="s">
        <v>229</v>
      </c>
      <c r="AS890" s="7" t="s">
        <v>324</v>
      </c>
    </row>
    <row r="891" spans="1:45" x14ac:dyDescent="0.3">
      <c r="A891" s="6" t="s">
        <v>2949</v>
      </c>
      <c r="B891" s="6" t="s">
        <v>3725</v>
      </c>
      <c r="C891" s="6" t="s">
        <v>272</v>
      </c>
      <c r="D891" s="6" t="s">
        <v>265</v>
      </c>
      <c r="E891" s="6" t="s">
        <v>36</v>
      </c>
      <c r="F891" s="6" t="s">
        <v>339</v>
      </c>
      <c r="G891" s="6" t="s">
        <v>38</v>
      </c>
      <c r="H891" s="6" t="s">
        <v>4266</v>
      </c>
      <c r="I891" s="6" t="s">
        <v>191</v>
      </c>
      <c r="J891" s="6" t="s">
        <v>115</v>
      </c>
      <c r="K891" s="6" t="s">
        <v>199</v>
      </c>
      <c r="L891" s="6" t="s">
        <v>2950</v>
      </c>
      <c r="M891" s="6" t="s">
        <v>5469</v>
      </c>
      <c r="N891" s="6"/>
      <c r="O891" s="6" t="s">
        <v>4274</v>
      </c>
      <c r="P891" s="6" t="s">
        <v>4275</v>
      </c>
      <c r="Q891" s="6">
        <v>40114147</v>
      </c>
      <c r="R891" s="6">
        <v>0.14000000000000001</v>
      </c>
      <c r="S891" s="6">
        <v>0.13</v>
      </c>
      <c r="T891" s="6">
        <v>38982928.049999997</v>
      </c>
      <c r="U891" s="6">
        <v>26450494.539999999</v>
      </c>
      <c r="V891" s="6">
        <v>0.09</v>
      </c>
      <c r="W891" s="6">
        <v>0.14000000000000001</v>
      </c>
      <c r="X891" s="6" t="s">
        <v>2951</v>
      </c>
      <c r="Y891" s="6">
        <v>29945449.670000002</v>
      </c>
      <c r="Z891" s="6" t="s">
        <v>4357</v>
      </c>
      <c r="AA891" s="6">
        <v>120</v>
      </c>
      <c r="AB891" s="6">
        <v>66</v>
      </c>
      <c r="AC891" s="6" t="s">
        <v>329</v>
      </c>
      <c r="AD891" s="6" t="s">
        <v>320</v>
      </c>
      <c r="AE891" s="6">
        <v>0.28000000000000003</v>
      </c>
      <c r="AF891" s="6" t="s">
        <v>4294</v>
      </c>
      <c r="AG891" s="6">
        <v>0.15</v>
      </c>
      <c r="AH891" s="6">
        <v>0.06</v>
      </c>
      <c r="AI891" s="6">
        <v>2</v>
      </c>
      <c r="AJ891" s="6">
        <v>1462</v>
      </c>
      <c r="AK891" s="6">
        <v>8168932.4800000004</v>
      </c>
      <c r="AL891" s="6">
        <v>19408602.280000001</v>
      </c>
      <c r="AM891" s="6" t="s">
        <v>343</v>
      </c>
      <c r="AN891" s="6" t="s">
        <v>321</v>
      </c>
      <c r="AO891" s="6">
        <v>91.9</v>
      </c>
      <c r="AP891" s="6">
        <v>48</v>
      </c>
      <c r="AQ891" s="6" t="s">
        <v>392</v>
      </c>
      <c r="AR891" s="6" t="s">
        <v>186</v>
      </c>
      <c r="AS891" s="6"/>
    </row>
    <row r="892" spans="1:45" x14ac:dyDescent="0.3">
      <c r="A892" s="7" t="s">
        <v>2952</v>
      </c>
      <c r="B892" s="7" t="s">
        <v>4868</v>
      </c>
      <c r="C892" s="7" t="s">
        <v>231</v>
      </c>
      <c r="D892" s="7" t="s">
        <v>190</v>
      </c>
      <c r="E892" s="7" t="s">
        <v>4376</v>
      </c>
      <c r="F892" s="7" t="s">
        <v>35</v>
      </c>
      <c r="G892" s="7" t="s">
        <v>28</v>
      </c>
      <c r="H892" s="7" t="s">
        <v>4280</v>
      </c>
      <c r="I892" s="7" t="s">
        <v>4289</v>
      </c>
      <c r="J892" s="7" t="s">
        <v>136</v>
      </c>
      <c r="K892" s="7" t="s">
        <v>210</v>
      </c>
      <c r="L892" s="7" t="s">
        <v>2953</v>
      </c>
      <c r="M892" s="7" t="s">
        <v>5470</v>
      </c>
      <c r="N892" s="7" t="s">
        <v>4153</v>
      </c>
      <c r="O892" s="7" t="s">
        <v>4731</v>
      </c>
      <c r="P892" s="7">
        <v>55</v>
      </c>
      <c r="Q892" s="7">
        <v>17763720</v>
      </c>
      <c r="R892" s="7">
        <v>0.28999999999999998</v>
      </c>
      <c r="S892" s="7">
        <v>-0.01</v>
      </c>
      <c r="T892" s="7">
        <v>12486118.789999999</v>
      </c>
      <c r="U892" s="7">
        <v>7587195.4800000004</v>
      </c>
      <c r="V892" s="7">
        <v>0.3</v>
      </c>
      <c r="W892" s="7">
        <v>7.0000000000000007E-2</v>
      </c>
      <c r="X892" s="7" t="s">
        <v>2954</v>
      </c>
      <c r="Y892" s="7">
        <v>7512145.0300000003</v>
      </c>
      <c r="Z892" s="7">
        <v>7605929.1699999999</v>
      </c>
      <c r="AA892" s="7">
        <v>60</v>
      </c>
      <c r="AB892" s="7">
        <v>150</v>
      </c>
      <c r="AC892" s="7"/>
      <c r="AD892" s="7" t="s">
        <v>381</v>
      </c>
      <c r="AE892" s="7">
        <v>0.1</v>
      </c>
      <c r="AF892" s="7" t="s">
        <v>4361</v>
      </c>
      <c r="AG892" s="7">
        <v>0.1</v>
      </c>
      <c r="AH892" s="7">
        <v>0.03</v>
      </c>
      <c r="AI892" s="7">
        <v>6</v>
      </c>
      <c r="AJ892" s="7">
        <v>947</v>
      </c>
      <c r="AK892" s="7">
        <v>1360398.95</v>
      </c>
      <c r="AL892" s="7">
        <v>1592537.27</v>
      </c>
      <c r="AM892" s="7" t="s">
        <v>385</v>
      </c>
      <c r="AN892" s="7" t="s">
        <v>386</v>
      </c>
      <c r="AO892" s="7">
        <v>85</v>
      </c>
      <c r="AP892" s="7">
        <v>12</v>
      </c>
      <c r="AQ892" s="7" t="s">
        <v>387</v>
      </c>
      <c r="AR892" s="7" t="s">
        <v>224</v>
      </c>
      <c r="AS892" s="7" t="s">
        <v>361</v>
      </c>
    </row>
    <row r="893" spans="1:45" x14ac:dyDescent="0.3">
      <c r="A893" s="6" t="s">
        <v>2955</v>
      </c>
      <c r="B893" s="6" t="s">
        <v>5331</v>
      </c>
      <c r="C893" s="6" t="s">
        <v>243</v>
      </c>
      <c r="D893" s="6" t="s">
        <v>394</v>
      </c>
      <c r="E893" s="6" t="s">
        <v>4265</v>
      </c>
      <c r="F893" s="6" t="s">
        <v>363</v>
      </c>
      <c r="G893" s="6" t="s">
        <v>38</v>
      </c>
      <c r="H893" s="6" t="s">
        <v>216</v>
      </c>
      <c r="I893" s="6" t="s">
        <v>213</v>
      </c>
      <c r="J893" s="6" t="s">
        <v>105</v>
      </c>
      <c r="K893" s="6" t="s">
        <v>333</v>
      </c>
      <c r="L893" s="6" t="s">
        <v>2956</v>
      </c>
      <c r="M893" s="6" t="s">
        <v>5471</v>
      </c>
      <c r="N893" s="6" t="s">
        <v>5472</v>
      </c>
      <c r="O893" s="6" t="s">
        <v>5473</v>
      </c>
      <c r="P893" s="6">
        <v>23</v>
      </c>
      <c r="Q893" s="6">
        <v>24406563</v>
      </c>
      <c r="R893" s="6">
        <v>0.32</v>
      </c>
      <c r="S893" s="6">
        <v>0.17</v>
      </c>
      <c r="T893" s="6">
        <v>19417861.52</v>
      </c>
      <c r="U893" s="6">
        <v>14650271.960000001</v>
      </c>
      <c r="V893" s="6">
        <v>0.23</v>
      </c>
      <c r="W893" s="6">
        <v>0.18</v>
      </c>
      <c r="X893" s="6" t="s">
        <v>2957</v>
      </c>
      <c r="Y893" s="6">
        <v>3831804.77</v>
      </c>
      <c r="Z893" s="6">
        <v>1274373.3</v>
      </c>
      <c r="AA893" s="6">
        <v>90</v>
      </c>
      <c r="AB893" s="6">
        <v>33</v>
      </c>
      <c r="AC893" s="6" t="s">
        <v>329</v>
      </c>
      <c r="AD893" s="6" t="s">
        <v>354</v>
      </c>
      <c r="AE893" s="6">
        <v>0.56000000000000005</v>
      </c>
      <c r="AF893" s="6" t="s">
        <v>4294</v>
      </c>
      <c r="AG893" s="6">
        <v>0.15</v>
      </c>
      <c r="AH893" s="6">
        <v>0.06</v>
      </c>
      <c r="AI893" s="6">
        <v>5</v>
      </c>
      <c r="AJ893" s="6">
        <v>3478</v>
      </c>
      <c r="AK893" s="6">
        <v>2416256.9500000002</v>
      </c>
      <c r="AL893" s="6">
        <v>7652141.1200000001</v>
      </c>
      <c r="AM893" s="6" t="s">
        <v>391</v>
      </c>
      <c r="AN893" s="6" t="s">
        <v>356</v>
      </c>
      <c r="AO893" s="6">
        <v>71.8</v>
      </c>
      <c r="AP893" s="6" t="s">
        <v>4275</v>
      </c>
      <c r="AQ893" s="6" t="s">
        <v>392</v>
      </c>
      <c r="AR893" s="6" t="s">
        <v>186</v>
      </c>
      <c r="AS893" s="6" t="s">
        <v>188</v>
      </c>
    </row>
    <row r="894" spans="1:45" x14ac:dyDescent="0.3">
      <c r="A894" s="7" t="s">
        <v>2958</v>
      </c>
      <c r="B894" s="7" t="s">
        <v>4443</v>
      </c>
      <c r="C894" s="7" t="s">
        <v>269</v>
      </c>
      <c r="D894" s="7" t="s">
        <v>220</v>
      </c>
      <c r="E894" s="7"/>
      <c r="F894" s="7" t="s">
        <v>350</v>
      </c>
      <c r="G894" s="7" t="s">
        <v>38</v>
      </c>
      <c r="H894" s="7" t="s">
        <v>4271</v>
      </c>
      <c r="I894" s="7" t="s">
        <v>4291</v>
      </c>
      <c r="J894" s="7" t="s">
        <v>99</v>
      </c>
      <c r="K894" s="7" t="s">
        <v>221</v>
      </c>
      <c r="L894" s="7" t="s">
        <v>2959</v>
      </c>
      <c r="M894" s="7" t="s">
        <v>4300</v>
      </c>
      <c r="N894" s="7" t="s">
        <v>3815</v>
      </c>
      <c r="O894" s="7" t="s">
        <v>4168</v>
      </c>
      <c r="P894" s="7">
        <v>46</v>
      </c>
      <c r="Q894" s="7">
        <v>14307411</v>
      </c>
      <c r="R894" s="7">
        <v>0.23</v>
      </c>
      <c r="S894" s="7">
        <v>0.12</v>
      </c>
      <c r="T894" s="7">
        <v>12338711.25</v>
      </c>
      <c r="U894" s="7">
        <v>10326588.699999999</v>
      </c>
      <c r="V894" s="7">
        <v>0.35</v>
      </c>
      <c r="W894" s="7">
        <v>0.19</v>
      </c>
      <c r="X894" s="7"/>
      <c r="Y894" s="7">
        <v>3361838.1</v>
      </c>
      <c r="Z894" s="7">
        <v>1206758.05</v>
      </c>
      <c r="AA894" s="7">
        <v>60</v>
      </c>
      <c r="AB894" s="7">
        <v>131</v>
      </c>
      <c r="AC894" s="7" t="s">
        <v>347</v>
      </c>
      <c r="AD894" s="7" t="s">
        <v>455</v>
      </c>
      <c r="AE894" s="7">
        <v>0.25</v>
      </c>
      <c r="AF894" s="7" t="s">
        <v>4319</v>
      </c>
      <c r="AG894" s="7">
        <v>0.1</v>
      </c>
      <c r="AH894" s="7">
        <v>0.04</v>
      </c>
      <c r="AI894" s="7">
        <v>10</v>
      </c>
      <c r="AJ894" s="7">
        <v>1252</v>
      </c>
      <c r="AK894" s="7">
        <v>972583.73</v>
      </c>
      <c r="AL894" s="7">
        <v>3000468.33</v>
      </c>
      <c r="AM894" s="7"/>
      <c r="AN894" s="7" t="s">
        <v>330</v>
      </c>
      <c r="AO894" s="7">
        <v>86.2</v>
      </c>
      <c r="AP894" s="7">
        <v>48</v>
      </c>
      <c r="AQ894" s="7" t="s">
        <v>323</v>
      </c>
      <c r="AR894" s="7" t="s">
        <v>224</v>
      </c>
      <c r="AS894" s="7" t="s">
        <v>188</v>
      </c>
    </row>
    <row r="895" spans="1:45" x14ac:dyDescent="0.3">
      <c r="A895" s="6" t="s">
        <v>2960</v>
      </c>
      <c r="B895" s="6" t="s">
        <v>5474</v>
      </c>
      <c r="C895" s="6" t="s">
        <v>225</v>
      </c>
      <c r="D895" s="6" t="s">
        <v>281</v>
      </c>
      <c r="E895" s="6" t="s">
        <v>20</v>
      </c>
      <c r="F895" s="6" t="s">
        <v>35</v>
      </c>
      <c r="G895" s="6" t="s">
        <v>28</v>
      </c>
      <c r="H895" s="6" t="s">
        <v>216</v>
      </c>
      <c r="I895" s="6" t="s">
        <v>191</v>
      </c>
      <c r="J895" s="6" t="s">
        <v>136</v>
      </c>
      <c r="K895" s="6" t="s">
        <v>210</v>
      </c>
      <c r="L895" s="6" t="s">
        <v>2961</v>
      </c>
      <c r="M895" s="6" t="s">
        <v>5475</v>
      </c>
      <c r="N895" s="6" t="s">
        <v>2962</v>
      </c>
      <c r="O895" s="6" t="s">
        <v>4274</v>
      </c>
      <c r="P895" s="6">
        <v>20</v>
      </c>
      <c r="Q895" s="6">
        <v>1559751</v>
      </c>
      <c r="R895" s="6">
        <v>7.0000000000000007E-2</v>
      </c>
      <c r="S895" s="6">
        <v>0.17</v>
      </c>
      <c r="T895" s="6">
        <v>1697165.06</v>
      </c>
      <c r="U895" s="6">
        <v>1443305.83</v>
      </c>
      <c r="V895" s="6">
        <v>0.24</v>
      </c>
      <c r="W895" s="6">
        <v>0.12</v>
      </c>
      <c r="X895" s="6" t="s">
        <v>2963</v>
      </c>
      <c r="Y895" s="6">
        <v>1117379.82</v>
      </c>
      <c r="Z895" s="6">
        <v>522619.62</v>
      </c>
      <c r="AA895" s="6">
        <v>60</v>
      </c>
      <c r="AB895" s="6">
        <v>94</v>
      </c>
      <c r="AC895" s="6" t="s">
        <v>329</v>
      </c>
      <c r="AD895" s="6" t="s">
        <v>336</v>
      </c>
      <c r="AE895" s="6">
        <v>0.15</v>
      </c>
      <c r="AF895" s="6" t="s">
        <v>4319</v>
      </c>
      <c r="AG895" s="6">
        <v>0.05</v>
      </c>
      <c r="AH895" s="6">
        <v>0.09</v>
      </c>
      <c r="AI895" s="6">
        <v>13</v>
      </c>
      <c r="AJ895" s="6">
        <v>4970</v>
      </c>
      <c r="AK895" s="6">
        <v>103663.88</v>
      </c>
      <c r="AL895" s="6">
        <v>296123.37</v>
      </c>
      <c r="AM895" s="6" t="s">
        <v>321</v>
      </c>
      <c r="AN895" s="6" t="s">
        <v>348</v>
      </c>
      <c r="AO895" s="6">
        <v>51.6</v>
      </c>
      <c r="AP895" s="6">
        <v>48</v>
      </c>
      <c r="AQ895" s="6" t="s">
        <v>387</v>
      </c>
      <c r="AR895" s="6" t="s">
        <v>224</v>
      </c>
      <c r="AS895" s="6" t="s">
        <v>324</v>
      </c>
    </row>
    <row r="896" spans="1:45" x14ac:dyDescent="0.3">
      <c r="A896" s="7" t="s">
        <v>2964</v>
      </c>
      <c r="B896" s="7" t="s">
        <v>3885</v>
      </c>
      <c r="C896" s="7" t="s">
        <v>282</v>
      </c>
      <c r="D896" s="7" t="s">
        <v>262</v>
      </c>
      <c r="E896" s="7" t="s">
        <v>4265</v>
      </c>
      <c r="F896" s="7" t="s">
        <v>363</v>
      </c>
      <c r="G896" s="7" t="s">
        <v>46</v>
      </c>
      <c r="H896" s="7" t="s">
        <v>212</v>
      </c>
      <c r="I896" s="7" t="s">
        <v>213</v>
      </c>
      <c r="J896" s="6" t="s">
        <v>105</v>
      </c>
      <c r="K896" s="7" t="s">
        <v>221</v>
      </c>
      <c r="L896" s="7" t="s">
        <v>2965</v>
      </c>
      <c r="M896" s="7" t="s">
        <v>3280</v>
      </c>
      <c r="N896" s="7"/>
      <c r="O896" s="7" t="s">
        <v>4400</v>
      </c>
      <c r="P896" s="7" t="s">
        <v>4275</v>
      </c>
      <c r="Q896" s="7">
        <v>26164107</v>
      </c>
      <c r="R896" s="7">
        <v>0.28999999999999998</v>
      </c>
      <c r="S896" s="7">
        <v>0.09</v>
      </c>
      <c r="T896" s="7">
        <v>20248402.41</v>
      </c>
      <c r="U896" s="7">
        <v>15890515.130000001</v>
      </c>
      <c r="V896" s="7">
        <v>0.26</v>
      </c>
      <c r="W896" s="7">
        <v>0.06</v>
      </c>
      <c r="X896" s="7" t="s">
        <v>2966</v>
      </c>
      <c r="Y896" s="7">
        <v>4252885.51</v>
      </c>
      <c r="Z896" s="7">
        <v>1395278.18</v>
      </c>
      <c r="AA896" s="7">
        <v>60</v>
      </c>
      <c r="AB896" s="7">
        <v>114</v>
      </c>
      <c r="AC896" s="7"/>
      <c r="AD896" s="7" t="s">
        <v>226</v>
      </c>
      <c r="AE896" s="7">
        <v>0.13</v>
      </c>
      <c r="AF896" s="7" t="s">
        <v>4276</v>
      </c>
      <c r="AG896" s="7">
        <v>0.1</v>
      </c>
      <c r="AH896" s="7">
        <v>0.03</v>
      </c>
      <c r="AI896" s="7">
        <v>6</v>
      </c>
      <c r="AJ896" s="7">
        <v>3221</v>
      </c>
      <c r="AK896" s="7">
        <v>3230464.87</v>
      </c>
      <c r="AL896" s="7">
        <v>6273845.6100000003</v>
      </c>
      <c r="AM896" s="7" t="s">
        <v>391</v>
      </c>
      <c r="AN896" s="7" t="s">
        <v>356</v>
      </c>
      <c r="AO896" s="7">
        <v>74.099999999999994</v>
      </c>
      <c r="AP896" s="7">
        <v>60</v>
      </c>
      <c r="AQ896" s="7" t="s">
        <v>4275</v>
      </c>
      <c r="AR896" s="7" t="s">
        <v>229</v>
      </c>
      <c r="AS896" s="7" t="s">
        <v>361</v>
      </c>
    </row>
    <row r="897" spans="1:45" x14ac:dyDescent="0.3">
      <c r="A897" s="6" t="s">
        <v>2967</v>
      </c>
      <c r="B897" s="6" t="s">
        <v>5005</v>
      </c>
      <c r="C897" s="6" t="s">
        <v>247</v>
      </c>
      <c r="D897" s="6" t="s">
        <v>220</v>
      </c>
      <c r="E897" s="6" t="s">
        <v>4265</v>
      </c>
      <c r="F897" s="6"/>
      <c r="G897" s="6" t="s">
        <v>46</v>
      </c>
      <c r="H897" s="6" t="s">
        <v>4266</v>
      </c>
      <c r="I897" s="6" t="s">
        <v>4289</v>
      </c>
      <c r="J897" s="6" t="s">
        <v>105</v>
      </c>
      <c r="K897" s="6" t="s">
        <v>326</v>
      </c>
      <c r="L897" s="6" t="s">
        <v>2968</v>
      </c>
      <c r="M897" s="6" t="s">
        <v>3587</v>
      </c>
      <c r="N897" s="6" t="s">
        <v>5443</v>
      </c>
      <c r="O897" s="6" t="s">
        <v>5476</v>
      </c>
      <c r="P897" s="6" t="s">
        <v>4275</v>
      </c>
      <c r="Q897" s="6">
        <v>26290341</v>
      </c>
      <c r="R897" s="6">
        <v>0.05</v>
      </c>
      <c r="S897" s="6">
        <v>0.01</v>
      </c>
      <c r="T897" s="6">
        <v>25225582.190000001</v>
      </c>
      <c r="U897" s="6">
        <v>22050535.32</v>
      </c>
      <c r="V897" s="6">
        <v>0.28000000000000003</v>
      </c>
      <c r="W897" s="6">
        <v>0.11</v>
      </c>
      <c r="X897" s="6"/>
      <c r="Y897" s="6">
        <v>15400803.460000001</v>
      </c>
      <c r="Z897" s="6">
        <v>11995685.01</v>
      </c>
      <c r="AA897" s="6">
        <v>30</v>
      </c>
      <c r="AB897" s="6">
        <v>10</v>
      </c>
      <c r="AC897" s="6" t="s">
        <v>347</v>
      </c>
      <c r="AD897" s="6" t="s">
        <v>455</v>
      </c>
      <c r="AE897" s="6">
        <v>0.18</v>
      </c>
      <c r="AF897" s="6" t="s">
        <v>4303</v>
      </c>
      <c r="AG897" s="6">
        <v>0.05</v>
      </c>
      <c r="AH897" s="6">
        <v>0.04</v>
      </c>
      <c r="AI897" s="6">
        <v>3</v>
      </c>
      <c r="AJ897" s="6">
        <v>1703</v>
      </c>
      <c r="AK897" s="6">
        <v>5928556.1600000001</v>
      </c>
      <c r="AL897" s="6">
        <v>9428419.9600000009</v>
      </c>
      <c r="AM897" s="6" t="s">
        <v>355</v>
      </c>
      <c r="AN897" s="6"/>
      <c r="AO897" s="6">
        <v>54.2</v>
      </c>
      <c r="AP897" s="6">
        <v>24</v>
      </c>
      <c r="AQ897" s="6" t="s">
        <v>337</v>
      </c>
      <c r="AR897" s="6" t="s">
        <v>192</v>
      </c>
      <c r="AS897" s="6" t="s">
        <v>377</v>
      </c>
    </row>
    <row r="898" spans="1:45" x14ac:dyDescent="0.3">
      <c r="A898" s="7" t="s">
        <v>2969</v>
      </c>
      <c r="B898" s="7" t="s">
        <v>4649</v>
      </c>
      <c r="C898" s="7" t="s">
        <v>214</v>
      </c>
      <c r="D898" s="7" t="s">
        <v>220</v>
      </c>
      <c r="E898" s="7" t="s">
        <v>4270</v>
      </c>
      <c r="F898" s="7" t="s">
        <v>181</v>
      </c>
      <c r="G898" s="7" t="s">
        <v>54</v>
      </c>
      <c r="H898" s="7" t="s">
        <v>4271</v>
      </c>
      <c r="I898" s="7" t="s">
        <v>183</v>
      </c>
      <c r="J898" s="7" t="s">
        <v>127</v>
      </c>
      <c r="K898" s="7" t="s">
        <v>326</v>
      </c>
      <c r="L898" s="7" t="s">
        <v>2970</v>
      </c>
      <c r="M898" s="7" t="s">
        <v>4225</v>
      </c>
      <c r="N898" s="7"/>
      <c r="O898" s="7" t="s">
        <v>4226</v>
      </c>
      <c r="P898" s="7">
        <v>46</v>
      </c>
      <c r="Q898" s="7">
        <v>45855839</v>
      </c>
      <c r="R898" s="7">
        <v>0.03</v>
      </c>
      <c r="S898" s="7">
        <v>0.12</v>
      </c>
      <c r="T898" s="7">
        <v>49817783.490000002</v>
      </c>
      <c r="U898" s="7">
        <v>39654166.060000002</v>
      </c>
      <c r="V898" s="7">
        <v>0.3</v>
      </c>
      <c r="W898" s="7">
        <v>0.16</v>
      </c>
      <c r="X898" s="7" t="s">
        <v>2971</v>
      </c>
      <c r="Y898" s="7">
        <v>8584302.2699999996</v>
      </c>
      <c r="Z898" s="7">
        <v>4845227.0999999996</v>
      </c>
      <c r="AA898" s="7">
        <v>90</v>
      </c>
      <c r="AB898" s="7">
        <v>11</v>
      </c>
      <c r="AC898" s="7" t="s">
        <v>329</v>
      </c>
      <c r="AD898" s="7" t="s">
        <v>320</v>
      </c>
      <c r="AE898" s="7">
        <v>0.56999999999999995</v>
      </c>
      <c r="AF898" s="7" t="s">
        <v>4276</v>
      </c>
      <c r="AG898" s="7">
        <v>0.15</v>
      </c>
      <c r="AH898" s="7">
        <v>0.06</v>
      </c>
      <c r="AI898" s="7">
        <v>10</v>
      </c>
      <c r="AJ898" s="7"/>
      <c r="AK898" s="7">
        <v>7394047.6799999997</v>
      </c>
      <c r="AL898" s="7"/>
      <c r="AM898" s="7" t="s">
        <v>355</v>
      </c>
      <c r="AN898" s="7" t="s">
        <v>348</v>
      </c>
      <c r="AO898" s="7">
        <v>65.8</v>
      </c>
      <c r="AP898" s="7" t="s">
        <v>4275</v>
      </c>
      <c r="AQ898" s="7"/>
      <c r="AR898" s="7" t="s">
        <v>229</v>
      </c>
      <c r="AS898" s="7" t="s">
        <v>361</v>
      </c>
    </row>
    <row r="899" spans="1:45" x14ac:dyDescent="0.3">
      <c r="A899" s="6" t="s">
        <v>2972</v>
      </c>
      <c r="B899" s="6" t="s">
        <v>4712</v>
      </c>
      <c r="C899" s="6" t="s">
        <v>211</v>
      </c>
      <c r="D899" s="6"/>
      <c r="E899" s="6" t="s">
        <v>113</v>
      </c>
      <c r="F899" s="6" t="s">
        <v>181</v>
      </c>
      <c r="G899" s="6" t="s">
        <v>62</v>
      </c>
      <c r="H899" s="6"/>
      <c r="I899" s="6" t="s">
        <v>233</v>
      </c>
      <c r="J899" s="6" t="s">
        <v>123</v>
      </c>
      <c r="K899" s="6" t="s">
        <v>326</v>
      </c>
      <c r="L899" s="6" t="s">
        <v>2973</v>
      </c>
      <c r="M899" s="6" t="s">
        <v>5477</v>
      </c>
      <c r="N899" s="6" t="s">
        <v>4227</v>
      </c>
      <c r="O899" s="6" t="s">
        <v>4219</v>
      </c>
      <c r="P899" s="6" t="s">
        <v>4275</v>
      </c>
      <c r="Q899" s="6">
        <v>28026135</v>
      </c>
      <c r="R899" s="6">
        <v>0.1</v>
      </c>
      <c r="S899" s="6">
        <v>0.17</v>
      </c>
      <c r="T899" s="6">
        <v>29511520.149999999</v>
      </c>
      <c r="U899" s="6">
        <v>23439668.989999998</v>
      </c>
      <c r="V899" s="6">
        <v>0.1</v>
      </c>
      <c r="W899" s="6">
        <v>0.17</v>
      </c>
      <c r="X899" s="6"/>
      <c r="Y899" s="6">
        <v>5784123.7999999998</v>
      </c>
      <c r="Z899" s="6">
        <v>3641367.38</v>
      </c>
      <c r="AA899" s="6">
        <v>90</v>
      </c>
      <c r="AB899" s="6">
        <v>35</v>
      </c>
      <c r="AC899" s="6"/>
      <c r="AD899" s="6" t="s">
        <v>406</v>
      </c>
      <c r="AE899" s="6">
        <v>0.35</v>
      </c>
      <c r="AF899" s="6" t="s">
        <v>153</v>
      </c>
      <c r="AG899" s="6">
        <v>0.1</v>
      </c>
      <c r="AH899" s="6">
        <v>7.0000000000000007E-2</v>
      </c>
      <c r="AI899" s="6">
        <v>5</v>
      </c>
      <c r="AJ899" s="6">
        <v>330</v>
      </c>
      <c r="AK899" s="6">
        <v>3904076.27</v>
      </c>
      <c r="AL899" s="6">
        <v>10128123.380000001</v>
      </c>
      <c r="AM899" s="6"/>
      <c r="AN899" s="6"/>
      <c r="AO899" s="6">
        <v>56.1</v>
      </c>
      <c r="AP899" s="6">
        <v>60</v>
      </c>
      <c r="AQ899" s="6" t="s">
        <v>387</v>
      </c>
      <c r="AR899" s="6" t="s">
        <v>192</v>
      </c>
      <c r="AS899" s="6" t="s">
        <v>188</v>
      </c>
    </row>
    <row r="900" spans="1:45" x14ac:dyDescent="0.3">
      <c r="A900" s="7" t="s">
        <v>2974</v>
      </c>
      <c r="B900" s="7" t="s">
        <v>4459</v>
      </c>
      <c r="C900" s="7" t="s">
        <v>284</v>
      </c>
      <c r="D900" s="7" t="s">
        <v>242</v>
      </c>
      <c r="E900" s="7" t="s">
        <v>113</v>
      </c>
      <c r="F900" s="7" t="s">
        <v>181</v>
      </c>
      <c r="G900" s="7" t="s">
        <v>54</v>
      </c>
      <c r="H900" s="7" t="s">
        <v>182</v>
      </c>
      <c r="I900" s="7" t="s">
        <v>4291</v>
      </c>
      <c r="J900" s="7" t="s">
        <v>127</v>
      </c>
      <c r="K900" s="7" t="s">
        <v>210</v>
      </c>
      <c r="L900" s="7" t="s">
        <v>2975</v>
      </c>
      <c r="M900" s="7" t="s">
        <v>3746</v>
      </c>
      <c r="N900" s="7"/>
      <c r="O900" s="7" t="s">
        <v>4274</v>
      </c>
      <c r="P900" s="7">
        <v>17</v>
      </c>
      <c r="Q900" s="7">
        <v>21551062</v>
      </c>
      <c r="R900" s="7">
        <v>0.22</v>
      </c>
      <c r="S900" s="7">
        <v>-0.03</v>
      </c>
      <c r="T900" s="7">
        <v>16305533.51</v>
      </c>
      <c r="U900" s="7"/>
      <c r="V900" s="7">
        <v>0.35</v>
      </c>
      <c r="W900" s="7">
        <v>0.1</v>
      </c>
      <c r="X900" s="7" t="s">
        <v>2976</v>
      </c>
      <c r="Y900" s="7">
        <v>5549428.8700000001</v>
      </c>
      <c r="Z900" s="7">
        <v>2611449.19</v>
      </c>
      <c r="AA900" s="7">
        <v>30</v>
      </c>
      <c r="AB900" s="7">
        <v>113</v>
      </c>
      <c r="AC900" s="7" t="s">
        <v>376</v>
      </c>
      <c r="AD900" s="7" t="s">
        <v>226</v>
      </c>
      <c r="AE900" s="7">
        <v>0.1</v>
      </c>
      <c r="AF900" s="7" t="s">
        <v>4303</v>
      </c>
      <c r="AG900" s="7">
        <v>0.15</v>
      </c>
      <c r="AH900" s="7">
        <v>0.09</v>
      </c>
      <c r="AI900" s="7">
        <v>6</v>
      </c>
      <c r="AJ900" s="7">
        <v>560</v>
      </c>
      <c r="AK900" s="7">
        <v>3724753.91</v>
      </c>
      <c r="AL900" s="7"/>
      <c r="AM900" s="7"/>
      <c r="AN900" s="7" t="s">
        <v>330</v>
      </c>
      <c r="AO900" s="7">
        <v>90.4</v>
      </c>
      <c r="AP900" s="7">
        <v>12</v>
      </c>
      <c r="AQ900" s="7" t="s">
        <v>4275</v>
      </c>
      <c r="AR900" s="7" t="s">
        <v>186</v>
      </c>
      <c r="AS900" s="7" t="s">
        <v>361</v>
      </c>
    </row>
    <row r="901" spans="1:45" x14ac:dyDescent="0.3">
      <c r="A901" s="6" t="s">
        <v>2977</v>
      </c>
      <c r="B901" s="6" t="s">
        <v>4788</v>
      </c>
      <c r="C901" s="6" t="s">
        <v>230</v>
      </c>
      <c r="D901" s="6" t="s">
        <v>215</v>
      </c>
      <c r="E901" s="6" t="s">
        <v>4325</v>
      </c>
      <c r="F901" s="6"/>
      <c r="G901" s="6" t="s">
        <v>38</v>
      </c>
      <c r="H901" s="6"/>
      <c r="I901" s="6" t="s">
        <v>4307</v>
      </c>
      <c r="J901" s="6" t="s">
        <v>115</v>
      </c>
      <c r="K901" s="6" t="s">
        <v>326</v>
      </c>
      <c r="L901" s="6" t="s">
        <v>2978</v>
      </c>
      <c r="M901" s="6" t="s">
        <v>5478</v>
      </c>
      <c r="N901" s="6"/>
      <c r="O901" s="6" t="s">
        <v>4228</v>
      </c>
      <c r="P901" s="6">
        <v>51</v>
      </c>
      <c r="Q901" s="6">
        <v>9663399</v>
      </c>
      <c r="R901" s="6">
        <v>0.15</v>
      </c>
      <c r="S901" s="6">
        <v>0.06</v>
      </c>
      <c r="T901" s="6">
        <v>8706722.5</v>
      </c>
      <c r="U901" s="6">
        <v>5779200.3200000003</v>
      </c>
      <c r="V901" s="6">
        <v>0.28999999999999998</v>
      </c>
      <c r="W901" s="6">
        <v>0.17</v>
      </c>
      <c r="X901" s="6" t="s">
        <v>2979</v>
      </c>
      <c r="Y901" s="6">
        <v>1078547.33</v>
      </c>
      <c r="Z901" s="6">
        <v>584687.51</v>
      </c>
      <c r="AA901" s="6">
        <v>45</v>
      </c>
      <c r="AB901" s="6">
        <v>5</v>
      </c>
      <c r="AC901" s="6" t="s">
        <v>376</v>
      </c>
      <c r="AD901" s="6" t="s">
        <v>455</v>
      </c>
      <c r="AE901" s="6">
        <v>0.61</v>
      </c>
      <c r="AF901" s="6" t="s">
        <v>152</v>
      </c>
      <c r="AG901" s="6">
        <v>0.15</v>
      </c>
      <c r="AH901" s="6">
        <v>0.01</v>
      </c>
      <c r="AI901" s="6">
        <v>6</v>
      </c>
      <c r="AJ901" s="6">
        <v>4664</v>
      </c>
      <c r="AK901" s="6">
        <v>686103.53</v>
      </c>
      <c r="AL901" s="6">
        <v>2108023.4700000002</v>
      </c>
      <c r="AM901" s="6" t="s">
        <v>391</v>
      </c>
      <c r="AN901" s="6" t="s">
        <v>348</v>
      </c>
      <c r="AO901" s="6">
        <v>86.3</v>
      </c>
      <c r="AP901" s="6">
        <v>36</v>
      </c>
      <c r="AQ901" s="6" t="s">
        <v>392</v>
      </c>
      <c r="AR901" s="6" t="s">
        <v>206</v>
      </c>
      <c r="AS901" s="6" t="s">
        <v>361</v>
      </c>
    </row>
    <row r="902" spans="1:45" x14ac:dyDescent="0.3">
      <c r="A902" s="7" t="s">
        <v>1710</v>
      </c>
      <c r="B902" s="7" t="s">
        <v>4960</v>
      </c>
      <c r="C902" s="7" t="s">
        <v>214</v>
      </c>
      <c r="D902" s="7" t="s">
        <v>265</v>
      </c>
      <c r="E902" s="7" t="s">
        <v>52</v>
      </c>
      <c r="F902" s="7" t="s">
        <v>75</v>
      </c>
      <c r="G902" s="7" t="s">
        <v>28</v>
      </c>
      <c r="H902" s="7" t="s">
        <v>212</v>
      </c>
      <c r="I902" s="7" t="s">
        <v>240</v>
      </c>
      <c r="J902" s="7" t="s">
        <v>133</v>
      </c>
      <c r="K902" s="7" t="s">
        <v>210</v>
      </c>
      <c r="L902" s="7" t="s">
        <v>4229</v>
      </c>
      <c r="M902" s="7" t="s">
        <v>3959</v>
      </c>
      <c r="N902" s="7" t="s">
        <v>5479</v>
      </c>
      <c r="O902" s="7" t="s">
        <v>4274</v>
      </c>
      <c r="P902" s="7">
        <v>43</v>
      </c>
      <c r="Q902" s="7">
        <v>208275</v>
      </c>
      <c r="R902" s="7">
        <v>0.34</v>
      </c>
      <c r="S902" s="7">
        <v>0.05</v>
      </c>
      <c r="T902" s="7">
        <v>144334.57</v>
      </c>
      <c r="U902" s="7">
        <v>122156.11</v>
      </c>
      <c r="V902" s="7">
        <v>0.15</v>
      </c>
      <c r="W902" s="7">
        <v>0.12</v>
      </c>
      <c r="X902" s="7" t="s">
        <v>4230</v>
      </c>
      <c r="Y902" s="7">
        <v>8016.12</v>
      </c>
      <c r="Z902" s="7">
        <v>5183.01</v>
      </c>
      <c r="AA902" s="7">
        <v>30</v>
      </c>
      <c r="AB902" s="7">
        <v>37</v>
      </c>
      <c r="AC902" s="7" t="s">
        <v>342</v>
      </c>
      <c r="AD902" s="7" t="s">
        <v>354</v>
      </c>
      <c r="AE902" s="7">
        <v>0.23</v>
      </c>
      <c r="AF902" s="7" t="s">
        <v>4294</v>
      </c>
      <c r="AG902" s="7">
        <v>0.15</v>
      </c>
      <c r="AH902" s="7">
        <v>0.1</v>
      </c>
      <c r="AI902" s="7">
        <v>2</v>
      </c>
      <c r="AJ902" s="7">
        <v>2343</v>
      </c>
      <c r="AK902" s="7">
        <v>19035.28</v>
      </c>
      <c r="AL902" s="7">
        <v>68956.42</v>
      </c>
      <c r="AM902" s="7" t="s">
        <v>385</v>
      </c>
      <c r="AN902" s="7" t="s">
        <v>322</v>
      </c>
      <c r="AO902" s="7">
        <v>59.4</v>
      </c>
      <c r="AP902" s="7">
        <v>48</v>
      </c>
      <c r="AQ902" s="7" t="s">
        <v>387</v>
      </c>
      <c r="AR902" s="7" t="s">
        <v>206</v>
      </c>
      <c r="AS902" s="7" t="s">
        <v>188</v>
      </c>
    </row>
    <row r="903" spans="1:45" x14ac:dyDescent="0.3">
      <c r="A903" s="6" t="s">
        <v>2980</v>
      </c>
      <c r="B903" s="6" t="s">
        <v>4170</v>
      </c>
      <c r="C903" s="6" t="s">
        <v>270</v>
      </c>
      <c r="D903" s="6" t="s">
        <v>250</v>
      </c>
      <c r="E903" s="6"/>
      <c r="F903" s="6" t="s">
        <v>196</v>
      </c>
      <c r="G903" s="6" t="s">
        <v>54</v>
      </c>
      <c r="H903" s="6" t="s">
        <v>182</v>
      </c>
      <c r="I903" s="6" t="s">
        <v>191</v>
      </c>
      <c r="J903" s="6" t="s">
        <v>99</v>
      </c>
      <c r="K903" s="6" t="s">
        <v>223</v>
      </c>
      <c r="L903" s="6" t="s">
        <v>2981</v>
      </c>
      <c r="M903" s="6" t="s">
        <v>5480</v>
      </c>
      <c r="N903" s="6" t="s">
        <v>4231</v>
      </c>
      <c r="O903" s="6" t="s">
        <v>5481</v>
      </c>
      <c r="P903" s="6">
        <v>37</v>
      </c>
      <c r="Q903" s="6">
        <v>27603090</v>
      </c>
      <c r="R903" s="6">
        <v>0.25</v>
      </c>
      <c r="S903" s="6">
        <v>-0.05</v>
      </c>
      <c r="T903" s="6">
        <v>19667201.620000001</v>
      </c>
      <c r="U903" s="6">
        <v>17396908.07</v>
      </c>
      <c r="V903" s="6">
        <v>0.1</v>
      </c>
      <c r="W903" s="6">
        <v>0.05</v>
      </c>
      <c r="X903" s="6" t="s">
        <v>2982</v>
      </c>
      <c r="Y903" s="6">
        <v>14155519.630000001</v>
      </c>
      <c r="Z903" s="6">
        <v>12070913.98</v>
      </c>
      <c r="AA903" s="6">
        <v>45</v>
      </c>
      <c r="AB903" s="6">
        <v>57</v>
      </c>
      <c r="AC903" s="6" t="s">
        <v>342</v>
      </c>
      <c r="AD903" s="6" t="s">
        <v>336</v>
      </c>
      <c r="AE903" s="6">
        <v>0.17</v>
      </c>
      <c r="AF903" s="6" t="s">
        <v>4361</v>
      </c>
      <c r="AG903" s="6">
        <v>0.15</v>
      </c>
      <c r="AH903" s="6">
        <v>0.08</v>
      </c>
      <c r="AI903" s="6">
        <v>4</v>
      </c>
      <c r="AJ903" s="6">
        <v>3319</v>
      </c>
      <c r="AK903" s="6"/>
      <c r="AL903" s="6">
        <v>7893033.3399999999</v>
      </c>
      <c r="AM903" s="6" t="s">
        <v>391</v>
      </c>
      <c r="AN903" s="6" t="s">
        <v>330</v>
      </c>
      <c r="AO903" s="6">
        <v>59.2</v>
      </c>
      <c r="AP903" s="6">
        <v>48</v>
      </c>
      <c r="AQ903" s="6" t="s">
        <v>4275</v>
      </c>
      <c r="AR903" s="6" t="s">
        <v>224</v>
      </c>
      <c r="AS903" s="6" t="s">
        <v>357</v>
      </c>
    </row>
    <row r="904" spans="1:45" x14ac:dyDescent="0.3">
      <c r="A904" s="7" t="s">
        <v>2983</v>
      </c>
      <c r="B904" s="7" t="s">
        <v>5482</v>
      </c>
      <c r="C904" s="7" t="s">
        <v>211</v>
      </c>
      <c r="D904" s="7" t="s">
        <v>238</v>
      </c>
      <c r="E904" s="7" t="s">
        <v>4265</v>
      </c>
      <c r="F904" s="7" t="s">
        <v>228</v>
      </c>
      <c r="G904" s="7" t="s">
        <v>70</v>
      </c>
      <c r="H904" s="7" t="s">
        <v>4275</v>
      </c>
      <c r="I904" s="7" t="s">
        <v>183</v>
      </c>
      <c r="J904" s="7" t="s">
        <v>105</v>
      </c>
      <c r="K904" s="7" t="s">
        <v>221</v>
      </c>
      <c r="L904" s="7" t="s">
        <v>2984</v>
      </c>
      <c r="M904" s="7" t="s">
        <v>5479</v>
      </c>
      <c r="N904" s="7" t="s">
        <v>4979</v>
      </c>
      <c r="O904" s="7" t="s">
        <v>3523</v>
      </c>
      <c r="P904" s="7">
        <v>12</v>
      </c>
      <c r="Q904" s="7">
        <v>22839000</v>
      </c>
      <c r="R904" s="7">
        <v>0.33</v>
      </c>
      <c r="S904" s="7">
        <v>0.06</v>
      </c>
      <c r="T904" s="7">
        <v>16220257.800000001</v>
      </c>
      <c r="U904" s="7">
        <v>9903405.4100000001</v>
      </c>
      <c r="V904" s="7">
        <v>0.12</v>
      </c>
      <c r="W904" s="7">
        <v>0.17</v>
      </c>
      <c r="X904" s="7" t="s">
        <v>2985</v>
      </c>
      <c r="Y904" s="7">
        <v>9070861.7300000004</v>
      </c>
      <c r="Z904" s="7">
        <v>9332833.5500000007</v>
      </c>
      <c r="AA904" s="7">
        <v>120</v>
      </c>
      <c r="AB904" s="7">
        <v>86</v>
      </c>
      <c r="AC904" s="7" t="s">
        <v>376</v>
      </c>
      <c r="AD904" s="7" t="s">
        <v>320</v>
      </c>
      <c r="AE904" s="7">
        <v>0.8</v>
      </c>
      <c r="AF904" s="7" t="s">
        <v>155</v>
      </c>
      <c r="AG904" s="7">
        <v>0.05</v>
      </c>
      <c r="AH904" s="7">
        <v>0.05</v>
      </c>
      <c r="AI904" s="7">
        <v>0</v>
      </c>
      <c r="AJ904" s="7">
        <v>2953</v>
      </c>
      <c r="AK904" s="7"/>
      <c r="AL904" s="7">
        <v>7833132.7300000004</v>
      </c>
      <c r="AM904" s="7" t="s">
        <v>73</v>
      </c>
      <c r="AN904" s="7" t="s">
        <v>322</v>
      </c>
      <c r="AO904" s="7">
        <v>77.7</v>
      </c>
      <c r="AP904" s="7">
        <v>60</v>
      </c>
      <c r="AQ904" s="7" t="s">
        <v>392</v>
      </c>
      <c r="AR904" s="7" t="s">
        <v>224</v>
      </c>
      <c r="AS904" s="7" t="s">
        <v>324</v>
      </c>
    </row>
    <row r="905" spans="1:45" x14ac:dyDescent="0.3">
      <c r="A905" s="6" t="s">
        <v>2986</v>
      </c>
      <c r="B905" s="6" t="s">
        <v>4479</v>
      </c>
      <c r="C905" s="6" t="s">
        <v>286</v>
      </c>
      <c r="D905" s="6" t="s">
        <v>180</v>
      </c>
      <c r="E905" s="6" t="s">
        <v>41</v>
      </c>
      <c r="F905" s="6" t="s">
        <v>228</v>
      </c>
      <c r="G905" s="6" t="s">
        <v>73</v>
      </c>
      <c r="H905" s="6" t="s">
        <v>4280</v>
      </c>
      <c r="I905" s="6" t="s">
        <v>4289</v>
      </c>
      <c r="J905" s="6" t="s">
        <v>105</v>
      </c>
      <c r="K905" s="6" t="s">
        <v>184</v>
      </c>
      <c r="L905" s="6" t="s">
        <v>2987</v>
      </c>
      <c r="M905" s="6" t="s">
        <v>3400</v>
      </c>
      <c r="N905" s="6" t="s">
        <v>5483</v>
      </c>
      <c r="O905" s="6" t="s">
        <v>3374</v>
      </c>
      <c r="P905" s="6">
        <v>47</v>
      </c>
      <c r="Q905" s="6">
        <v>37196765</v>
      </c>
      <c r="R905" s="6">
        <v>0.35</v>
      </c>
      <c r="S905" s="6">
        <v>0.05</v>
      </c>
      <c r="T905" s="6">
        <v>25386792.109999999</v>
      </c>
      <c r="U905" s="6">
        <v>15615608.220000001</v>
      </c>
      <c r="V905" s="6">
        <v>0.23</v>
      </c>
      <c r="W905" s="6">
        <v>0.06</v>
      </c>
      <c r="X905" s="6" t="s">
        <v>2988</v>
      </c>
      <c r="Y905" s="6">
        <v>10712454.880000001</v>
      </c>
      <c r="Z905" s="6">
        <v>7785365.8799999999</v>
      </c>
      <c r="AA905" s="6">
        <v>45</v>
      </c>
      <c r="AB905" s="6">
        <v>63</v>
      </c>
      <c r="AC905" s="6"/>
      <c r="AD905" s="6" t="s">
        <v>381</v>
      </c>
      <c r="AE905" s="6">
        <v>0.42</v>
      </c>
      <c r="AF905" s="6" t="s">
        <v>4303</v>
      </c>
      <c r="AG905" s="6">
        <v>0.15</v>
      </c>
      <c r="AH905" s="6">
        <v>0.06</v>
      </c>
      <c r="AI905" s="6">
        <v>9</v>
      </c>
      <c r="AJ905" s="6">
        <v>2382</v>
      </c>
      <c r="AK905" s="6">
        <v>3889677.21</v>
      </c>
      <c r="AL905" s="6">
        <v>10203434.74</v>
      </c>
      <c r="AM905" s="6" t="s">
        <v>343</v>
      </c>
      <c r="AN905" s="6" t="s">
        <v>321</v>
      </c>
      <c r="AO905" s="6">
        <v>75.900000000000006</v>
      </c>
      <c r="AP905" s="6" t="s">
        <v>4275</v>
      </c>
      <c r="AQ905" s="6" t="s">
        <v>392</v>
      </c>
      <c r="AR905" s="6" t="s">
        <v>186</v>
      </c>
      <c r="AS905" s="6" t="s">
        <v>357</v>
      </c>
    </row>
    <row r="906" spans="1:45" x14ac:dyDescent="0.3">
      <c r="A906" s="7" t="s">
        <v>2989</v>
      </c>
      <c r="B906" s="7" t="s">
        <v>5484</v>
      </c>
      <c r="C906" s="7" t="s">
        <v>286</v>
      </c>
      <c r="D906" s="7" t="s">
        <v>255</v>
      </c>
      <c r="E906" s="7" t="s">
        <v>4376</v>
      </c>
      <c r="F906" s="7" t="s">
        <v>35</v>
      </c>
      <c r="G906" s="7" t="s">
        <v>66</v>
      </c>
      <c r="H906" s="7" t="s">
        <v>182</v>
      </c>
      <c r="I906" s="7" t="s">
        <v>191</v>
      </c>
      <c r="J906" s="7" t="s">
        <v>136</v>
      </c>
      <c r="K906" s="7" t="s">
        <v>326</v>
      </c>
      <c r="L906" s="7" t="s">
        <v>2990</v>
      </c>
      <c r="M906" s="7" t="s">
        <v>5485</v>
      </c>
      <c r="N906" s="7" t="s">
        <v>5326</v>
      </c>
      <c r="O906" s="7" t="s">
        <v>4232</v>
      </c>
      <c r="P906" s="7">
        <v>18</v>
      </c>
      <c r="Q906" s="7">
        <v>30705793</v>
      </c>
      <c r="R906" s="7">
        <v>0.27</v>
      </c>
      <c r="S906" s="7">
        <v>0.02</v>
      </c>
      <c r="T906" s="7">
        <v>22863533.469999999</v>
      </c>
      <c r="U906" s="7">
        <v>15061205.460000001</v>
      </c>
      <c r="V906" s="7" t="s">
        <v>4374</v>
      </c>
      <c r="W906" s="7">
        <v>0.19</v>
      </c>
      <c r="X906" s="7" t="s">
        <v>2991</v>
      </c>
      <c r="Y906" s="7">
        <v>19789683.699999999</v>
      </c>
      <c r="Z906" s="7">
        <v>6772779.9299999997</v>
      </c>
      <c r="AA906" s="7">
        <v>60</v>
      </c>
      <c r="AB906" s="7">
        <v>73</v>
      </c>
      <c r="AC906" s="7" t="s">
        <v>353</v>
      </c>
      <c r="AD906" s="7" t="s">
        <v>455</v>
      </c>
      <c r="AE906" s="7">
        <v>0.27</v>
      </c>
      <c r="AF906" s="7"/>
      <c r="AG906" s="7">
        <v>0.05</v>
      </c>
      <c r="AH906" s="7">
        <v>0.05</v>
      </c>
      <c r="AI906" s="7">
        <v>5</v>
      </c>
      <c r="AJ906" s="7">
        <v>1310</v>
      </c>
      <c r="AK906" s="7">
        <v>4943006.18</v>
      </c>
      <c r="AL906" s="7">
        <v>4735053.4800000004</v>
      </c>
      <c r="AM906" s="7" t="s">
        <v>343</v>
      </c>
      <c r="AN906" s="7" t="s">
        <v>386</v>
      </c>
      <c r="AO906" s="7">
        <v>83.2</v>
      </c>
      <c r="AP906" s="7">
        <v>24</v>
      </c>
      <c r="AQ906" s="7" t="s">
        <v>392</v>
      </c>
      <c r="AR906" s="7" t="s">
        <v>229</v>
      </c>
      <c r="AS906" s="7" t="s">
        <v>324</v>
      </c>
    </row>
    <row r="907" spans="1:45" x14ac:dyDescent="0.3">
      <c r="A907" s="6" t="s">
        <v>2992</v>
      </c>
      <c r="B907" s="6" t="s">
        <v>3491</v>
      </c>
      <c r="C907" s="6" t="s">
        <v>276</v>
      </c>
      <c r="D907" s="6" t="s">
        <v>250</v>
      </c>
      <c r="E907" s="6" t="s">
        <v>41</v>
      </c>
      <c r="F907" s="6" t="s">
        <v>363</v>
      </c>
      <c r="G907" s="6" t="s">
        <v>28</v>
      </c>
      <c r="H907" s="6" t="s">
        <v>4326</v>
      </c>
      <c r="I907" s="6" t="s">
        <v>4307</v>
      </c>
      <c r="J907" s="6" t="s">
        <v>130</v>
      </c>
      <c r="K907" s="6" t="s">
        <v>223</v>
      </c>
      <c r="L907" s="6" t="s">
        <v>2993</v>
      </c>
      <c r="M907" s="6" t="s">
        <v>3285</v>
      </c>
      <c r="N907" s="6" t="s">
        <v>3508</v>
      </c>
      <c r="O907" s="6" t="s">
        <v>3633</v>
      </c>
      <c r="P907" s="6">
        <v>5</v>
      </c>
      <c r="Q907" s="6">
        <v>21327276</v>
      </c>
      <c r="R907" s="6">
        <v>0.18</v>
      </c>
      <c r="S907" s="6">
        <v>-0.03</v>
      </c>
      <c r="T907" s="6">
        <v>16963715.329999998</v>
      </c>
      <c r="U907" s="6">
        <v>14076001.17</v>
      </c>
      <c r="V907" s="6">
        <v>0.36</v>
      </c>
      <c r="W907" s="6">
        <v>0.15</v>
      </c>
      <c r="X907" s="6" t="s">
        <v>2994</v>
      </c>
      <c r="Y907" s="6">
        <v>12368396.279999999</v>
      </c>
      <c r="Z907" s="6">
        <v>7780884.4100000001</v>
      </c>
      <c r="AA907" s="6">
        <v>60</v>
      </c>
      <c r="AB907" s="6">
        <v>112</v>
      </c>
      <c r="AC907" s="6" t="s">
        <v>347</v>
      </c>
      <c r="AD907" s="6" t="s">
        <v>354</v>
      </c>
      <c r="AE907" s="6">
        <v>0.44</v>
      </c>
      <c r="AF907" s="6" t="s">
        <v>153</v>
      </c>
      <c r="AG907" s="6">
        <v>0.15</v>
      </c>
      <c r="AH907" s="6">
        <v>0.03</v>
      </c>
      <c r="AI907" s="6">
        <v>15</v>
      </c>
      <c r="AJ907" s="6">
        <v>2227</v>
      </c>
      <c r="AK907" s="6">
        <v>2437782.19</v>
      </c>
      <c r="AL907" s="6">
        <v>6400408.7999999998</v>
      </c>
      <c r="AM907" s="6" t="s">
        <v>321</v>
      </c>
      <c r="AN907" s="6" t="s">
        <v>348</v>
      </c>
      <c r="AO907" s="6">
        <v>75.5</v>
      </c>
      <c r="AP907" s="6">
        <v>24</v>
      </c>
      <c r="AQ907" s="6" t="s">
        <v>387</v>
      </c>
      <c r="AR907" s="6" t="s">
        <v>192</v>
      </c>
      <c r="AS907" s="6"/>
    </row>
    <row r="908" spans="1:45" x14ac:dyDescent="0.3">
      <c r="A908" s="7" t="s">
        <v>2995</v>
      </c>
      <c r="B908" s="7" t="s">
        <v>5476</v>
      </c>
      <c r="C908" s="7" t="s">
        <v>283</v>
      </c>
      <c r="D908" s="7" t="s">
        <v>242</v>
      </c>
      <c r="E908" s="7" t="s">
        <v>4270</v>
      </c>
      <c r="F908" s="7"/>
      <c r="G908" s="7" t="s">
        <v>62</v>
      </c>
      <c r="H908" s="7" t="s">
        <v>216</v>
      </c>
      <c r="I908" s="7"/>
      <c r="J908" s="7" t="s">
        <v>123</v>
      </c>
      <c r="K908" s="7" t="s">
        <v>199</v>
      </c>
      <c r="L908" s="7" t="s">
        <v>2996</v>
      </c>
      <c r="M908" s="7" t="s">
        <v>5486</v>
      </c>
      <c r="N908" s="7" t="s">
        <v>5003</v>
      </c>
      <c r="O908" s="7" t="s">
        <v>4274</v>
      </c>
      <c r="P908" s="7">
        <v>9</v>
      </c>
      <c r="Q908" s="7">
        <v>37846756</v>
      </c>
      <c r="R908" s="7">
        <v>0.21</v>
      </c>
      <c r="S908" s="7">
        <v>7.0000000000000007E-2</v>
      </c>
      <c r="T908" s="7">
        <v>31991862.850000001</v>
      </c>
      <c r="U908" s="7">
        <v>25954721.829999998</v>
      </c>
      <c r="V908" s="7">
        <v>0.34</v>
      </c>
      <c r="W908" s="7">
        <v>0.08</v>
      </c>
      <c r="X908" s="7" t="s">
        <v>2997</v>
      </c>
      <c r="Y908" s="7">
        <v>25967762.66</v>
      </c>
      <c r="Z908" s="7" t="s">
        <v>4357</v>
      </c>
      <c r="AA908" s="7">
        <v>60</v>
      </c>
      <c r="AB908" s="7">
        <v>120</v>
      </c>
      <c r="AC908" s="7" t="s">
        <v>353</v>
      </c>
      <c r="AD908" s="7" t="s">
        <v>226</v>
      </c>
      <c r="AE908" s="7">
        <v>0.53</v>
      </c>
      <c r="AF908" s="7" t="s">
        <v>4319</v>
      </c>
      <c r="AG908" s="7">
        <v>0.15</v>
      </c>
      <c r="AH908" s="7">
        <v>0.08</v>
      </c>
      <c r="AI908" s="7">
        <v>2</v>
      </c>
      <c r="AJ908" s="7">
        <v>2254</v>
      </c>
      <c r="AK908" s="7">
        <v>2914484.57</v>
      </c>
      <c r="AL908" s="7">
        <v>10013769.18</v>
      </c>
      <c r="AM908" s="7" t="s">
        <v>385</v>
      </c>
      <c r="AN908" s="7" t="s">
        <v>356</v>
      </c>
      <c r="AO908" s="7">
        <v>54.6</v>
      </c>
      <c r="AP908" s="7">
        <v>24</v>
      </c>
      <c r="AQ908" s="7" t="s">
        <v>337</v>
      </c>
      <c r="AR908" s="7" t="s">
        <v>192</v>
      </c>
      <c r="AS908" s="7" t="s">
        <v>324</v>
      </c>
    </row>
    <row r="909" spans="1:45" x14ac:dyDescent="0.3">
      <c r="A909" s="6" t="s">
        <v>2998</v>
      </c>
      <c r="B909" s="6" t="s">
        <v>5487</v>
      </c>
      <c r="C909" s="6" t="s">
        <v>208</v>
      </c>
      <c r="D909" s="6" t="s">
        <v>245</v>
      </c>
      <c r="E909" s="6" t="s">
        <v>113</v>
      </c>
      <c r="F909" s="6" t="s">
        <v>181</v>
      </c>
      <c r="G909" s="6" t="s">
        <v>33</v>
      </c>
      <c r="H909" s="6" t="s">
        <v>4326</v>
      </c>
      <c r="I909" s="6" t="s">
        <v>198</v>
      </c>
      <c r="J909" s="6" t="s">
        <v>127</v>
      </c>
      <c r="K909" s="6" t="s">
        <v>199</v>
      </c>
      <c r="L909" s="6" t="s">
        <v>2999</v>
      </c>
      <c r="M909" s="6" t="s">
        <v>5404</v>
      </c>
      <c r="N909" s="6" t="s">
        <v>4233</v>
      </c>
      <c r="O909" s="6" t="s">
        <v>4583</v>
      </c>
      <c r="P909" s="6">
        <v>22</v>
      </c>
      <c r="Q909" s="6">
        <v>39844200</v>
      </c>
      <c r="R909" s="6">
        <v>0.16</v>
      </c>
      <c r="S909" s="6">
        <v>0.08</v>
      </c>
      <c r="T909" s="6">
        <v>36146658.240000002</v>
      </c>
      <c r="U909" s="6">
        <v>31649602.719999999</v>
      </c>
      <c r="V909" s="6">
        <v>0.23</v>
      </c>
      <c r="W909" s="6">
        <v>0.13</v>
      </c>
      <c r="X909" s="6" t="s">
        <v>3000</v>
      </c>
      <c r="Y909" s="6">
        <v>24248187.690000001</v>
      </c>
      <c r="Z909" s="6">
        <v>11660045.880000001</v>
      </c>
      <c r="AA909" s="6">
        <v>60</v>
      </c>
      <c r="AB909" s="6">
        <v>93</v>
      </c>
      <c r="AC909" s="6" t="s">
        <v>376</v>
      </c>
      <c r="AD909" s="6" t="s">
        <v>455</v>
      </c>
      <c r="AE909" s="6">
        <v>0.06</v>
      </c>
      <c r="AF909" s="6" t="s">
        <v>162</v>
      </c>
      <c r="AG909" s="6">
        <v>0.1</v>
      </c>
      <c r="AH909" s="6">
        <v>0.02</v>
      </c>
      <c r="AI909" s="6">
        <v>11</v>
      </c>
      <c r="AJ909" s="6">
        <v>3040</v>
      </c>
      <c r="AK909" s="6">
        <v>7794931.6299999999</v>
      </c>
      <c r="AL909" s="6">
        <v>14545934.630000001</v>
      </c>
      <c r="AM909" s="6" t="s">
        <v>355</v>
      </c>
      <c r="AN909" s="6" t="s">
        <v>348</v>
      </c>
      <c r="AO909" s="6">
        <v>57</v>
      </c>
      <c r="AP909" s="6">
        <v>24</v>
      </c>
      <c r="AQ909" s="6"/>
      <c r="AR909" s="6" t="s">
        <v>206</v>
      </c>
      <c r="AS909" s="6" t="s">
        <v>377</v>
      </c>
    </row>
    <row r="910" spans="1:45" x14ac:dyDescent="0.3">
      <c r="A910" s="7" t="s">
        <v>3001</v>
      </c>
      <c r="B910" s="7" t="s">
        <v>4234</v>
      </c>
      <c r="C910" s="7" t="s">
        <v>235</v>
      </c>
      <c r="D910" s="7" t="s">
        <v>245</v>
      </c>
      <c r="E910" s="7" t="s">
        <v>4325</v>
      </c>
      <c r="F910" s="7" t="s">
        <v>19</v>
      </c>
      <c r="G910" s="7" t="s">
        <v>16</v>
      </c>
      <c r="H910" s="7" t="s">
        <v>263</v>
      </c>
      <c r="I910" s="7" t="s">
        <v>246</v>
      </c>
      <c r="J910" s="7" t="s">
        <v>115</v>
      </c>
      <c r="K910" s="7" t="s">
        <v>221</v>
      </c>
      <c r="L910" s="7" t="s">
        <v>3002</v>
      </c>
      <c r="M910" s="7" t="s">
        <v>5404</v>
      </c>
      <c r="N910" s="7" t="s">
        <v>5283</v>
      </c>
      <c r="O910" s="7" t="s">
        <v>5488</v>
      </c>
      <c r="P910" s="7" t="s">
        <v>4275</v>
      </c>
      <c r="Q910" s="7">
        <v>27591556</v>
      </c>
      <c r="R910" s="7">
        <v>0.01</v>
      </c>
      <c r="S910" s="7">
        <v>0.12</v>
      </c>
      <c r="T910" s="7">
        <v>30593517.289999999</v>
      </c>
      <c r="U910" s="7">
        <v>21716984.850000001</v>
      </c>
      <c r="V910" s="7">
        <v>0.34</v>
      </c>
      <c r="W910" s="7">
        <v>0.17</v>
      </c>
      <c r="X910" s="7" t="s">
        <v>3003</v>
      </c>
      <c r="Y910" s="7">
        <v>8616041.8499999996</v>
      </c>
      <c r="Z910" s="7">
        <v>7251459.0099999998</v>
      </c>
      <c r="AA910" s="7">
        <v>60</v>
      </c>
      <c r="AB910" s="7">
        <v>29</v>
      </c>
      <c r="AC910" s="7" t="s">
        <v>342</v>
      </c>
      <c r="AD910" s="7" t="s">
        <v>336</v>
      </c>
      <c r="AE910" s="7">
        <v>0.5</v>
      </c>
      <c r="AF910" s="7" t="s">
        <v>153</v>
      </c>
      <c r="AG910" s="7">
        <v>0.15</v>
      </c>
      <c r="AH910" s="7">
        <v>0.02</v>
      </c>
      <c r="AI910" s="7">
        <v>6</v>
      </c>
      <c r="AJ910" s="7">
        <v>2289</v>
      </c>
      <c r="AK910" s="7">
        <v>3626220.39</v>
      </c>
      <c r="AL910" s="7">
        <v>8194085.1399999997</v>
      </c>
      <c r="AM910" s="7"/>
      <c r="AN910" s="7"/>
      <c r="AO910" s="7">
        <v>69.400000000000006</v>
      </c>
      <c r="AP910" s="7" t="s">
        <v>4275</v>
      </c>
      <c r="AQ910" s="7" t="s">
        <v>323</v>
      </c>
      <c r="AR910" s="7" t="s">
        <v>192</v>
      </c>
      <c r="AS910" s="7"/>
    </row>
    <row r="911" spans="1:45" x14ac:dyDescent="0.3">
      <c r="A911" s="6" t="s">
        <v>3004</v>
      </c>
      <c r="B911" s="6" t="s">
        <v>5256</v>
      </c>
      <c r="C911" s="6" t="s">
        <v>260</v>
      </c>
      <c r="D911" s="6" t="s">
        <v>190</v>
      </c>
      <c r="E911" s="6" t="s">
        <v>113</v>
      </c>
      <c r="F911" s="6" t="s">
        <v>181</v>
      </c>
      <c r="G911" s="6" t="s">
        <v>28</v>
      </c>
      <c r="H911" s="6" t="s">
        <v>4275</v>
      </c>
      <c r="I911" s="6" t="s">
        <v>233</v>
      </c>
      <c r="J911" s="6" t="s">
        <v>123</v>
      </c>
      <c r="K911" s="6" t="s">
        <v>221</v>
      </c>
      <c r="L911" s="6" t="s">
        <v>3005</v>
      </c>
      <c r="M911" s="6" t="s">
        <v>4983</v>
      </c>
      <c r="N911" s="6" t="s">
        <v>5456</v>
      </c>
      <c r="O911" s="6" t="s">
        <v>4235</v>
      </c>
      <c r="P911" s="6" t="s">
        <v>4275</v>
      </c>
      <c r="Q911" s="6">
        <v>1404536</v>
      </c>
      <c r="R911" s="6">
        <v>0.05</v>
      </c>
      <c r="S911" s="6">
        <v>0.12</v>
      </c>
      <c r="T911" s="6">
        <v>1494426.3</v>
      </c>
      <c r="U911" s="6">
        <v>1237384.6100000001</v>
      </c>
      <c r="V911" s="6">
        <v>0.23</v>
      </c>
      <c r="W911" s="6">
        <v>0.19</v>
      </c>
      <c r="X911" s="6" t="s">
        <v>3006</v>
      </c>
      <c r="Y911" s="6">
        <v>97195.79</v>
      </c>
      <c r="Z911" s="6">
        <v>55409.16</v>
      </c>
      <c r="AA911" s="6">
        <v>120</v>
      </c>
      <c r="AB911" s="6">
        <v>146</v>
      </c>
      <c r="AC911" s="6"/>
      <c r="AD911" s="6" t="s">
        <v>320</v>
      </c>
      <c r="AE911" s="6">
        <v>0.23</v>
      </c>
      <c r="AF911" s="6" t="s">
        <v>159</v>
      </c>
      <c r="AG911" s="6">
        <v>0.1</v>
      </c>
      <c r="AH911" s="6">
        <v>0.06</v>
      </c>
      <c r="AI911" s="6">
        <v>15</v>
      </c>
      <c r="AJ911" s="6">
        <v>1329</v>
      </c>
      <c r="AK911" s="6">
        <v>330373.53000000003</v>
      </c>
      <c r="AL911" s="6">
        <v>472349.98</v>
      </c>
      <c r="AM911" s="6" t="s">
        <v>355</v>
      </c>
      <c r="AN911" s="6"/>
      <c r="AO911" s="6"/>
      <c r="AP911" s="6">
        <v>12</v>
      </c>
      <c r="AQ911" s="6"/>
      <c r="AR911" s="6" t="s">
        <v>206</v>
      </c>
      <c r="AS911" s="6" t="s">
        <v>357</v>
      </c>
    </row>
    <row r="912" spans="1:45" x14ac:dyDescent="0.3">
      <c r="A912" s="7" t="s">
        <v>3007</v>
      </c>
      <c r="B912" s="7" t="s">
        <v>5489</v>
      </c>
      <c r="C912" s="7" t="s">
        <v>264</v>
      </c>
      <c r="D912" s="7" t="s">
        <v>262</v>
      </c>
      <c r="E912" s="7" t="s">
        <v>4265</v>
      </c>
      <c r="F912" s="7" t="s">
        <v>363</v>
      </c>
      <c r="G912" s="7" t="s">
        <v>16</v>
      </c>
      <c r="H912" s="7" t="s">
        <v>197</v>
      </c>
      <c r="I912" s="7" t="s">
        <v>233</v>
      </c>
      <c r="J912" s="6" t="s">
        <v>105</v>
      </c>
      <c r="K912" s="7" t="s">
        <v>184</v>
      </c>
      <c r="L912" s="7" t="s">
        <v>3008</v>
      </c>
      <c r="M912" s="7" t="s">
        <v>5490</v>
      </c>
      <c r="N912" s="7" t="s">
        <v>5491</v>
      </c>
      <c r="O912" s="7" t="s">
        <v>4236</v>
      </c>
      <c r="P912" s="7">
        <v>7</v>
      </c>
      <c r="Q912" s="7">
        <v>14776894</v>
      </c>
      <c r="R912" s="7">
        <v>0.01</v>
      </c>
      <c r="S912" s="7">
        <v>-0.05</v>
      </c>
      <c r="T912" s="7">
        <v>13897668.810000001</v>
      </c>
      <c r="U912" s="7">
        <v>11518527.33</v>
      </c>
      <c r="V912" s="7">
        <v>0.23</v>
      </c>
      <c r="W912" s="7">
        <v>0.08</v>
      </c>
      <c r="X912" s="7" t="s">
        <v>3009</v>
      </c>
      <c r="Y912" s="7">
        <v>781798.88</v>
      </c>
      <c r="Z912" s="7">
        <v>389196.97</v>
      </c>
      <c r="AA912" s="7">
        <v>90</v>
      </c>
      <c r="AB912" s="7">
        <v>89</v>
      </c>
      <c r="AC912" s="7" t="s">
        <v>347</v>
      </c>
      <c r="AD912" s="7" t="s">
        <v>354</v>
      </c>
      <c r="AE912" s="7">
        <v>0.56999999999999995</v>
      </c>
      <c r="AF912" s="7" t="s">
        <v>4276</v>
      </c>
      <c r="AG912" s="7">
        <v>0.15</v>
      </c>
      <c r="AH912" s="7">
        <v>0.09</v>
      </c>
      <c r="AI912" s="7">
        <v>0</v>
      </c>
      <c r="AJ912" s="7">
        <v>4816</v>
      </c>
      <c r="AK912" s="7">
        <v>1603401.33</v>
      </c>
      <c r="AL912" s="7">
        <v>2467398.2000000002</v>
      </c>
      <c r="AM912" s="7" t="s">
        <v>391</v>
      </c>
      <c r="AN912" s="7" t="s">
        <v>348</v>
      </c>
      <c r="AO912" s="7">
        <v>63.3</v>
      </c>
      <c r="AP912" s="7">
        <v>48</v>
      </c>
      <c r="AQ912" s="7" t="s">
        <v>337</v>
      </c>
      <c r="AR912" s="7" t="s">
        <v>206</v>
      </c>
      <c r="AS912" s="7" t="s">
        <v>357</v>
      </c>
    </row>
    <row r="913" spans="1:45" x14ac:dyDescent="0.3">
      <c r="A913" s="6" t="s">
        <v>3010</v>
      </c>
      <c r="B913" s="6" t="s">
        <v>5492</v>
      </c>
      <c r="C913" s="6" t="s">
        <v>195</v>
      </c>
      <c r="D913" s="6" t="s">
        <v>202</v>
      </c>
      <c r="E913" s="6" t="s">
        <v>4325</v>
      </c>
      <c r="F913" s="6"/>
      <c r="G913" s="6" t="s">
        <v>23</v>
      </c>
      <c r="H913" s="6"/>
      <c r="I913" s="6" t="s">
        <v>191</v>
      </c>
      <c r="J913" s="6" t="s">
        <v>115</v>
      </c>
      <c r="K913" s="6" t="s">
        <v>184</v>
      </c>
      <c r="L913" s="6" t="s">
        <v>3011</v>
      </c>
      <c r="M913" s="6" t="s">
        <v>3346</v>
      </c>
      <c r="N913" s="6"/>
      <c r="O913" s="6" t="s">
        <v>4135</v>
      </c>
      <c r="P913" s="6">
        <v>54</v>
      </c>
      <c r="Q913" s="6">
        <v>20275732</v>
      </c>
      <c r="R913" s="6">
        <v>0.33</v>
      </c>
      <c r="S913" s="6">
        <v>0.15</v>
      </c>
      <c r="T913" s="6">
        <v>15622451.51</v>
      </c>
      <c r="U913" s="6">
        <v>13473412.98</v>
      </c>
      <c r="V913" s="6">
        <v>0.24</v>
      </c>
      <c r="W913" s="6">
        <v>0.17</v>
      </c>
      <c r="X913" s="6" t="s">
        <v>3012</v>
      </c>
      <c r="Y913" s="6">
        <v>9929570.0199999996</v>
      </c>
      <c r="Z913" s="6">
        <v>7926046.2199999997</v>
      </c>
      <c r="AA913" s="6">
        <v>60</v>
      </c>
      <c r="AB913" s="6">
        <v>70</v>
      </c>
      <c r="AC913" s="6" t="s">
        <v>353</v>
      </c>
      <c r="AD913" s="6" t="s">
        <v>455</v>
      </c>
      <c r="AE913" s="6">
        <v>0.71</v>
      </c>
      <c r="AF913" s="6" t="s">
        <v>155</v>
      </c>
      <c r="AG913" s="6">
        <v>0.15</v>
      </c>
      <c r="AH913" s="6">
        <v>7.0000000000000007E-2</v>
      </c>
      <c r="AI913" s="6">
        <v>2</v>
      </c>
      <c r="AJ913" s="6"/>
      <c r="AK913" s="6">
        <v>2374855.08</v>
      </c>
      <c r="AL913" s="6">
        <v>2817674.71</v>
      </c>
      <c r="AM913" s="6"/>
      <c r="AN913" s="6" t="s">
        <v>330</v>
      </c>
      <c r="AO913" s="6">
        <v>98</v>
      </c>
      <c r="AP913" s="6">
        <v>48</v>
      </c>
      <c r="AQ913" s="6" t="s">
        <v>337</v>
      </c>
      <c r="AR913" s="6" t="s">
        <v>224</v>
      </c>
      <c r="AS913" s="6" t="s">
        <v>357</v>
      </c>
    </row>
    <row r="914" spans="1:45" x14ac:dyDescent="0.3">
      <c r="A914" s="7" t="s">
        <v>3013</v>
      </c>
      <c r="B914" s="7" t="s">
        <v>3759</v>
      </c>
      <c r="C914" s="7" t="s">
        <v>258</v>
      </c>
      <c r="D914" s="7" t="s">
        <v>190</v>
      </c>
      <c r="E914" s="7" t="s">
        <v>4270</v>
      </c>
      <c r="F914" s="7" t="s">
        <v>367</v>
      </c>
      <c r="G914" s="7" t="s">
        <v>28</v>
      </c>
      <c r="H914" s="7" t="s">
        <v>212</v>
      </c>
      <c r="I914" s="7" t="s">
        <v>246</v>
      </c>
      <c r="J914" s="7" t="s">
        <v>111</v>
      </c>
      <c r="K914" s="7" t="s">
        <v>221</v>
      </c>
      <c r="L914" s="7" t="s">
        <v>3014</v>
      </c>
      <c r="M914" s="7" t="s">
        <v>5493</v>
      </c>
      <c r="N914" s="7"/>
      <c r="O914" s="7" t="s">
        <v>5290</v>
      </c>
      <c r="P914" s="7">
        <v>35</v>
      </c>
      <c r="Q914" s="7">
        <v>42036956</v>
      </c>
      <c r="R914" s="7">
        <v>0.28999999999999998</v>
      </c>
      <c r="S914" s="7">
        <v>0.15</v>
      </c>
      <c r="T914" s="7">
        <v>34323174.57</v>
      </c>
      <c r="U914" s="7">
        <v>29890923.050000001</v>
      </c>
      <c r="V914" s="7">
        <v>0.11</v>
      </c>
      <c r="W914" s="7">
        <v>0.06</v>
      </c>
      <c r="X914" s="7" t="s">
        <v>3015</v>
      </c>
      <c r="Y914" s="7">
        <v>26761563.449999999</v>
      </c>
      <c r="Z914" s="7">
        <v>12562827.08</v>
      </c>
      <c r="AA914" s="7">
        <v>45</v>
      </c>
      <c r="AB914" s="7">
        <v>140</v>
      </c>
      <c r="AC914" s="7" t="s">
        <v>376</v>
      </c>
      <c r="AD914" s="7" t="s">
        <v>320</v>
      </c>
      <c r="AE914" s="7">
        <v>0.67</v>
      </c>
      <c r="AF914" s="7" t="s">
        <v>4319</v>
      </c>
      <c r="AG914" s="7">
        <v>0.05</v>
      </c>
      <c r="AH914" s="7">
        <v>0.09</v>
      </c>
      <c r="AI914" s="7">
        <v>9</v>
      </c>
      <c r="AJ914" s="7">
        <v>3180</v>
      </c>
      <c r="AK914" s="7">
        <v>1489508.29</v>
      </c>
      <c r="AL914" s="7">
        <v>13289267.58</v>
      </c>
      <c r="AM914" s="7" t="s">
        <v>355</v>
      </c>
      <c r="AN914" s="7" t="s">
        <v>356</v>
      </c>
      <c r="AO914" s="7">
        <v>52.1</v>
      </c>
      <c r="AP914" s="7">
        <v>48</v>
      </c>
      <c r="AQ914" s="7" t="s">
        <v>4275</v>
      </c>
      <c r="AR914" s="7" t="s">
        <v>206</v>
      </c>
      <c r="AS914" s="7"/>
    </row>
    <row r="915" spans="1:45" x14ac:dyDescent="0.3">
      <c r="A915" s="6" t="s">
        <v>3016</v>
      </c>
      <c r="B915" s="6" t="s">
        <v>4237</v>
      </c>
      <c r="C915" s="6" t="s">
        <v>195</v>
      </c>
      <c r="D915" s="6" t="s">
        <v>250</v>
      </c>
      <c r="E915" s="6" t="s">
        <v>4325</v>
      </c>
      <c r="F915" s="6" t="s">
        <v>339</v>
      </c>
      <c r="G915" s="6" t="s">
        <v>28</v>
      </c>
      <c r="H915" s="6" t="s">
        <v>197</v>
      </c>
      <c r="I915" s="6" t="s">
        <v>246</v>
      </c>
      <c r="J915" s="6" t="s">
        <v>115</v>
      </c>
      <c r="K915" s="6" t="s">
        <v>223</v>
      </c>
      <c r="L915" s="6" t="s">
        <v>3017</v>
      </c>
      <c r="M915" s="6" t="s">
        <v>4459</v>
      </c>
      <c r="N915" s="6"/>
      <c r="O915" s="6" t="s">
        <v>4274</v>
      </c>
      <c r="P915" s="6">
        <v>20</v>
      </c>
      <c r="Q915" s="6">
        <v>18918714</v>
      </c>
      <c r="R915" s="6">
        <v>0.14000000000000001</v>
      </c>
      <c r="S915" s="6">
        <v>0.05</v>
      </c>
      <c r="T915" s="6">
        <v>17083598.739999998</v>
      </c>
      <c r="U915" s="6">
        <v>12435682</v>
      </c>
      <c r="V915" s="6">
        <v>0.32</v>
      </c>
      <c r="W915" s="6">
        <v>0.15</v>
      </c>
      <c r="X915" s="6" t="s">
        <v>3018</v>
      </c>
      <c r="Y915" s="6">
        <v>7611867.6299999999</v>
      </c>
      <c r="Z915" s="6">
        <v>5917121.8700000001</v>
      </c>
      <c r="AA915" s="6">
        <v>60</v>
      </c>
      <c r="AB915" s="6">
        <v>31</v>
      </c>
      <c r="AC915" s="6" t="s">
        <v>376</v>
      </c>
      <c r="AD915" s="6" t="s">
        <v>406</v>
      </c>
      <c r="AE915" s="6">
        <v>0.14000000000000001</v>
      </c>
      <c r="AF915" s="6"/>
      <c r="AG915" s="6">
        <v>0.05</v>
      </c>
      <c r="AH915" s="6">
        <v>0.03</v>
      </c>
      <c r="AI915" s="6">
        <v>11</v>
      </c>
      <c r="AJ915" s="6">
        <v>1277</v>
      </c>
      <c r="AK915" s="6">
        <v>3898108.55</v>
      </c>
      <c r="AL915" s="6">
        <v>2827434.32</v>
      </c>
      <c r="AM915" s="6" t="s">
        <v>391</v>
      </c>
      <c r="AN915" s="6" t="s">
        <v>321</v>
      </c>
      <c r="AO915" s="6">
        <v>68.7</v>
      </c>
      <c r="AP915" s="6">
        <v>60</v>
      </c>
      <c r="AQ915" s="6" t="s">
        <v>392</v>
      </c>
      <c r="AR915" s="6" t="s">
        <v>224</v>
      </c>
      <c r="AS915" s="6" t="s">
        <v>324</v>
      </c>
    </row>
    <row r="916" spans="1:45" x14ac:dyDescent="0.3">
      <c r="A916" s="7" t="s">
        <v>3019</v>
      </c>
      <c r="B916" s="7" t="s">
        <v>4136</v>
      </c>
      <c r="C916" s="7" t="s">
        <v>251</v>
      </c>
      <c r="D916" s="7" t="s">
        <v>202</v>
      </c>
      <c r="E916" s="7" t="s">
        <v>113</v>
      </c>
      <c r="F916" s="7" t="s">
        <v>181</v>
      </c>
      <c r="G916" s="7" t="s">
        <v>38</v>
      </c>
      <c r="H916" s="7" t="s">
        <v>4266</v>
      </c>
      <c r="I916" s="7" t="s">
        <v>4307</v>
      </c>
      <c r="J916" s="7" t="s">
        <v>127</v>
      </c>
      <c r="K916" s="7" t="s">
        <v>223</v>
      </c>
      <c r="L916" s="7" t="s">
        <v>3020</v>
      </c>
      <c r="M916" s="7" t="s">
        <v>3913</v>
      </c>
      <c r="N916" s="7"/>
      <c r="O916" s="7" t="s">
        <v>5292</v>
      </c>
      <c r="P916" s="7">
        <v>44</v>
      </c>
      <c r="Q916" s="7">
        <v>2162132</v>
      </c>
      <c r="R916" s="7">
        <v>0.05</v>
      </c>
      <c r="S916" s="7">
        <v>0.01</v>
      </c>
      <c r="T916" s="7">
        <v>2074565.65</v>
      </c>
      <c r="U916" s="7">
        <v>1620851.9</v>
      </c>
      <c r="V916" s="7">
        <v>0.3</v>
      </c>
      <c r="W916" s="7">
        <v>0.18</v>
      </c>
      <c r="X916" s="7" t="s">
        <v>3021</v>
      </c>
      <c r="Y916" s="7">
        <v>946816.05</v>
      </c>
      <c r="Z916" s="7">
        <v>581283.26</v>
      </c>
      <c r="AA916" s="7">
        <v>30</v>
      </c>
      <c r="AB916" s="7">
        <v>171</v>
      </c>
      <c r="AC916" s="7" t="s">
        <v>329</v>
      </c>
      <c r="AD916" s="7" t="s">
        <v>354</v>
      </c>
      <c r="AE916" s="7">
        <v>0.48</v>
      </c>
      <c r="AF916" s="7" t="s">
        <v>162</v>
      </c>
      <c r="AG916" s="7">
        <v>0.05</v>
      </c>
      <c r="AH916" s="7">
        <v>7.0000000000000007E-2</v>
      </c>
      <c r="AI916" s="7">
        <v>6</v>
      </c>
      <c r="AJ916" s="7">
        <v>2785</v>
      </c>
      <c r="AK916" s="7">
        <v>250954.79</v>
      </c>
      <c r="AL916" s="7">
        <v>889229.02</v>
      </c>
      <c r="AM916" s="7"/>
      <c r="AN916" s="7" t="s">
        <v>330</v>
      </c>
      <c r="AO916" s="7">
        <v>93.4</v>
      </c>
      <c r="AP916" s="7">
        <v>60</v>
      </c>
      <c r="AQ916" s="7" t="s">
        <v>4275</v>
      </c>
      <c r="AR916" s="7" t="s">
        <v>206</v>
      </c>
      <c r="AS916" s="7" t="s">
        <v>357</v>
      </c>
    </row>
    <row r="917" spans="1:45" x14ac:dyDescent="0.3">
      <c r="A917" s="6" t="s">
        <v>3022</v>
      </c>
      <c r="B917" s="6" t="s">
        <v>3802</v>
      </c>
      <c r="C917" s="6" t="s">
        <v>239</v>
      </c>
      <c r="D917" s="6" t="s">
        <v>238</v>
      </c>
      <c r="E917" s="6" t="s">
        <v>52</v>
      </c>
      <c r="F917" s="6" t="s">
        <v>75</v>
      </c>
      <c r="G917" s="6" t="s">
        <v>57</v>
      </c>
      <c r="H917" s="6" t="s">
        <v>4340</v>
      </c>
      <c r="I917" s="6" t="s">
        <v>246</v>
      </c>
      <c r="J917" s="7" t="s">
        <v>119</v>
      </c>
      <c r="K917" s="6" t="s">
        <v>326</v>
      </c>
      <c r="L917" s="6" t="s">
        <v>3023</v>
      </c>
      <c r="M917" s="6" t="s">
        <v>4544</v>
      </c>
      <c r="N917" s="6" t="s">
        <v>5494</v>
      </c>
      <c r="O917" s="6" t="s">
        <v>4274</v>
      </c>
      <c r="P917" s="6">
        <v>31</v>
      </c>
      <c r="Q917" s="6">
        <v>8752336</v>
      </c>
      <c r="R917" s="6">
        <v>0.3</v>
      </c>
      <c r="S917" s="6">
        <v>0.1</v>
      </c>
      <c r="T917" s="6">
        <v>6739298.7199999997</v>
      </c>
      <c r="U917" s="6">
        <v>6061096.2800000003</v>
      </c>
      <c r="V917" s="6">
        <v>0.11</v>
      </c>
      <c r="W917" s="6">
        <v>0.12</v>
      </c>
      <c r="X917" s="6" t="s">
        <v>3024</v>
      </c>
      <c r="Y917" s="6">
        <v>3541966.3</v>
      </c>
      <c r="Z917" s="6">
        <v>2091763.7</v>
      </c>
      <c r="AA917" s="6">
        <v>90</v>
      </c>
      <c r="AB917" s="6">
        <v>89</v>
      </c>
      <c r="AC917" s="6" t="s">
        <v>353</v>
      </c>
      <c r="AD917" s="6" t="s">
        <v>354</v>
      </c>
      <c r="AE917" s="6">
        <v>0.19</v>
      </c>
      <c r="AF917" s="6" t="s">
        <v>4319</v>
      </c>
      <c r="AG917" s="6">
        <v>0.15</v>
      </c>
      <c r="AH917" s="6">
        <v>0.06</v>
      </c>
      <c r="AI917" s="6">
        <v>6</v>
      </c>
      <c r="AJ917" s="6">
        <v>4285</v>
      </c>
      <c r="AK917" s="6">
        <v>813849.32</v>
      </c>
      <c r="AL917" s="6">
        <v>1436077.68</v>
      </c>
      <c r="AM917" s="6" t="s">
        <v>73</v>
      </c>
      <c r="AN917" s="6" t="s">
        <v>348</v>
      </c>
      <c r="AO917" s="6">
        <v>98.4</v>
      </c>
      <c r="AP917" s="6">
        <v>12</v>
      </c>
      <c r="AQ917" s="6"/>
      <c r="AR917" s="6" t="s">
        <v>206</v>
      </c>
      <c r="AS917" s="6"/>
    </row>
    <row r="918" spans="1:45" x14ac:dyDescent="0.3">
      <c r="A918" s="7" t="s">
        <v>3025</v>
      </c>
      <c r="B918" s="7" t="s">
        <v>4588</v>
      </c>
      <c r="C918" s="7" t="s">
        <v>280</v>
      </c>
      <c r="D918" s="7" t="s">
        <v>274</v>
      </c>
      <c r="E918" s="7"/>
      <c r="F918" s="7"/>
      <c r="G918" s="7" t="s">
        <v>33</v>
      </c>
      <c r="H918" s="7" t="s">
        <v>263</v>
      </c>
      <c r="I918" s="7" t="s">
        <v>191</v>
      </c>
      <c r="J918" s="7" t="s">
        <v>99</v>
      </c>
      <c r="K918" s="7" t="s">
        <v>326</v>
      </c>
      <c r="L918" s="7" t="s">
        <v>3026</v>
      </c>
      <c r="M918" s="7" t="s">
        <v>4194</v>
      </c>
      <c r="N918" s="7" t="s">
        <v>4642</v>
      </c>
      <c r="O918" s="7" t="s">
        <v>5495</v>
      </c>
      <c r="P918" s="7">
        <v>9</v>
      </c>
      <c r="Q918" s="7">
        <v>27274391</v>
      </c>
      <c r="R918" s="7">
        <v>7.0000000000000007E-2</v>
      </c>
      <c r="S918" s="7">
        <v>0.16</v>
      </c>
      <c r="T918" s="7">
        <v>29423613.010000002</v>
      </c>
      <c r="U918" s="7">
        <v>24714633.719999999</v>
      </c>
      <c r="V918" s="7">
        <v>0.25</v>
      </c>
      <c r="W918" s="7">
        <v>0.14000000000000001</v>
      </c>
      <c r="X918" s="7" t="s">
        <v>3027</v>
      </c>
      <c r="Y918" s="7">
        <v>11606515.289999999</v>
      </c>
      <c r="Z918" s="7">
        <v>5913441.8700000001</v>
      </c>
      <c r="AA918" s="7">
        <v>90</v>
      </c>
      <c r="AB918" s="7">
        <v>85</v>
      </c>
      <c r="AC918" s="7" t="s">
        <v>353</v>
      </c>
      <c r="AD918" s="7" t="s">
        <v>381</v>
      </c>
      <c r="AE918" s="7">
        <v>0.14000000000000001</v>
      </c>
      <c r="AF918" s="7" t="s">
        <v>152</v>
      </c>
      <c r="AG918" s="7">
        <v>0.15</v>
      </c>
      <c r="AH918" s="7">
        <v>0.05</v>
      </c>
      <c r="AI918" s="7">
        <v>10</v>
      </c>
      <c r="AJ918" s="7">
        <v>1361</v>
      </c>
      <c r="AK918" s="7">
        <v>2674481.25</v>
      </c>
      <c r="AL918" s="7">
        <v>6037286.8099999996</v>
      </c>
      <c r="AM918" s="7" t="s">
        <v>355</v>
      </c>
      <c r="AN918" s="7" t="s">
        <v>330</v>
      </c>
      <c r="AO918" s="7"/>
      <c r="AP918" s="7">
        <v>36</v>
      </c>
      <c r="AQ918" s="7"/>
      <c r="AR918" s="7" t="s">
        <v>229</v>
      </c>
      <c r="AS918" s="7" t="s">
        <v>324</v>
      </c>
    </row>
    <row r="919" spans="1:45" x14ac:dyDescent="0.3">
      <c r="A919" s="6" t="s">
        <v>3028</v>
      </c>
      <c r="B919" s="6" t="s">
        <v>4595</v>
      </c>
      <c r="C919" s="6" t="s">
        <v>222</v>
      </c>
      <c r="D919" s="6" t="s">
        <v>562</v>
      </c>
      <c r="E919" s="6" t="s">
        <v>4265</v>
      </c>
      <c r="F919" s="6" t="s">
        <v>350</v>
      </c>
      <c r="G919" s="6" t="s">
        <v>54</v>
      </c>
      <c r="H919" s="6"/>
      <c r="I919" s="6" t="s">
        <v>203</v>
      </c>
      <c r="J919" s="6" t="s">
        <v>130</v>
      </c>
      <c r="K919" s="6" t="s">
        <v>199</v>
      </c>
      <c r="L919" s="6" t="s">
        <v>3029</v>
      </c>
      <c r="M919" s="6" t="s">
        <v>5251</v>
      </c>
      <c r="N919" s="6" t="s">
        <v>5496</v>
      </c>
      <c r="O919" s="6" t="s">
        <v>5497</v>
      </c>
      <c r="P919" s="6">
        <v>44</v>
      </c>
      <c r="Q919" s="6">
        <v>30555862</v>
      </c>
      <c r="R919" s="6">
        <v>0.34</v>
      </c>
      <c r="S919" s="6">
        <v>0.19</v>
      </c>
      <c r="T919" s="6">
        <v>23998574.010000002</v>
      </c>
      <c r="U919" s="6">
        <v>18433794.02</v>
      </c>
      <c r="V919" s="6">
        <v>0.26</v>
      </c>
      <c r="W919" s="6">
        <v>0.08</v>
      </c>
      <c r="X919" s="6" t="s">
        <v>3030</v>
      </c>
      <c r="Y919" s="6">
        <v>5191079.8899999997</v>
      </c>
      <c r="Z919" s="6">
        <v>2874475.05</v>
      </c>
      <c r="AA919" s="6">
        <v>90</v>
      </c>
      <c r="AB919" s="6">
        <v>140</v>
      </c>
      <c r="AC919" s="6" t="s">
        <v>376</v>
      </c>
      <c r="AD919" s="6" t="s">
        <v>226</v>
      </c>
      <c r="AE919" s="6">
        <v>0.27</v>
      </c>
      <c r="AF919" s="6" t="s">
        <v>152</v>
      </c>
      <c r="AG919" s="6">
        <v>0.05</v>
      </c>
      <c r="AH919" s="6">
        <v>0.09</v>
      </c>
      <c r="AI919" s="6">
        <v>5</v>
      </c>
      <c r="AJ919" s="6">
        <v>2161</v>
      </c>
      <c r="AK919" s="6">
        <v>1854182.58</v>
      </c>
      <c r="AL919" s="6">
        <v>8554384.9800000004</v>
      </c>
      <c r="AM919" s="6" t="s">
        <v>391</v>
      </c>
      <c r="AN919" s="6" t="s">
        <v>356</v>
      </c>
      <c r="AO919" s="6">
        <v>53.3</v>
      </c>
      <c r="AP919" s="6">
        <v>48</v>
      </c>
      <c r="AQ919" s="6" t="s">
        <v>392</v>
      </c>
      <c r="AR919" s="6" t="s">
        <v>229</v>
      </c>
      <c r="AS919" s="6" t="s">
        <v>357</v>
      </c>
    </row>
    <row r="920" spans="1:45" x14ac:dyDescent="0.3">
      <c r="A920" s="7" t="s">
        <v>3031</v>
      </c>
      <c r="B920" s="7" t="s">
        <v>5498</v>
      </c>
      <c r="C920" s="7" t="s">
        <v>270</v>
      </c>
      <c r="D920" s="7" t="s">
        <v>265</v>
      </c>
      <c r="E920" s="7" t="s">
        <v>20</v>
      </c>
      <c r="F920" s="7" t="s">
        <v>31</v>
      </c>
      <c r="G920" s="7" t="s">
        <v>57</v>
      </c>
      <c r="H920" s="7" t="s">
        <v>212</v>
      </c>
      <c r="I920" s="7" t="s">
        <v>213</v>
      </c>
      <c r="J920" s="7" t="s">
        <v>136</v>
      </c>
      <c r="K920" s="7" t="s">
        <v>326</v>
      </c>
      <c r="L920" s="7" t="s">
        <v>3032</v>
      </c>
      <c r="M920" s="7" t="s">
        <v>3823</v>
      </c>
      <c r="N920" s="7" t="s">
        <v>4238</v>
      </c>
      <c r="O920" s="7" t="s">
        <v>4274</v>
      </c>
      <c r="P920" s="7">
        <v>51</v>
      </c>
      <c r="Q920" s="7">
        <v>34457400</v>
      </c>
      <c r="R920" s="7">
        <v>0.1</v>
      </c>
      <c r="S920" s="7">
        <v>0.03</v>
      </c>
      <c r="T920" s="7">
        <v>31942009.800000001</v>
      </c>
      <c r="U920" s="7">
        <v>27865456.120000001</v>
      </c>
      <c r="V920" s="7">
        <v>0.08</v>
      </c>
      <c r="W920" s="7">
        <v>0.16</v>
      </c>
      <c r="X920" s="7" t="s">
        <v>3033</v>
      </c>
      <c r="Y920" s="7">
        <v>5443679.4900000002</v>
      </c>
      <c r="Z920" s="7">
        <v>2099208.2200000002</v>
      </c>
      <c r="AA920" s="7">
        <v>45</v>
      </c>
      <c r="AB920" s="7">
        <v>120</v>
      </c>
      <c r="AC920" s="7" t="s">
        <v>329</v>
      </c>
      <c r="AD920" s="7" t="s">
        <v>336</v>
      </c>
      <c r="AE920" s="7">
        <v>0.1</v>
      </c>
      <c r="AF920" s="7" t="s">
        <v>4312</v>
      </c>
      <c r="AG920" s="7">
        <v>0.05</v>
      </c>
      <c r="AH920" s="7">
        <v>0.03</v>
      </c>
      <c r="AI920" s="7">
        <v>9</v>
      </c>
      <c r="AJ920" s="7">
        <v>4809</v>
      </c>
      <c r="AK920" s="7">
        <v>4805281.92</v>
      </c>
      <c r="AL920" s="7"/>
      <c r="AM920" s="7" t="s">
        <v>343</v>
      </c>
      <c r="AN920" s="7" t="s">
        <v>356</v>
      </c>
      <c r="AO920" s="7">
        <v>57</v>
      </c>
      <c r="AP920" s="7">
        <v>12</v>
      </c>
      <c r="AQ920" s="7" t="s">
        <v>323</v>
      </c>
      <c r="AR920" s="7" t="s">
        <v>206</v>
      </c>
      <c r="AS920" s="7" t="s">
        <v>361</v>
      </c>
    </row>
    <row r="921" spans="1:45" x14ac:dyDescent="0.3">
      <c r="A921" s="6" t="s">
        <v>3034</v>
      </c>
      <c r="B921" s="6" t="s">
        <v>4920</v>
      </c>
      <c r="C921" s="6" t="s">
        <v>284</v>
      </c>
      <c r="D921" s="6" t="s">
        <v>562</v>
      </c>
      <c r="E921" s="6" t="s">
        <v>36</v>
      </c>
      <c r="F921" s="6" t="s">
        <v>19</v>
      </c>
      <c r="G921" s="6"/>
      <c r="H921" s="6" t="s">
        <v>4266</v>
      </c>
      <c r="I921" s="6"/>
      <c r="J921" s="6" t="s">
        <v>115</v>
      </c>
      <c r="K921" s="6" t="s">
        <v>199</v>
      </c>
      <c r="L921" s="6" t="s">
        <v>3035</v>
      </c>
      <c r="M921" s="6" t="s">
        <v>4712</v>
      </c>
      <c r="N921" s="6"/>
      <c r="O921" s="6" t="s">
        <v>4998</v>
      </c>
      <c r="P921" s="6">
        <v>43</v>
      </c>
      <c r="Q921" s="6">
        <v>5452347</v>
      </c>
      <c r="R921" s="6">
        <v>0.08</v>
      </c>
      <c r="S921" s="6">
        <v>0.08</v>
      </c>
      <c r="T921" s="6">
        <v>5417451.9800000004</v>
      </c>
      <c r="U921" s="6">
        <v>4512379.5999999996</v>
      </c>
      <c r="V921" s="6">
        <v>0.4</v>
      </c>
      <c r="W921" s="6">
        <v>7.0000000000000007E-2</v>
      </c>
      <c r="X921" s="6" t="s">
        <v>3036</v>
      </c>
      <c r="Y921" s="6">
        <v>418451.4</v>
      </c>
      <c r="Z921" s="6">
        <v>222835.55</v>
      </c>
      <c r="AA921" s="6">
        <v>30</v>
      </c>
      <c r="AB921" s="6">
        <v>100</v>
      </c>
      <c r="AC921" s="6" t="s">
        <v>376</v>
      </c>
      <c r="AD921" s="6" t="s">
        <v>226</v>
      </c>
      <c r="AE921" s="6">
        <v>0.68</v>
      </c>
      <c r="AF921" s="6" t="s">
        <v>4294</v>
      </c>
      <c r="AG921" s="6">
        <v>0.05</v>
      </c>
      <c r="AH921" s="6">
        <v>0.1</v>
      </c>
      <c r="AI921" s="6">
        <v>15</v>
      </c>
      <c r="AJ921" s="6">
        <v>3570</v>
      </c>
      <c r="AK921" s="6">
        <v>707811.98</v>
      </c>
      <c r="AL921" s="6"/>
      <c r="AM921" s="6" t="s">
        <v>343</v>
      </c>
      <c r="AN921" s="6" t="s">
        <v>322</v>
      </c>
      <c r="AO921" s="6">
        <v>83.2</v>
      </c>
      <c r="AP921" s="6">
        <v>36</v>
      </c>
      <c r="AQ921" s="6" t="s">
        <v>387</v>
      </c>
      <c r="AR921" s="6" t="s">
        <v>186</v>
      </c>
      <c r="AS921" s="6" t="s">
        <v>188</v>
      </c>
    </row>
    <row r="922" spans="1:45" x14ac:dyDescent="0.3">
      <c r="A922" s="7" t="s">
        <v>3037</v>
      </c>
      <c r="B922" s="7" t="s">
        <v>3822</v>
      </c>
      <c r="C922" s="7" t="s">
        <v>268</v>
      </c>
      <c r="D922" s="7"/>
      <c r="E922" s="7" t="s">
        <v>4265</v>
      </c>
      <c r="F922" s="7" t="s">
        <v>228</v>
      </c>
      <c r="G922" s="7" t="s">
        <v>57</v>
      </c>
      <c r="H922" s="7" t="s">
        <v>216</v>
      </c>
      <c r="I922" s="7" t="s">
        <v>4272</v>
      </c>
      <c r="J922" s="6" t="s">
        <v>130</v>
      </c>
      <c r="K922" s="7" t="s">
        <v>326</v>
      </c>
      <c r="L922" s="7" t="s">
        <v>3038</v>
      </c>
      <c r="M922" s="7" t="s">
        <v>5069</v>
      </c>
      <c r="N922" s="7" t="s">
        <v>4239</v>
      </c>
      <c r="O922" s="7" t="s">
        <v>5499</v>
      </c>
      <c r="P922" s="7">
        <v>55</v>
      </c>
      <c r="Q922" s="7">
        <v>41322125</v>
      </c>
      <c r="R922" s="7">
        <v>0.15</v>
      </c>
      <c r="S922" s="7">
        <v>-0.01</v>
      </c>
      <c r="T922" s="7">
        <v>34772568.189999998</v>
      </c>
      <c r="U922" s="7">
        <v>28542661.420000002</v>
      </c>
      <c r="V922" s="7">
        <v>0.16</v>
      </c>
      <c r="W922" s="7">
        <v>0.14000000000000001</v>
      </c>
      <c r="X922" s="7" t="s">
        <v>3039</v>
      </c>
      <c r="Y922" s="7">
        <v>9761356.3800000008</v>
      </c>
      <c r="Z922" s="7">
        <v>3656012.61</v>
      </c>
      <c r="AA922" s="7">
        <v>45</v>
      </c>
      <c r="AB922" s="7">
        <v>175</v>
      </c>
      <c r="AC922" s="7" t="s">
        <v>342</v>
      </c>
      <c r="AD922" s="7" t="s">
        <v>336</v>
      </c>
      <c r="AE922" s="7">
        <v>0.68</v>
      </c>
      <c r="AF922" s="7" t="s">
        <v>4312</v>
      </c>
      <c r="AG922" s="7">
        <v>0.05</v>
      </c>
      <c r="AH922" s="7">
        <v>0.02</v>
      </c>
      <c r="AI922" s="7">
        <v>11</v>
      </c>
      <c r="AJ922" s="7">
        <v>3411</v>
      </c>
      <c r="AK922" s="7">
        <v>7364119.9299999997</v>
      </c>
      <c r="AL922" s="7">
        <v>12848822.279999999</v>
      </c>
      <c r="AM922" s="7" t="s">
        <v>355</v>
      </c>
      <c r="AN922" s="7" t="s">
        <v>330</v>
      </c>
      <c r="AO922" s="7"/>
      <c r="AP922" s="7">
        <v>24</v>
      </c>
      <c r="AQ922" s="7" t="s">
        <v>4275</v>
      </c>
      <c r="AR922" s="7" t="s">
        <v>206</v>
      </c>
      <c r="AS922" s="7" t="s">
        <v>188</v>
      </c>
    </row>
    <row r="923" spans="1:45" x14ac:dyDescent="0.3">
      <c r="A923" s="6" t="s">
        <v>3040</v>
      </c>
      <c r="B923" s="6" t="s">
        <v>3688</v>
      </c>
      <c r="C923" s="6" t="s">
        <v>227</v>
      </c>
      <c r="D923" s="6" t="s">
        <v>562</v>
      </c>
      <c r="E923" s="6" t="s">
        <v>41</v>
      </c>
      <c r="F923" s="6" t="s">
        <v>350</v>
      </c>
      <c r="G923" s="6" t="s">
        <v>28</v>
      </c>
      <c r="H923" s="6" t="s">
        <v>4280</v>
      </c>
      <c r="I923" s="6" t="s">
        <v>183</v>
      </c>
      <c r="J923" s="6" t="s">
        <v>105</v>
      </c>
      <c r="K923" s="6" t="s">
        <v>184</v>
      </c>
      <c r="L923" s="6" t="s">
        <v>3041</v>
      </c>
      <c r="M923" s="6" t="s">
        <v>5500</v>
      </c>
      <c r="N923" s="6" t="s">
        <v>4203</v>
      </c>
      <c r="O923" s="6" t="s">
        <v>5501</v>
      </c>
      <c r="P923" s="6">
        <v>30</v>
      </c>
      <c r="Q923" s="6">
        <v>28883967</v>
      </c>
      <c r="R923" s="6">
        <v>0.19</v>
      </c>
      <c r="S923" s="6">
        <v>0.04</v>
      </c>
      <c r="T923" s="6">
        <v>24331853.800000001</v>
      </c>
      <c r="U923" s="6">
        <v>21415229.739999998</v>
      </c>
      <c r="V923" s="6">
        <v>0.3</v>
      </c>
      <c r="W923" s="6">
        <v>0.1</v>
      </c>
      <c r="X923" s="6" t="s">
        <v>3042</v>
      </c>
      <c r="Y923" s="6">
        <v>5636883.1600000001</v>
      </c>
      <c r="Z923" s="6">
        <v>2139967.4700000002</v>
      </c>
      <c r="AA923" s="6">
        <v>30</v>
      </c>
      <c r="AB923" s="6">
        <v>147</v>
      </c>
      <c r="AC923" s="6" t="s">
        <v>329</v>
      </c>
      <c r="AD923" s="6" t="s">
        <v>336</v>
      </c>
      <c r="AE923" s="6">
        <v>0.06</v>
      </c>
      <c r="AF923" s="6" t="s">
        <v>4361</v>
      </c>
      <c r="AG923" s="6">
        <v>0.1</v>
      </c>
      <c r="AH923" s="6">
        <v>0.06</v>
      </c>
      <c r="AI923" s="6">
        <v>11</v>
      </c>
      <c r="AJ923" s="6">
        <v>31</v>
      </c>
      <c r="AK923" s="6">
        <v>4310448.53</v>
      </c>
      <c r="AL923" s="6">
        <v>10430280.199999999</v>
      </c>
      <c r="AM923" s="6"/>
      <c r="AN923" s="6" t="s">
        <v>330</v>
      </c>
      <c r="AO923" s="6"/>
      <c r="AP923" s="6">
        <v>36</v>
      </c>
      <c r="AQ923" s="6" t="s">
        <v>337</v>
      </c>
      <c r="AR923" s="6" t="s">
        <v>206</v>
      </c>
      <c r="AS923" s="6" t="s">
        <v>377</v>
      </c>
    </row>
    <row r="924" spans="1:45" x14ac:dyDescent="0.3">
      <c r="A924" s="7" t="s">
        <v>3043</v>
      </c>
      <c r="B924" s="7" t="s">
        <v>4675</v>
      </c>
      <c r="C924" s="7" t="s">
        <v>271</v>
      </c>
      <c r="D924" s="7" t="s">
        <v>262</v>
      </c>
      <c r="E924" s="7" t="s">
        <v>20</v>
      </c>
      <c r="F924" s="7" t="s">
        <v>35</v>
      </c>
      <c r="G924" s="7" t="s">
        <v>28</v>
      </c>
      <c r="H924" s="7" t="s">
        <v>236</v>
      </c>
      <c r="I924" s="7" t="s">
        <v>198</v>
      </c>
      <c r="J924" s="7" t="s">
        <v>136</v>
      </c>
      <c r="K924" s="7" t="s">
        <v>184</v>
      </c>
      <c r="L924" s="7" t="s">
        <v>3044</v>
      </c>
      <c r="M924" s="7" t="s">
        <v>3505</v>
      </c>
      <c r="N924" s="7" t="s">
        <v>3045</v>
      </c>
      <c r="O924" s="7" t="s">
        <v>4274</v>
      </c>
      <c r="P924" s="7">
        <v>58</v>
      </c>
      <c r="Q924" s="7">
        <v>1986429</v>
      </c>
      <c r="R924" s="7">
        <v>7.0000000000000007E-2</v>
      </c>
      <c r="S924" s="7">
        <v>0.17</v>
      </c>
      <c r="T924" s="7">
        <v>2161433.39</v>
      </c>
      <c r="U924" s="7">
        <v>1601728.08</v>
      </c>
      <c r="V924" s="7">
        <v>0.14000000000000001</v>
      </c>
      <c r="W924" s="7">
        <v>0.12</v>
      </c>
      <c r="X924" s="7" t="s">
        <v>3046</v>
      </c>
      <c r="Y924" s="7">
        <v>1691832.08</v>
      </c>
      <c r="Z924" s="7">
        <v>1702214.14</v>
      </c>
      <c r="AA924" s="7">
        <v>120</v>
      </c>
      <c r="AB924" s="7">
        <v>121</v>
      </c>
      <c r="AC924" s="7"/>
      <c r="AD924" s="7" t="s">
        <v>226</v>
      </c>
      <c r="AE924" s="7">
        <v>0.06</v>
      </c>
      <c r="AF924" s="7" t="s">
        <v>4276</v>
      </c>
      <c r="AG924" s="7">
        <v>0.05</v>
      </c>
      <c r="AH924" s="7">
        <v>0.1</v>
      </c>
      <c r="AI924" s="7">
        <v>1</v>
      </c>
      <c r="AJ924" s="7">
        <v>370</v>
      </c>
      <c r="AK924" s="7">
        <v>251384</v>
      </c>
      <c r="AL924" s="7"/>
      <c r="AM924" s="7" t="s">
        <v>391</v>
      </c>
      <c r="AN924" s="7" t="s">
        <v>386</v>
      </c>
      <c r="AO924" s="7">
        <v>80.7</v>
      </c>
      <c r="AP924" s="7">
        <v>60</v>
      </c>
      <c r="AQ924" s="7" t="s">
        <v>387</v>
      </c>
      <c r="AR924" s="7" t="s">
        <v>192</v>
      </c>
      <c r="AS924" s="7" t="s">
        <v>188</v>
      </c>
    </row>
    <row r="925" spans="1:45" x14ac:dyDescent="0.3">
      <c r="A925" s="6" t="s">
        <v>3047</v>
      </c>
      <c r="B925" s="6" t="s">
        <v>4972</v>
      </c>
      <c r="C925" s="6" t="s">
        <v>222</v>
      </c>
      <c r="D925" s="6" t="s">
        <v>190</v>
      </c>
      <c r="E925" s="6" t="s">
        <v>59</v>
      </c>
      <c r="F925" s="6"/>
      <c r="G925" s="6" t="s">
        <v>33</v>
      </c>
      <c r="H925" s="6" t="s">
        <v>236</v>
      </c>
      <c r="I925" s="6" t="s">
        <v>4272</v>
      </c>
      <c r="J925" s="6" t="s">
        <v>99</v>
      </c>
      <c r="K925" s="6" t="s">
        <v>199</v>
      </c>
      <c r="L925" s="6" t="s">
        <v>3048</v>
      </c>
      <c r="M925" s="6" t="s">
        <v>4240</v>
      </c>
      <c r="N925" s="6" t="s">
        <v>3629</v>
      </c>
      <c r="O925" s="6" t="s">
        <v>4605</v>
      </c>
      <c r="P925" s="6">
        <v>57</v>
      </c>
      <c r="Q925" s="6">
        <v>31395187</v>
      </c>
      <c r="R925" s="6">
        <v>0.33</v>
      </c>
      <c r="S925" s="6">
        <v>0</v>
      </c>
      <c r="T925" s="6">
        <v>21034775.289999999</v>
      </c>
      <c r="U925" s="6">
        <v>14375499.800000001</v>
      </c>
      <c r="V925" s="6">
        <v>0.16</v>
      </c>
      <c r="W925" s="6">
        <v>0.05</v>
      </c>
      <c r="X925" s="6" t="s">
        <v>3049</v>
      </c>
      <c r="Y925" s="6">
        <v>8645495.9800000004</v>
      </c>
      <c r="Z925" s="6">
        <v>4244070.1399999997</v>
      </c>
      <c r="AA925" s="6">
        <v>60</v>
      </c>
      <c r="AB925" s="6">
        <v>14</v>
      </c>
      <c r="AC925" s="6" t="s">
        <v>342</v>
      </c>
      <c r="AD925" s="6" t="s">
        <v>406</v>
      </c>
      <c r="AE925" s="6">
        <v>0.19</v>
      </c>
      <c r="AF925" s="6" t="s">
        <v>4294</v>
      </c>
      <c r="AG925" s="6">
        <v>0.1</v>
      </c>
      <c r="AH925" s="6">
        <v>0.09</v>
      </c>
      <c r="AI925" s="6">
        <v>10</v>
      </c>
      <c r="AJ925" s="6">
        <v>3643</v>
      </c>
      <c r="AK925" s="6">
        <v>2584956.89</v>
      </c>
      <c r="AL925" s="6">
        <v>8259626.3499999996</v>
      </c>
      <c r="AM925" s="6" t="s">
        <v>343</v>
      </c>
      <c r="AN925" s="6"/>
      <c r="AO925" s="6"/>
      <c r="AP925" s="6" t="s">
        <v>4275</v>
      </c>
      <c r="AQ925" s="6" t="s">
        <v>392</v>
      </c>
      <c r="AR925" s="6" t="s">
        <v>206</v>
      </c>
      <c r="AS925" s="6" t="s">
        <v>357</v>
      </c>
    </row>
    <row r="926" spans="1:45" x14ac:dyDescent="0.3">
      <c r="A926" s="7" t="s">
        <v>3050</v>
      </c>
      <c r="B926" s="7" t="s">
        <v>5502</v>
      </c>
      <c r="C926" s="7" t="s">
        <v>211</v>
      </c>
      <c r="D926" s="7" t="s">
        <v>248</v>
      </c>
      <c r="E926" s="7" t="s">
        <v>4265</v>
      </c>
      <c r="F926" s="7" t="s">
        <v>350</v>
      </c>
      <c r="G926" s="7" t="s">
        <v>54</v>
      </c>
      <c r="H926" s="7" t="s">
        <v>4340</v>
      </c>
      <c r="I926" s="7" t="s">
        <v>233</v>
      </c>
      <c r="J926" s="7" t="s">
        <v>105</v>
      </c>
      <c r="K926" s="7" t="s">
        <v>210</v>
      </c>
      <c r="L926" s="7" t="s">
        <v>3051</v>
      </c>
      <c r="M926" s="7" t="s">
        <v>3618</v>
      </c>
      <c r="N926" s="7"/>
      <c r="O926" s="7" t="s">
        <v>5503</v>
      </c>
      <c r="P926" s="7">
        <v>43</v>
      </c>
      <c r="Q926" s="7">
        <v>15166463</v>
      </c>
      <c r="R926" s="7">
        <v>0.09</v>
      </c>
      <c r="S926" s="7">
        <v>0.06</v>
      </c>
      <c r="T926" s="7">
        <v>14629570.210000001</v>
      </c>
      <c r="U926" s="7">
        <v>12978185.689999999</v>
      </c>
      <c r="V926" s="7">
        <v>0.25</v>
      </c>
      <c r="W926" s="7">
        <v>0.09</v>
      </c>
      <c r="X926" s="7" t="s">
        <v>3052</v>
      </c>
      <c r="Y926" s="7">
        <v>10314073.130000001</v>
      </c>
      <c r="Z926" s="7">
        <v>4451012.68</v>
      </c>
      <c r="AA926" s="7">
        <v>45</v>
      </c>
      <c r="AB926" s="7">
        <v>54</v>
      </c>
      <c r="AC926" s="7" t="s">
        <v>342</v>
      </c>
      <c r="AD926" s="7" t="s">
        <v>381</v>
      </c>
      <c r="AE926" s="7">
        <v>0.73</v>
      </c>
      <c r="AF926" s="7" t="s">
        <v>4276</v>
      </c>
      <c r="AG926" s="7">
        <v>0.1</v>
      </c>
      <c r="AH926" s="7">
        <v>0.04</v>
      </c>
      <c r="AI926" s="7">
        <v>3</v>
      </c>
      <c r="AJ926" s="7">
        <v>2631</v>
      </c>
      <c r="AK926" s="7">
        <v>1462336.68</v>
      </c>
      <c r="AL926" s="7">
        <v>4539254</v>
      </c>
      <c r="AM926" s="7" t="s">
        <v>343</v>
      </c>
      <c r="AN926" s="7" t="s">
        <v>322</v>
      </c>
      <c r="AO926" s="7">
        <v>79.400000000000006</v>
      </c>
      <c r="AP926" s="7">
        <v>60</v>
      </c>
      <c r="AQ926" s="7" t="s">
        <v>387</v>
      </c>
      <c r="AR926" s="7" t="s">
        <v>224</v>
      </c>
      <c r="AS926" s="7" t="s">
        <v>361</v>
      </c>
    </row>
    <row r="927" spans="1:45" x14ac:dyDescent="0.3">
      <c r="A927" s="6" t="s">
        <v>3053</v>
      </c>
      <c r="B927" s="6" t="s">
        <v>4241</v>
      </c>
      <c r="C927" s="6" t="s">
        <v>235</v>
      </c>
      <c r="D927" s="6" t="s">
        <v>238</v>
      </c>
      <c r="E927" s="6" t="s">
        <v>4376</v>
      </c>
      <c r="F927" s="6" t="s">
        <v>31</v>
      </c>
      <c r="G927" s="6" t="s">
        <v>80</v>
      </c>
      <c r="H927" s="6" t="s">
        <v>4326</v>
      </c>
      <c r="I927" s="6" t="s">
        <v>213</v>
      </c>
      <c r="J927" s="6" t="s">
        <v>136</v>
      </c>
      <c r="K927" s="6" t="s">
        <v>199</v>
      </c>
      <c r="L927" s="6" t="s">
        <v>3054</v>
      </c>
      <c r="M927" s="6" t="s">
        <v>5504</v>
      </c>
      <c r="N927" s="6"/>
      <c r="O927" s="6" t="s">
        <v>4718</v>
      </c>
      <c r="P927" s="6">
        <v>7</v>
      </c>
      <c r="Q927" s="6">
        <v>34356160</v>
      </c>
      <c r="R927" s="6">
        <v>0.33</v>
      </c>
      <c r="S927" s="6">
        <v>0.01</v>
      </c>
      <c r="T927" s="6">
        <v>23248813.469999999</v>
      </c>
      <c r="U927" s="6">
        <v>19598157.059999999</v>
      </c>
      <c r="V927" s="6">
        <v>0.21</v>
      </c>
      <c r="W927" s="6">
        <v>0.08</v>
      </c>
      <c r="X927" s="6" t="s">
        <v>3055</v>
      </c>
      <c r="Y927" s="6">
        <v>15481435.960000001</v>
      </c>
      <c r="Z927" s="6">
        <v>6326489.1500000004</v>
      </c>
      <c r="AA927" s="6">
        <v>45</v>
      </c>
      <c r="AB927" s="6">
        <v>126</v>
      </c>
      <c r="AC927" s="6" t="s">
        <v>329</v>
      </c>
      <c r="AD927" s="6" t="s">
        <v>336</v>
      </c>
      <c r="AE927" s="6">
        <v>0.1</v>
      </c>
      <c r="AF927" s="6" t="s">
        <v>153</v>
      </c>
      <c r="AG927" s="6">
        <v>0.15</v>
      </c>
      <c r="AH927" s="6">
        <v>0.06</v>
      </c>
      <c r="AI927" s="6">
        <v>8</v>
      </c>
      <c r="AJ927" s="6">
        <v>372</v>
      </c>
      <c r="AK927" s="6">
        <v>4688951.16</v>
      </c>
      <c r="AL927" s="6">
        <v>6848080.4400000004</v>
      </c>
      <c r="AM927" s="6" t="s">
        <v>355</v>
      </c>
      <c r="AN927" s="6"/>
      <c r="AO927" s="6">
        <v>51.9</v>
      </c>
      <c r="AP927" s="6">
        <v>60</v>
      </c>
      <c r="AQ927" s="6" t="s">
        <v>4275</v>
      </c>
      <c r="AR927" s="6" t="s">
        <v>229</v>
      </c>
      <c r="AS927" s="6" t="s">
        <v>357</v>
      </c>
    </row>
    <row r="928" spans="1:45" x14ac:dyDescent="0.3">
      <c r="A928" s="7" t="s">
        <v>3056</v>
      </c>
      <c r="B928" s="7" t="s">
        <v>3305</v>
      </c>
      <c r="C928" s="7" t="s">
        <v>227</v>
      </c>
      <c r="D928" s="7" t="s">
        <v>262</v>
      </c>
      <c r="E928" s="7" t="s">
        <v>113</v>
      </c>
      <c r="F928" s="7" t="s">
        <v>367</v>
      </c>
      <c r="G928" s="7" t="s">
        <v>16</v>
      </c>
      <c r="H928" s="7" t="s">
        <v>4271</v>
      </c>
      <c r="I928" s="7" t="s">
        <v>213</v>
      </c>
      <c r="J928" s="7" t="s">
        <v>127</v>
      </c>
      <c r="K928" s="7" t="s">
        <v>326</v>
      </c>
      <c r="L928" s="7" t="s">
        <v>3057</v>
      </c>
      <c r="M928" s="7" t="s">
        <v>4708</v>
      </c>
      <c r="N928" s="7" t="s">
        <v>5505</v>
      </c>
      <c r="O928" s="7" t="s">
        <v>4274</v>
      </c>
      <c r="P928" s="7">
        <v>17</v>
      </c>
      <c r="Q928" s="7">
        <v>21242012</v>
      </c>
      <c r="R928" s="7">
        <v>0.15</v>
      </c>
      <c r="S928" s="7">
        <v>0.14000000000000001</v>
      </c>
      <c r="T928" s="7">
        <v>20583509.629999999</v>
      </c>
      <c r="U928" s="7">
        <v>16617491.710000001</v>
      </c>
      <c r="V928" s="7">
        <v>0.39</v>
      </c>
      <c r="W928" s="7">
        <v>0.14000000000000001</v>
      </c>
      <c r="X928" s="7" t="s">
        <v>3058</v>
      </c>
      <c r="Y928" s="7">
        <v>13754020.869999999</v>
      </c>
      <c r="Z928" s="7">
        <v>10788374.609999999</v>
      </c>
      <c r="AA928" s="7">
        <v>120</v>
      </c>
      <c r="AB928" s="7">
        <v>1</v>
      </c>
      <c r="AC928" s="7"/>
      <c r="AD928" s="7" t="s">
        <v>336</v>
      </c>
      <c r="AE928" s="7">
        <v>0.46</v>
      </c>
      <c r="AF928" s="7" t="s">
        <v>4303</v>
      </c>
      <c r="AG928" s="7">
        <v>0.05</v>
      </c>
      <c r="AH928" s="7">
        <v>0.04</v>
      </c>
      <c r="AI928" s="7">
        <v>13</v>
      </c>
      <c r="AJ928" s="7">
        <v>993</v>
      </c>
      <c r="AK928" s="7">
        <v>1925502.05</v>
      </c>
      <c r="AL928" s="7">
        <v>5614987.8700000001</v>
      </c>
      <c r="AM928" s="7" t="s">
        <v>73</v>
      </c>
      <c r="AN928" s="7" t="s">
        <v>322</v>
      </c>
      <c r="AO928" s="7">
        <v>79.599999999999994</v>
      </c>
      <c r="AP928" s="7">
        <v>36</v>
      </c>
      <c r="AQ928" s="7" t="s">
        <v>387</v>
      </c>
      <c r="AR928" s="7" t="s">
        <v>192</v>
      </c>
      <c r="AS928" s="7" t="s">
        <v>361</v>
      </c>
    </row>
    <row r="929" spans="1:45" x14ac:dyDescent="0.3">
      <c r="A929" s="6" t="s">
        <v>3059</v>
      </c>
      <c r="B929" s="6" t="s">
        <v>5506</v>
      </c>
      <c r="C929" s="6" t="s">
        <v>237</v>
      </c>
      <c r="D929" s="6" t="s">
        <v>274</v>
      </c>
      <c r="E929" s="6" t="s">
        <v>113</v>
      </c>
      <c r="F929" s="6" t="s">
        <v>367</v>
      </c>
      <c r="G929" s="6" t="s">
        <v>70</v>
      </c>
      <c r="H929" s="6"/>
      <c r="I929" s="6" t="s">
        <v>4291</v>
      </c>
      <c r="J929" s="6" t="s">
        <v>111</v>
      </c>
      <c r="K929" s="6" t="s">
        <v>223</v>
      </c>
      <c r="L929" s="6" t="s">
        <v>3060</v>
      </c>
      <c r="M929" s="6" t="s">
        <v>4427</v>
      </c>
      <c r="N929" s="6" t="s">
        <v>5507</v>
      </c>
      <c r="O929" s="6" t="s">
        <v>4242</v>
      </c>
      <c r="P929" s="6">
        <v>13</v>
      </c>
      <c r="Q929" s="6">
        <v>38303713</v>
      </c>
      <c r="R929" s="6">
        <v>0.31</v>
      </c>
      <c r="S929" s="6">
        <v>0.09</v>
      </c>
      <c r="T929" s="6">
        <v>28808222.550000001</v>
      </c>
      <c r="U929" s="6">
        <v>24593550.829999998</v>
      </c>
      <c r="V929" s="6">
        <v>0.2</v>
      </c>
      <c r="W929" s="6">
        <v>0.17</v>
      </c>
      <c r="X929" s="6" t="s">
        <v>3061</v>
      </c>
      <c r="Y929" s="6">
        <v>5191117.3600000003</v>
      </c>
      <c r="Z929" s="6">
        <v>4770669.26</v>
      </c>
      <c r="AA929" s="6">
        <v>120</v>
      </c>
      <c r="AB929" s="6">
        <v>62</v>
      </c>
      <c r="AC929" s="6" t="s">
        <v>342</v>
      </c>
      <c r="AD929" s="6" t="s">
        <v>406</v>
      </c>
      <c r="AE929" s="6">
        <v>0.1</v>
      </c>
      <c r="AF929" s="6" t="s">
        <v>4294</v>
      </c>
      <c r="AG929" s="6">
        <v>0.05</v>
      </c>
      <c r="AH929" s="6">
        <v>0.08</v>
      </c>
      <c r="AI929" s="6">
        <v>11</v>
      </c>
      <c r="AJ929" s="6">
        <v>1137</v>
      </c>
      <c r="AK929" s="6">
        <v>3901992</v>
      </c>
      <c r="AL929" s="6">
        <v>3905638.39</v>
      </c>
      <c r="AM929" s="6" t="s">
        <v>385</v>
      </c>
      <c r="AN929" s="6" t="s">
        <v>386</v>
      </c>
      <c r="AO929" s="6"/>
      <c r="AP929" s="6">
        <v>12</v>
      </c>
      <c r="AQ929" s="6" t="s">
        <v>323</v>
      </c>
      <c r="AR929" s="6" t="s">
        <v>192</v>
      </c>
      <c r="AS929" s="6"/>
    </row>
    <row r="930" spans="1:45" x14ac:dyDescent="0.3">
      <c r="A930" s="7" t="s">
        <v>3062</v>
      </c>
      <c r="B930" s="7" t="s">
        <v>5508</v>
      </c>
      <c r="C930" s="7" t="s">
        <v>234</v>
      </c>
      <c r="D930" s="7" t="s">
        <v>238</v>
      </c>
      <c r="E930" s="7" t="s">
        <v>4265</v>
      </c>
      <c r="F930" s="7" t="s">
        <v>228</v>
      </c>
      <c r="G930" s="7" t="s">
        <v>57</v>
      </c>
      <c r="H930" s="7" t="s">
        <v>182</v>
      </c>
      <c r="I930" s="7" t="s">
        <v>198</v>
      </c>
      <c r="J930" s="6" t="s">
        <v>105</v>
      </c>
      <c r="K930" s="7" t="s">
        <v>184</v>
      </c>
      <c r="L930" s="7" t="s">
        <v>3063</v>
      </c>
      <c r="M930" s="7" t="s">
        <v>4848</v>
      </c>
      <c r="N930" s="7"/>
      <c r="O930" s="7" t="s">
        <v>4243</v>
      </c>
      <c r="P930" s="7">
        <v>45</v>
      </c>
      <c r="Q930" s="7">
        <v>3774876</v>
      </c>
      <c r="R930" s="7">
        <v>0.34</v>
      </c>
      <c r="S930" s="7">
        <v>7.0000000000000007E-2</v>
      </c>
      <c r="T930" s="7">
        <v>2665817.4300000002</v>
      </c>
      <c r="U930" s="7">
        <v>2290794.5</v>
      </c>
      <c r="V930" s="7">
        <v>0.25</v>
      </c>
      <c r="W930" s="7">
        <v>0.12</v>
      </c>
      <c r="X930" s="7" t="s">
        <v>3064</v>
      </c>
      <c r="Y930" s="7">
        <v>629025.81999999995</v>
      </c>
      <c r="Z930" s="7">
        <v>221944.95</v>
      </c>
      <c r="AA930" s="7">
        <v>60</v>
      </c>
      <c r="AB930" s="7">
        <v>82</v>
      </c>
      <c r="AC930" s="7" t="s">
        <v>376</v>
      </c>
      <c r="AD930" s="7" t="s">
        <v>381</v>
      </c>
      <c r="AE930" s="7">
        <v>0.48</v>
      </c>
      <c r="AF930" s="7" t="s">
        <v>153</v>
      </c>
      <c r="AG930" s="7">
        <v>0.1</v>
      </c>
      <c r="AH930" s="7">
        <v>0.02</v>
      </c>
      <c r="AI930" s="7">
        <v>2</v>
      </c>
      <c r="AJ930" s="7">
        <v>2377</v>
      </c>
      <c r="AK930" s="7">
        <v>99608.25</v>
      </c>
      <c r="AL930" s="7">
        <v>1057421.75</v>
      </c>
      <c r="AM930" s="7" t="s">
        <v>391</v>
      </c>
      <c r="AN930" s="7" t="s">
        <v>330</v>
      </c>
      <c r="AO930" s="7">
        <v>63.3</v>
      </c>
      <c r="AP930" s="7">
        <v>48</v>
      </c>
      <c r="AQ930" s="7" t="s">
        <v>337</v>
      </c>
      <c r="AR930" s="7" t="s">
        <v>224</v>
      </c>
      <c r="AS930" s="7" t="s">
        <v>188</v>
      </c>
    </row>
    <row r="931" spans="1:45" x14ac:dyDescent="0.3">
      <c r="A931" s="6" t="s">
        <v>3065</v>
      </c>
      <c r="B931" s="6" t="s">
        <v>4454</v>
      </c>
      <c r="C931" s="6" t="s">
        <v>267</v>
      </c>
      <c r="D931" s="6" t="s">
        <v>274</v>
      </c>
      <c r="E931" s="6" t="s">
        <v>41</v>
      </c>
      <c r="F931" s="6" t="s">
        <v>363</v>
      </c>
      <c r="G931" s="6" t="s">
        <v>23</v>
      </c>
      <c r="H931" s="6" t="s">
        <v>4271</v>
      </c>
      <c r="I931" s="6" t="s">
        <v>191</v>
      </c>
      <c r="J931" s="6" t="s">
        <v>130</v>
      </c>
      <c r="K931" s="6" t="s">
        <v>326</v>
      </c>
      <c r="L931" s="6" t="s">
        <v>3066</v>
      </c>
      <c r="M931" s="6" t="s">
        <v>4048</v>
      </c>
      <c r="N931" s="6"/>
      <c r="O931" s="6" t="s">
        <v>3394</v>
      </c>
      <c r="P931" s="6">
        <v>57</v>
      </c>
      <c r="Q931" s="6">
        <v>26853832</v>
      </c>
      <c r="R931" s="6">
        <v>0.33</v>
      </c>
      <c r="S931" s="6">
        <v>0.11</v>
      </c>
      <c r="T931" s="6">
        <v>19971194.859999999</v>
      </c>
      <c r="U931" s="6">
        <v>15376994.41</v>
      </c>
      <c r="V931" s="6">
        <v>0.3</v>
      </c>
      <c r="W931" s="6">
        <v>0.12</v>
      </c>
      <c r="X931" s="6" t="s">
        <v>3067</v>
      </c>
      <c r="Y931" s="6">
        <v>8520896.0199999996</v>
      </c>
      <c r="Z931" s="6">
        <v>5878647.9199999999</v>
      </c>
      <c r="AA931" s="6">
        <v>30</v>
      </c>
      <c r="AB931" s="6">
        <v>162</v>
      </c>
      <c r="AC931" s="6" t="s">
        <v>376</v>
      </c>
      <c r="AD931" s="6" t="s">
        <v>354</v>
      </c>
      <c r="AE931" s="6">
        <v>0.95</v>
      </c>
      <c r="AF931" s="6"/>
      <c r="AG931" s="6">
        <v>0.05</v>
      </c>
      <c r="AH931" s="6">
        <v>0.04</v>
      </c>
      <c r="AI931" s="6">
        <v>14</v>
      </c>
      <c r="AJ931" s="6">
        <v>3096</v>
      </c>
      <c r="AK931" s="6">
        <v>4626382.8499999996</v>
      </c>
      <c r="AL931" s="6">
        <v>9397031.4800000004</v>
      </c>
      <c r="AM931" s="6" t="s">
        <v>391</v>
      </c>
      <c r="AN931" s="6" t="s">
        <v>330</v>
      </c>
      <c r="AO931" s="6">
        <v>83.8</v>
      </c>
      <c r="AP931" s="6">
        <v>36</v>
      </c>
      <c r="AQ931" s="6" t="s">
        <v>337</v>
      </c>
      <c r="AR931" s="6" t="s">
        <v>229</v>
      </c>
      <c r="AS931" s="6" t="s">
        <v>324</v>
      </c>
    </row>
    <row r="932" spans="1:45" x14ac:dyDescent="0.3">
      <c r="A932" s="7" t="s">
        <v>3068</v>
      </c>
      <c r="B932" s="7" t="s">
        <v>5091</v>
      </c>
      <c r="C932" s="7" t="s">
        <v>277</v>
      </c>
      <c r="D932" s="7" t="s">
        <v>238</v>
      </c>
      <c r="E932" s="7" t="s">
        <v>4325</v>
      </c>
      <c r="F932" s="7" t="s">
        <v>19</v>
      </c>
      <c r="G932" s="7" t="s">
        <v>73</v>
      </c>
      <c r="H932" s="7" t="s">
        <v>4340</v>
      </c>
      <c r="I932" s="7" t="s">
        <v>183</v>
      </c>
      <c r="J932" s="7" t="s">
        <v>115</v>
      </c>
      <c r="K932" s="7" t="s">
        <v>184</v>
      </c>
      <c r="L932" s="7" t="s">
        <v>3069</v>
      </c>
      <c r="M932" s="7" t="s">
        <v>5399</v>
      </c>
      <c r="N932" s="7" t="s">
        <v>4418</v>
      </c>
      <c r="O932" s="7" t="s">
        <v>4472</v>
      </c>
      <c r="P932" s="7">
        <v>51</v>
      </c>
      <c r="Q932" s="7">
        <v>14557334</v>
      </c>
      <c r="R932" s="7">
        <v>0.25</v>
      </c>
      <c r="S932" s="7">
        <v>0.15</v>
      </c>
      <c r="T932" s="7">
        <v>12555700.57</v>
      </c>
      <c r="U932" s="7">
        <v>7839869.8200000003</v>
      </c>
      <c r="V932" s="7">
        <v>0.36</v>
      </c>
      <c r="W932" s="7">
        <v>0.08</v>
      </c>
      <c r="X932" s="7" t="s">
        <v>3070</v>
      </c>
      <c r="Y932" s="7">
        <v>7315704.4100000001</v>
      </c>
      <c r="Z932" s="7">
        <v>2286446.56</v>
      </c>
      <c r="AA932" s="7">
        <v>90</v>
      </c>
      <c r="AB932" s="7">
        <v>82</v>
      </c>
      <c r="AC932" s="7" t="s">
        <v>376</v>
      </c>
      <c r="AD932" s="7" t="s">
        <v>354</v>
      </c>
      <c r="AE932" s="7">
        <v>0.08</v>
      </c>
      <c r="AF932" s="7" t="s">
        <v>162</v>
      </c>
      <c r="AG932" s="7">
        <v>0.1</v>
      </c>
      <c r="AH932" s="7">
        <v>0.06</v>
      </c>
      <c r="AI932" s="7">
        <v>6</v>
      </c>
      <c r="AJ932" s="7">
        <v>4601</v>
      </c>
      <c r="AK932" s="7">
        <v>2558235.83</v>
      </c>
      <c r="AL932" s="7">
        <v>5711658.46</v>
      </c>
      <c r="AM932" s="7"/>
      <c r="AN932" s="7" t="s">
        <v>321</v>
      </c>
      <c r="AO932" s="7">
        <v>50.2</v>
      </c>
      <c r="AP932" s="7">
        <v>24</v>
      </c>
      <c r="AQ932" s="7" t="s">
        <v>337</v>
      </c>
      <c r="AR932" s="7" t="s">
        <v>206</v>
      </c>
      <c r="AS932" s="7"/>
    </row>
    <row r="933" spans="1:45" x14ac:dyDescent="0.3">
      <c r="A933" s="6" t="s">
        <v>3071</v>
      </c>
      <c r="B933" s="6" t="s">
        <v>4853</v>
      </c>
      <c r="C933" s="6" t="s">
        <v>241</v>
      </c>
      <c r="D933" s="6" t="s">
        <v>232</v>
      </c>
      <c r="E933" s="6" t="s">
        <v>4270</v>
      </c>
      <c r="F933" s="6" t="s">
        <v>367</v>
      </c>
      <c r="G933" s="6" t="s">
        <v>66</v>
      </c>
      <c r="H933" s="6" t="s">
        <v>4326</v>
      </c>
      <c r="I933" s="6" t="s">
        <v>4372</v>
      </c>
      <c r="J933" s="6" t="s">
        <v>111</v>
      </c>
      <c r="K933" s="6" t="s">
        <v>199</v>
      </c>
      <c r="L933" s="6" t="s">
        <v>3072</v>
      </c>
      <c r="M933" s="6" t="s">
        <v>4244</v>
      </c>
      <c r="N933" s="6" t="s">
        <v>3073</v>
      </c>
      <c r="O933" s="6" t="s">
        <v>5509</v>
      </c>
      <c r="P933" s="6">
        <v>43</v>
      </c>
      <c r="Q933" s="6">
        <v>14829206</v>
      </c>
      <c r="R933" s="6">
        <v>0.03</v>
      </c>
      <c r="S933" s="6">
        <v>0.08</v>
      </c>
      <c r="T933" s="6">
        <v>15535076.210000001</v>
      </c>
      <c r="U933" s="6">
        <v>12050916.300000001</v>
      </c>
      <c r="V933" s="6">
        <v>0.12</v>
      </c>
      <c r="W933" s="6">
        <v>0.11</v>
      </c>
      <c r="X933" s="6" t="s">
        <v>3074</v>
      </c>
      <c r="Y933" s="6">
        <v>3619591.71</v>
      </c>
      <c r="Z933" s="6">
        <v>3443550.03</v>
      </c>
      <c r="AA933" s="6">
        <v>30</v>
      </c>
      <c r="AB933" s="6">
        <v>113</v>
      </c>
      <c r="AC933" s="6" t="s">
        <v>376</v>
      </c>
      <c r="AD933" s="6" t="s">
        <v>455</v>
      </c>
      <c r="AE933" s="6">
        <v>0.61</v>
      </c>
      <c r="AF933" s="6" t="s">
        <v>152</v>
      </c>
      <c r="AG933" s="6">
        <v>0.15</v>
      </c>
      <c r="AH933" s="6">
        <v>0.08</v>
      </c>
      <c r="AI933" s="6">
        <v>0</v>
      </c>
      <c r="AJ933" s="6">
        <v>1167</v>
      </c>
      <c r="AK933" s="6">
        <v>3095379.3</v>
      </c>
      <c r="AL933" s="6">
        <v>7543522.75</v>
      </c>
      <c r="AM933" s="6" t="s">
        <v>321</v>
      </c>
      <c r="AN933" s="6"/>
      <c r="AO933" s="6">
        <v>92.9</v>
      </c>
      <c r="AP933" s="6">
        <v>12</v>
      </c>
      <c r="AQ933" s="6" t="s">
        <v>4275</v>
      </c>
      <c r="AR933" s="6" t="s">
        <v>192</v>
      </c>
      <c r="AS933" s="6" t="s">
        <v>188</v>
      </c>
    </row>
    <row r="934" spans="1:45" x14ac:dyDescent="0.3">
      <c r="A934" s="7" t="s">
        <v>3075</v>
      </c>
      <c r="B934" s="7" t="s">
        <v>4190</v>
      </c>
      <c r="C934" s="7" t="s">
        <v>267</v>
      </c>
      <c r="D934" s="7" t="s">
        <v>238</v>
      </c>
      <c r="E934" s="7" t="s">
        <v>4376</v>
      </c>
      <c r="F934" s="7" t="s">
        <v>35</v>
      </c>
      <c r="G934" s="7" t="s">
        <v>16</v>
      </c>
      <c r="H934" s="7" t="s">
        <v>212</v>
      </c>
      <c r="I934" s="7" t="s">
        <v>4289</v>
      </c>
      <c r="J934" s="7" t="s">
        <v>136</v>
      </c>
      <c r="K934" s="7" t="s">
        <v>221</v>
      </c>
      <c r="L934" s="7" t="s">
        <v>3076</v>
      </c>
      <c r="M934" s="7" t="s">
        <v>4062</v>
      </c>
      <c r="N934" s="7"/>
      <c r="O934" s="7" t="s">
        <v>4274</v>
      </c>
      <c r="P934" s="7">
        <v>27</v>
      </c>
      <c r="Q934" s="7">
        <v>16748513</v>
      </c>
      <c r="R934" s="7">
        <v>0.06</v>
      </c>
      <c r="S934" s="7">
        <v>-0.02</v>
      </c>
      <c r="T934" s="7">
        <v>15428730.18</v>
      </c>
      <c r="U934" s="7">
        <v>13531655.58</v>
      </c>
      <c r="V934" s="7">
        <v>0.13</v>
      </c>
      <c r="W934" s="7">
        <v>0.06</v>
      </c>
      <c r="X934" s="7" t="s">
        <v>3077</v>
      </c>
      <c r="Y934" s="7">
        <v>12240610.380000001</v>
      </c>
      <c r="Z934" s="7">
        <v>7570906.5599999996</v>
      </c>
      <c r="AA934" s="7">
        <v>90</v>
      </c>
      <c r="AB934" s="7">
        <v>16</v>
      </c>
      <c r="AC934" s="7" t="s">
        <v>353</v>
      </c>
      <c r="AD934" s="7" t="s">
        <v>381</v>
      </c>
      <c r="AE934" s="7">
        <v>0.11</v>
      </c>
      <c r="AF934" s="7" t="s">
        <v>4276</v>
      </c>
      <c r="AG934" s="7">
        <v>0.15</v>
      </c>
      <c r="AH934" s="7">
        <v>0.02</v>
      </c>
      <c r="AI934" s="7">
        <v>14</v>
      </c>
      <c r="AJ934" s="7">
        <v>2839</v>
      </c>
      <c r="AK934" s="7">
        <v>1471318.95</v>
      </c>
      <c r="AL934" s="7">
        <v>2674046.7000000002</v>
      </c>
      <c r="AM934" s="7" t="s">
        <v>391</v>
      </c>
      <c r="AN934" s="7" t="s">
        <v>330</v>
      </c>
      <c r="AO934" s="7">
        <v>62.8</v>
      </c>
      <c r="AP934" s="7">
        <v>24</v>
      </c>
      <c r="AQ934" s="7" t="s">
        <v>387</v>
      </c>
      <c r="AR934" s="7" t="s">
        <v>206</v>
      </c>
      <c r="AS934" s="7"/>
    </row>
    <row r="935" spans="1:45" x14ac:dyDescent="0.3">
      <c r="A935" s="6" t="s">
        <v>3078</v>
      </c>
      <c r="B935" s="6" t="s">
        <v>5510</v>
      </c>
      <c r="C935" s="6" t="s">
        <v>276</v>
      </c>
      <c r="D935" s="6" t="s">
        <v>215</v>
      </c>
      <c r="E935" s="6" t="s">
        <v>52</v>
      </c>
      <c r="F935" s="6" t="s">
        <v>75</v>
      </c>
      <c r="G935" s="6"/>
      <c r="H935" s="6" t="s">
        <v>4340</v>
      </c>
      <c r="I935" s="6" t="s">
        <v>240</v>
      </c>
      <c r="J935" s="7" t="s">
        <v>133</v>
      </c>
      <c r="K935" s="6" t="s">
        <v>333</v>
      </c>
      <c r="L935" s="6" t="s">
        <v>3079</v>
      </c>
      <c r="M935" s="6" t="s">
        <v>4245</v>
      </c>
      <c r="N935" s="6" t="s">
        <v>4246</v>
      </c>
      <c r="O935" s="6" t="s">
        <v>5511</v>
      </c>
      <c r="P935" s="6">
        <v>43</v>
      </c>
      <c r="Q935" s="6" t="s">
        <v>4275</v>
      </c>
      <c r="R935" s="6">
        <v>0.23</v>
      </c>
      <c r="S935" s="6">
        <v>0.05</v>
      </c>
      <c r="T935" s="6">
        <v>19094384.93</v>
      </c>
      <c r="U935" s="6">
        <v>16302943.609999999</v>
      </c>
      <c r="V935" s="6">
        <v>0.16</v>
      </c>
      <c r="W935" s="6">
        <v>0.1</v>
      </c>
      <c r="X935" s="6" t="s">
        <v>3080</v>
      </c>
      <c r="Y935" s="6">
        <v>1336233.83</v>
      </c>
      <c r="Z935" s="6">
        <v>610817.28000000003</v>
      </c>
      <c r="AA935" s="6">
        <v>45</v>
      </c>
      <c r="AB935" s="6">
        <v>60</v>
      </c>
      <c r="AC935" s="6"/>
      <c r="AD935" s="6" t="s">
        <v>336</v>
      </c>
      <c r="AE935" s="6">
        <v>0.53</v>
      </c>
      <c r="AF935" s="6" t="s">
        <v>155</v>
      </c>
      <c r="AG935" s="6">
        <v>0.15</v>
      </c>
      <c r="AH935" s="6">
        <v>0.04</v>
      </c>
      <c r="AI935" s="6">
        <v>12</v>
      </c>
      <c r="AJ935" s="6">
        <v>2601</v>
      </c>
      <c r="AK935" s="6">
        <v>4410734.38</v>
      </c>
      <c r="AL935" s="6">
        <v>7016444.7300000004</v>
      </c>
      <c r="AM935" s="6"/>
      <c r="AN935" s="6" t="s">
        <v>386</v>
      </c>
      <c r="AO935" s="6">
        <v>63.8</v>
      </c>
      <c r="AP935" s="6">
        <v>36</v>
      </c>
      <c r="AQ935" s="6" t="s">
        <v>337</v>
      </c>
      <c r="AR935" s="6" t="s">
        <v>206</v>
      </c>
      <c r="AS935" s="6"/>
    </row>
    <row r="936" spans="1:45" x14ac:dyDescent="0.3">
      <c r="A936" s="7" t="s">
        <v>3081</v>
      </c>
      <c r="B936" s="7" t="s">
        <v>5377</v>
      </c>
      <c r="C936" s="7" t="s">
        <v>237</v>
      </c>
      <c r="D936" s="7" t="s">
        <v>253</v>
      </c>
      <c r="E936" s="7" t="s">
        <v>41</v>
      </c>
      <c r="F936" s="7" t="s">
        <v>363</v>
      </c>
      <c r="G936" s="7" t="s">
        <v>23</v>
      </c>
      <c r="H936" s="7" t="s">
        <v>212</v>
      </c>
      <c r="I936" s="7" t="s">
        <v>191</v>
      </c>
      <c r="J936" s="6" t="s">
        <v>130</v>
      </c>
      <c r="K936" s="7" t="s">
        <v>204</v>
      </c>
      <c r="L936" s="7" t="s">
        <v>3082</v>
      </c>
      <c r="M936" s="7" t="s">
        <v>5512</v>
      </c>
      <c r="N936" s="7"/>
      <c r="O936" s="7" t="s">
        <v>5198</v>
      </c>
      <c r="P936" s="7">
        <v>46</v>
      </c>
      <c r="Q936" s="7">
        <v>40535781</v>
      </c>
      <c r="R936" s="7">
        <v>0.25</v>
      </c>
      <c r="S936" s="7">
        <v>0.11</v>
      </c>
      <c r="T936" s="7">
        <v>33746037.68</v>
      </c>
      <c r="U936" s="7">
        <v>21780362.030000001</v>
      </c>
      <c r="V936" s="7">
        <v>0.38</v>
      </c>
      <c r="W936" s="7">
        <v>0.11</v>
      </c>
      <c r="X936" s="7" t="s">
        <v>3083</v>
      </c>
      <c r="Y936" s="7">
        <v>13276501.68</v>
      </c>
      <c r="Z936" s="7">
        <v>5027299.25</v>
      </c>
      <c r="AA936" s="7">
        <v>45</v>
      </c>
      <c r="AB936" s="7">
        <v>38</v>
      </c>
      <c r="AC936" s="7"/>
      <c r="AD936" s="7" t="s">
        <v>455</v>
      </c>
      <c r="AE936" s="7">
        <v>0.91</v>
      </c>
      <c r="AF936" s="7" t="s">
        <v>4303</v>
      </c>
      <c r="AG936" s="7">
        <v>0.05</v>
      </c>
      <c r="AH936" s="7">
        <v>0.01</v>
      </c>
      <c r="AI936" s="7">
        <v>9</v>
      </c>
      <c r="AJ936" s="7">
        <v>990</v>
      </c>
      <c r="AK936" s="7">
        <v>6064371.2199999997</v>
      </c>
      <c r="AL936" s="7">
        <v>5653568.6100000003</v>
      </c>
      <c r="AM936" s="7" t="s">
        <v>355</v>
      </c>
      <c r="AN936" s="7" t="s">
        <v>386</v>
      </c>
      <c r="AO936" s="7">
        <v>61</v>
      </c>
      <c r="AP936" s="7">
        <v>60</v>
      </c>
      <c r="AQ936" s="7"/>
      <c r="AR936" s="7" t="s">
        <v>192</v>
      </c>
      <c r="AS936" s="7"/>
    </row>
    <row r="937" spans="1:45" x14ac:dyDescent="0.3">
      <c r="A937" s="6" t="s">
        <v>2213</v>
      </c>
      <c r="B937" s="6" t="s">
        <v>4247</v>
      </c>
      <c r="C937" s="6" t="s">
        <v>261</v>
      </c>
      <c r="D937" s="6" t="s">
        <v>255</v>
      </c>
      <c r="E937" s="6" t="s">
        <v>41</v>
      </c>
      <c r="F937" s="6" t="s">
        <v>350</v>
      </c>
      <c r="G937" s="6" t="s">
        <v>23</v>
      </c>
      <c r="H937" s="6" t="s">
        <v>4326</v>
      </c>
      <c r="I937" s="6" t="s">
        <v>4272</v>
      </c>
      <c r="J937" s="6" t="s">
        <v>105</v>
      </c>
      <c r="K937" s="6" t="s">
        <v>223</v>
      </c>
      <c r="L937" s="6" t="s">
        <v>4248</v>
      </c>
      <c r="M937" s="6" t="s">
        <v>3478</v>
      </c>
      <c r="N937" s="6"/>
      <c r="O937" s="6" t="s">
        <v>4045</v>
      </c>
      <c r="P937" s="6">
        <v>18</v>
      </c>
      <c r="Q937" s="6">
        <v>11822469</v>
      </c>
      <c r="R937" s="6">
        <v>0.31</v>
      </c>
      <c r="S937" s="6">
        <v>0.14000000000000001</v>
      </c>
      <c r="T937" s="6">
        <v>9299554.1199999992</v>
      </c>
      <c r="U937" s="6">
        <v>6047226.6799999997</v>
      </c>
      <c r="V937" s="6">
        <v>0.35</v>
      </c>
      <c r="W937" s="6">
        <v>0.16</v>
      </c>
      <c r="X937" s="6" t="s">
        <v>4249</v>
      </c>
      <c r="Y937" s="6">
        <v>1355628.93</v>
      </c>
      <c r="Z937" s="6">
        <v>636438.48</v>
      </c>
      <c r="AA937" s="6">
        <v>120</v>
      </c>
      <c r="AB937" s="6">
        <v>44</v>
      </c>
      <c r="AC937" s="6" t="s">
        <v>342</v>
      </c>
      <c r="AD937" s="6" t="s">
        <v>336</v>
      </c>
      <c r="AE937" s="6">
        <v>0.3</v>
      </c>
      <c r="AF937" s="6" t="s">
        <v>4312</v>
      </c>
      <c r="AG937" s="6">
        <v>0.05</v>
      </c>
      <c r="AH937" s="6">
        <v>0.05</v>
      </c>
      <c r="AI937" s="6">
        <v>2</v>
      </c>
      <c r="AJ937" s="6">
        <v>239</v>
      </c>
      <c r="AK937" s="6">
        <v>407431.53</v>
      </c>
      <c r="AL937" s="6">
        <v>3404111.05</v>
      </c>
      <c r="AM937" s="6"/>
      <c r="AN937" s="6" t="s">
        <v>356</v>
      </c>
      <c r="AO937" s="6">
        <v>67.7</v>
      </c>
      <c r="AP937" s="6" t="s">
        <v>4275</v>
      </c>
      <c r="AQ937" s="6"/>
      <c r="AR937" s="6" t="s">
        <v>192</v>
      </c>
      <c r="AS937" s="6" t="s">
        <v>324</v>
      </c>
    </row>
    <row r="938" spans="1:45" x14ac:dyDescent="0.3">
      <c r="A938" s="7" t="s">
        <v>3084</v>
      </c>
      <c r="B938" s="7" t="s">
        <v>5145</v>
      </c>
      <c r="C938" s="7" t="s">
        <v>231</v>
      </c>
      <c r="D938" s="7" t="s">
        <v>209</v>
      </c>
      <c r="E938" s="7" t="s">
        <v>4376</v>
      </c>
      <c r="F938" s="7" t="s">
        <v>35</v>
      </c>
      <c r="G938" s="7" t="s">
        <v>78</v>
      </c>
      <c r="H938" s="7" t="s">
        <v>4326</v>
      </c>
      <c r="I938" s="7" t="s">
        <v>240</v>
      </c>
      <c r="J938" s="7" t="s">
        <v>136</v>
      </c>
      <c r="K938" s="7" t="s">
        <v>221</v>
      </c>
      <c r="L938" s="7" t="s">
        <v>3085</v>
      </c>
      <c r="M938" s="7" t="s">
        <v>3316</v>
      </c>
      <c r="N938" s="7"/>
      <c r="O938" s="7" t="s">
        <v>5513</v>
      </c>
      <c r="P938" s="7">
        <v>36</v>
      </c>
      <c r="Q938" s="7">
        <v>43856124</v>
      </c>
      <c r="R938" s="7">
        <v>0.05</v>
      </c>
      <c r="S938" s="7">
        <v>0.02</v>
      </c>
      <c r="T938" s="7">
        <v>42496584.159999996</v>
      </c>
      <c r="U938" s="7">
        <v>37499811.539999999</v>
      </c>
      <c r="V938" s="7">
        <v>0.22</v>
      </c>
      <c r="W938" s="7">
        <v>0.14000000000000001</v>
      </c>
      <c r="X938" s="7" t="s">
        <v>3086</v>
      </c>
      <c r="Y938" s="7">
        <v>21898069.390000001</v>
      </c>
      <c r="Z938" s="7">
        <v>20807773.359999999</v>
      </c>
      <c r="AA938" s="7">
        <v>30</v>
      </c>
      <c r="AB938" s="7">
        <v>103</v>
      </c>
      <c r="AC938" s="7"/>
      <c r="AD938" s="7" t="s">
        <v>336</v>
      </c>
      <c r="AE938" s="7">
        <v>0.23</v>
      </c>
      <c r="AF938" s="7" t="s">
        <v>4361</v>
      </c>
      <c r="AG938" s="7">
        <v>0.05</v>
      </c>
      <c r="AH938" s="7">
        <v>0.06</v>
      </c>
      <c r="AI938" s="7">
        <v>0</v>
      </c>
      <c r="AJ938" s="7">
        <v>2247</v>
      </c>
      <c r="AK938" s="7">
        <v>884107.66</v>
      </c>
      <c r="AL938" s="7">
        <v>9341552.4299999997</v>
      </c>
      <c r="AM938" s="7" t="s">
        <v>391</v>
      </c>
      <c r="AN938" s="7" t="s">
        <v>386</v>
      </c>
      <c r="AO938" s="7">
        <v>64.2</v>
      </c>
      <c r="AP938" s="7">
        <v>48</v>
      </c>
      <c r="AQ938" s="7" t="s">
        <v>392</v>
      </c>
      <c r="AR938" s="7" t="s">
        <v>224</v>
      </c>
      <c r="AS938" s="7" t="s">
        <v>357</v>
      </c>
    </row>
    <row r="939" spans="1:45" x14ac:dyDescent="0.3">
      <c r="A939" s="6" t="s">
        <v>3087</v>
      </c>
      <c r="B939" s="6" t="s">
        <v>4667</v>
      </c>
      <c r="C939" s="6" t="s">
        <v>280</v>
      </c>
      <c r="D939" s="6" t="s">
        <v>281</v>
      </c>
      <c r="E939" s="6"/>
      <c r="F939" s="6" t="s">
        <v>181</v>
      </c>
      <c r="G939" s="6" t="s">
        <v>70</v>
      </c>
      <c r="H939" s="6" t="s">
        <v>4271</v>
      </c>
      <c r="I939" s="6" t="s">
        <v>246</v>
      </c>
      <c r="J939" s="6" t="s">
        <v>99</v>
      </c>
      <c r="K939" s="6" t="s">
        <v>326</v>
      </c>
      <c r="L939" s="6" t="s">
        <v>3088</v>
      </c>
      <c r="M939" s="6" t="s">
        <v>4347</v>
      </c>
      <c r="N939" s="6" t="s">
        <v>3432</v>
      </c>
      <c r="O939" s="6" t="s">
        <v>4250</v>
      </c>
      <c r="P939" s="6" t="s">
        <v>4275</v>
      </c>
      <c r="Q939" s="6">
        <v>20259257</v>
      </c>
      <c r="R939" s="6">
        <v>0.28999999999999998</v>
      </c>
      <c r="S939" s="6">
        <v>0.12</v>
      </c>
      <c r="T939" s="6">
        <v>16110161.17</v>
      </c>
      <c r="U939" s="6">
        <v>13690790.189999999</v>
      </c>
      <c r="V939" s="6">
        <v>0.09</v>
      </c>
      <c r="W939" s="6">
        <v>0.14000000000000001</v>
      </c>
      <c r="X939" s="6" t="s">
        <v>3089</v>
      </c>
      <c r="Y939" s="6">
        <v>11141364.779999999</v>
      </c>
      <c r="Z939" s="6">
        <v>5818088.9400000004</v>
      </c>
      <c r="AA939" s="6">
        <v>60</v>
      </c>
      <c r="AB939" s="6">
        <v>31</v>
      </c>
      <c r="AC939" s="6" t="s">
        <v>347</v>
      </c>
      <c r="AD939" s="6" t="s">
        <v>226</v>
      </c>
      <c r="AE939" s="6">
        <v>0.59</v>
      </c>
      <c r="AF939" s="6" t="s">
        <v>4294</v>
      </c>
      <c r="AG939" s="6">
        <v>0.15</v>
      </c>
      <c r="AH939" s="6">
        <v>0.04</v>
      </c>
      <c r="AI939" s="6">
        <v>0</v>
      </c>
      <c r="AJ939" s="6">
        <v>1069</v>
      </c>
      <c r="AK939" s="6">
        <v>1613492.24</v>
      </c>
      <c r="AL939" s="6">
        <v>7227021.2699999996</v>
      </c>
      <c r="AM939" s="6" t="s">
        <v>355</v>
      </c>
      <c r="AN939" s="6" t="s">
        <v>386</v>
      </c>
      <c r="AO939" s="6">
        <v>73.8</v>
      </c>
      <c r="AP939" s="6">
        <v>24</v>
      </c>
      <c r="AQ939" s="6" t="s">
        <v>4275</v>
      </c>
      <c r="AR939" s="6" t="s">
        <v>206</v>
      </c>
      <c r="AS939" s="6" t="s">
        <v>357</v>
      </c>
    </row>
    <row r="940" spans="1:45" x14ac:dyDescent="0.3">
      <c r="A940" s="7" t="s">
        <v>3090</v>
      </c>
      <c r="B940" s="7" t="s">
        <v>5514</v>
      </c>
      <c r="C940" s="7" t="s">
        <v>285</v>
      </c>
      <c r="D940" s="7" t="s">
        <v>180</v>
      </c>
      <c r="E940" s="7" t="s">
        <v>36</v>
      </c>
      <c r="F940" s="7" t="s">
        <v>19</v>
      </c>
      <c r="G940" s="7" t="s">
        <v>46</v>
      </c>
      <c r="H940" s="7" t="s">
        <v>236</v>
      </c>
      <c r="I940" s="7" t="s">
        <v>4372</v>
      </c>
      <c r="J940" s="7" t="s">
        <v>115</v>
      </c>
      <c r="K940" s="7" t="s">
        <v>184</v>
      </c>
      <c r="L940" s="7" t="s">
        <v>3091</v>
      </c>
      <c r="M940" s="7" t="s">
        <v>5515</v>
      </c>
      <c r="N940" s="7" t="s">
        <v>4222</v>
      </c>
      <c r="O940" s="7" t="s">
        <v>5363</v>
      </c>
      <c r="P940" s="7">
        <v>8</v>
      </c>
      <c r="Q940" s="7">
        <v>34339282</v>
      </c>
      <c r="R940" s="7">
        <v>7.0000000000000007E-2</v>
      </c>
      <c r="S940" s="7">
        <v>0.13</v>
      </c>
      <c r="T940" s="7">
        <v>36087151.450000003</v>
      </c>
      <c r="U940" s="7"/>
      <c r="V940" s="7">
        <v>0.37</v>
      </c>
      <c r="W940" s="7">
        <v>0.08</v>
      </c>
      <c r="X940" s="7" t="s">
        <v>3092</v>
      </c>
      <c r="Y940" s="7">
        <v>21477733.469999999</v>
      </c>
      <c r="Z940" s="7">
        <v>21111670.27</v>
      </c>
      <c r="AA940" s="7">
        <v>120</v>
      </c>
      <c r="AB940" s="7">
        <v>129</v>
      </c>
      <c r="AC940" s="7" t="s">
        <v>329</v>
      </c>
      <c r="AD940" s="7" t="s">
        <v>406</v>
      </c>
      <c r="AE940" s="7">
        <v>0.53</v>
      </c>
      <c r="AF940" s="7" t="s">
        <v>152</v>
      </c>
      <c r="AG940" s="7">
        <v>0.05</v>
      </c>
      <c r="AH940" s="7">
        <v>0.03</v>
      </c>
      <c r="AI940" s="7">
        <v>1</v>
      </c>
      <c r="AJ940" s="7">
        <v>4684</v>
      </c>
      <c r="AK940" s="7">
        <v>8193904.7000000002</v>
      </c>
      <c r="AL940" s="7">
        <v>14995283.539999999</v>
      </c>
      <c r="AM940" s="7" t="s">
        <v>73</v>
      </c>
      <c r="AN940" s="7" t="s">
        <v>348</v>
      </c>
      <c r="AO940" s="7">
        <v>89.9</v>
      </c>
      <c r="AP940" s="7">
        <v>36</v>
      </c>
      <c r="AQ940" s="7" t="s">
        <v>392</v>
      </c>
      <c r="AR940" s="7" t="s">
        <v>192</v>
      </c>
      <c r="AS940" s="7" t="s">
        <v>357</v>
      </c>
    </row>
    <row r="941" spans="1:45" x14ac:dyDescent="0.3">
      <c r="A941" s="6" t="s">
        <v>3093</v>
      </c>
      <c r="B941" s="6" t="s">
        <v>5516</v>
      </c>
      <c r="C941" s="6" t="s">
        <v>268</v>
      </c>
      <c r="D941" s="6" t="s">
        <v>562</v>
      </c>
      <c r="E941" s="6" t="s">
        <v>4270</v>
      </c>
      <c r="F941" s="6" t="s">
        <v>181</v>
      </c>
      <c r="G941" s="6" t="s">
        <v>28</v>
      </c>
      <c r="H941" s="6" t="s">
        <v>212</v>
      </c>
      <c r="I941" s="6" t="s">
        <v>233</v>
      </c>
      <c r="J941" s="6" t="s">
        <v>127</v>
      </c>
      <c r="K941" s="6" t="s">
        <v>326</v>
      </c>
      <c r="L941" s="6" t="s">
        <v>3094</v>
      </c>
      <c r="M941" s="6" t="s">
        <v>4716</v>
      </c>
      <c r="N941" s="6"/>
      <c r="O941" s="6" t="s">
        <v>5517</v>
      </c>
      <c r="P941" s="6">
        <v>21</v>
      </c>
      <c r="Q941" s="6">
        <v>497993</v>
      </c>
      <c r="R941" s="6">
        <v>0.3</v>
      </c>
      <c r="S941" s="6">
        <v>7.0000000000000007E-2</v>
      </c>
      <c r="T941" s="6">
        <v>372996.76</v>
      </c>
      <c r="U941" s="6">
        <v>326557.94</v>
      </c>
      <c r="V941" s="6">
        <v>0.2</v>
      </c>
      <c r="W941" s="6">
        <v>0.11</v>
      </c>
      <c r="X941" s="6" t="s">
        <v>3095</v>
      </c>
      <c r="Y941" s="6">
        <v>222142.49</v>
      </c>
      <c r="Z941" s="6">
        <v>68872.899999999994</v>
      </c>
      <c r="AA941" s="6">
        <v>90</v>
      </c>
      <c r="AB941" s="6">
        <v>137</v>
      </c>
      <c r="AC941" s="6" t="s">
        <v>347</v>
      </c>
      <c r="AD941" s="6" t="s">
        <v>406</v>
      </c>
      <c r="AE941" s="6">
        <v>0.15</v>
      </c>
      <c r="AF941" s="6" t="s">
        <v>153</v>
      </c>
      <c r="AG941" s="6">
        <v>0.05</v>
      </c>
      <c r="AH941" s="6">
        <v>0.08</v>
      </c>
      <c r="AI941" s="6">
        <v>1</v>
      </c>
      <c r="AJ941" s="6">
        <v>3870</v>
      </c>
      <c r="AK941" s="6">
        <v>36964.1</v>
      </c>
      <c r="AL941" s="6">
        <v>136223.10999999999</v>
      </c>
      <c r="AM941" s="6" t="s">
        <v>385</v>
      </c>
      <c r="AN941" s="6" t="s">
        <v>348</v>
      </c>
      <c r="AO941" s="6">
        <v>61.7</v>
      </c>
      <c r="AP941" s="6" t="s">
        <v>4275</v>
      </c>
      <c r="AQ941" s="6" t="s">
        <v>4275</v>
      </c>
      <c r="AR941" s="6" t="s">
        <v>206</v>
      </c>
      <c r="AS941" s="6" t="s">
        <v>377</v>
      </c>
    </row>
    <row r="942" spans="1:45" x14ac:dyDescent="0.3">
      <c r="A942" s="7" t="s">
        <v>3096</v>
      </c>
      <c r="B942" s="7" t="s">
        <v>4709</v>
      </c>
      <c r="C942" s="7" t="s">
        <v>284</v>
      </c>
      <c r="D942" s="7" t="s">
        <v>250</v>
      </c>
      <c r="E942" s="7" t="s">
        <v>4325</v>
      </c>
      <c r="F942" s="7" t="s">
        <v>19</v>
      </c>
      <c r="G942" s="7" t="s">
        <v>66</v>
      </c>
      <c r="H942" s="7" t="s">
        <v>212</v>
      </c>
      <c r="I942" s="7" t="s">
        <v>191</v>
      </c>
      <c r="J942" s="7" t="s">
        <v>115</v>
      </c>
      <c r="K942" s="7" t="s">
        <v>333</v>
      </c>
      <c r="L942" s="7" t="s">
        <v>3097</v>
      </c>
      <c r="M942" s="7" t="s">
        <v>4590</v>
      </c>
      <c r="N942" s="7" t="s">
        <v>3391</v>
      </c>
      <c r="O942" s="7" t="s">
        <v>4926</v>
      </c>
      <c r="P942" s="7">
        <v>15</v>
      </c>
      <c r="Q942" s="7">
        <v>13874177</v>
      </c>
      <c r="R942" s="7">
        <v>0.1</v>
      </c>
      <c r="S942" s="7">
        <v>0.01</v>
      </c>
      <c r="T942" s="7">
        <v>12611626.890000001</v>
      </c>
      <c r="U942" s="7">
        <v>10649638.73</v>
      </c>
      <c r="V942" s="7">
        <v>0.27</v>
      </c>
      <c r="W942" s="7">
        <v>7.0000000000000007E-2</v>
      </c>
      <c r="X942" s="7" t="s">
        <v>3098</v>
      </c>
      <c r="Y942" s="7">
        <v>2081078.57</v>
      </c>
      <c r="Z942" s="7">
        <v>1563925.36</v>
      </c>
      <c r="AA942" s="7">
        <v>90</v>
      </c>
      <c r="AB942" s="7">
        <v>139</v>
      </c>
      <c r="AC942" s="7"/>
      <c r="AD942" s="7" t="s">
        <v>455</v>
      </c>
      <c r="AE942" s="7">
        <v>0.92</v>
      </c>
      <c r="AF942" s="7"/>
      <c r="AG942" s="7">
        <v>0.1</v>
      </c>
      <c r="AH942" s="7">
        <v>7.0000000000000007E-2</v>
      </c>
      <c r="AI942" s="7">
        <v>2</v>
      </c>
      <c r="AJ942" s="7">
        <v>4376</v>
      </c>
      <c r="AK942" s="7">
        <v>2952563.86</v>
      </c>
      <c r="AL942" s="7">
        <v>3449985.47</v>
      </c>
      <c r="AM942" s="7" t="s">
        <v>321</v>
      </c>
      <c r="AN942" s="7" t="s">
        <v>330</v>
      </c>
      <c r="AO942" s="7">
        <v>63.3</v>
      </c>
      <c r="AP942" s="7">
        <v>12</v>
      </c>
      <c r="AQ942" s="7" t="s">
        <v>392</v>
      </c>
      <c r="AR942" s="7" t="s">
        <v>229</v>
      </c>
      <c r="AS942" s="7" t="s">
        <v>324</v>
      </c>
    </row>
    <row r="943" spans="1:45" x14ac:dyDescent="0.3">
      <c r="A943" s="6" t="s">
        <v>3099</v>
      </c>
      <c r="B943" s="6" t="s">
        <v>5084</v>
      </c>
      <c r="C943" s="6" t="s">
        <v>276</v>
      </c>
      <c r="D943" s="6" t="s">
        <v>245</v>
      </c>
      <c r="E943" s="6" t="s">
        <v>113</v>
      </c>
      <c r="F943" s="6" t="s">
        <v>181</v>
      </c>
      <c r="G943" s="6" t="s">
        <v>70</v>
      </c>
      <c r="H943" s="6" t="s">
        <v>4280</v>
      </c>
      <c r="I943" s="6" t="s">
        <v>213</v>
      </c>
      <c r="J943" s="6" t="s">
        <v>123</v>
      </c>
      <c r="K943" s="6" t="s">
        <v>333</v>
      </c>
      <c r="L943" s="6" t="s">
        <v>3100</v>
      </c>
      <c r="M943" s="6" t="s">
        <v>5518</v>
      </c>
      <c r="N943" s="6" t="s">
        <v>5519</v>
      </c>
      <c r="O943" s="6" t="s">
        <v>5520</v>
      </c>
      <c r="P943" s="6">
        <v>55</v>
      </c>
      <c r="Q943" s="6">
        <v>4515095</v>
      </c>
      <c r="R943" s="6">
        <v>0.13</v>
      </c>
      <c r="S943" s="6">
        <v>-0.01</v>
      </c>
      <c r="T943" s="6">
        <v>3888851.32</v>
      </c>
      <c r="U943" s="6">
        <v>3379916.71</v>
      </c>
      <c r="V943" s="6">
        <v>0.11</v>
      </c>
      <c r="W943" s="6">
        <v>0.09</v>
      </c>
      <c r="X943" s="6" t="s">
        <v>3101</v>
      </c>
      <c r="Y943" s="6">
        <v>3174543.28</v>
      </c>
      <c r="Z943" s="6">
        <v>1246672.55</v>
      </c>
      <c r="AA943" s="6">
        <v>120</v>
      </c>
      <c r="AB943" s="6">
        <v>129</v>
      </c>
      <c r="AC943" s="6"/>
      <c r="AD943" s="6" t="s">
        <v>455</v>
      </c>
      <c r="AE943" s="6">
        <v>0.63</v>
      </c>
      <c r="AF943" s="6" t="s">
        <v>4361</v>
      </c>
      <c r="AG943" s="6">
        <v>0.1</v>
      </c>
      <c r="AH943" s="6">
        <v>7.0000000000000007E-2</v>
      </c>
      <c r="AI943" s="6">
        <v>3</v>
      </c>
      <c r="AJ943" s="6">
        <v>667</v>
      </c>
      <c r="AK943" s="6">
        <v>621464.04</v>
      </c>
      <c r="AL943" s="6">
        <v>576346.11</v>
      </c>
      <c r="AM943" s="6"/>
      <c r="AN943" s="6" t="s">
        <v>386</v>
      </c>
      <c r="AO943" s="6">
        <v>69.2</v>
      </c>
      <c r="AP943" s="6">
        <v>60</v>
      </c>
      <c r="AQ943" s="6" t="s">
        <v>323</v>
      </c>
      <c r="AR943" s="6" t="s">
        <v>186</v>
      </c>
      <c r="AS943" s="6" t="s">
        <v>377</v>
      </c>
    </row>
    <row r="944" spans="1:45" x14ac:dyDescent="0.3">
      <c r="A944" s="7" t="s">
        <v>3102</v>
      </c>
      <c r="B944" s="7" t="s">
        <v>5521</v>
      </c>
      <c r="C944" s="7" t="s">
        <v>256</v>
      </c>
      <c r="D944" s="7" t="s">
        <v>265</v>
      </c>
      <c r="E944" s="7" t="s">
        <v>41</v>
      </c>
      <c r="F944" s="7" t="s">
        <v>350</v>
      </c>
      <c r="G944" s="7" t="s">
        <v>38</v>
      </c>
      <c r="H944" s="7" t="s">
        <v>4271</v>
      </c>
      <c r="I944" s="7" t="s">
        <v>240</v>
      </c>
      <c r="J944" s="6" t="s">
        <v>130</v>
      </c>
      <c r="K944" s="7" t="s">
        <v>221</v>
      </c>
      <c r="L944" s="7" t="s">
        <v>3103</v>
      </c>
      <c r="M944" s="7" t="s">
        <v>3314</v>
      </c>
      <c r="N944" s="7" t="s">
        <v>4252</v>
      </c>
      <c r="O944" s="7" t="s">
        <v>5522</v>
      </c>
      <c r="P944" s="7" t="s">
        <v>4275</v>
      </c>
      <c r="Q944" s="7">
        <v>16201281</v>
      </c>
      <c r="R944" s="7">
        <v>0.15</v>
      </c>
      <c r="S944" s="7">
        <v>0.09</v>
      </c>
      <c r="T944" s="7">
        <v>15010486.85</v>
      </c>
      <c r="U944" s="7">
        <v>12158413.34</v>
      </c>
      <c r="V944" s="7">
        <v>0.21</v>
      </c>
      <c r="W944" s="7">
        <v>0.05</v>
      </c>
      <c r="X944" s="7" t="s">
        <v>3104</v>
      </c>
      <c r="Y944" s="7">
        <v>10835626.58</v>
      </c>
      <c r="Z944" s="7">
        <v>10987374.08</v>
      </c>
      <c r="AA944" s="7">
        <v>45</v>
      </c>
      <c r="AB944" s="7">
        <v>70</v>
      </c>
      <c r="AC944" s="7" t="s">
        <v>353</v>
      </c>
      <c r="AD944" s="7" t="s">
        <v>320</v>
      </c>
      <c r="AE944" s="7">
        <v>0.4</v>
      </c>
      <c r="AF944" s="7" t="s">
        <v>153</v>
      </c>
      <c r="AG944" s="7">
        <v>0.15</v>
      </c>
      <c r="AH944" s="7">
        <v>0.03</v>
      </c>
      <c r="AI944" s="7">
        <v>6</v>
      </c>
      <c r="AJ944" s="7"/>
      <c r="AK944" s="7">
        <v>1596624.04</v>
      </c>
      <c r="AL944" s="7">
        <v>4954807.33</v>
      </c>
      <c r="AM944" s="7" t="s">
        <v>355</v>
      </c>
      <c r="AN944" s="7" t="s">
        <v>348</v>
      </c>
      <c r="AO944" s="7">
        <v>78.3</v>
      </c>
      <c r="AP944" s="7">
        <v>48</v>
      </c>
      <c r="AQ944" s="7" t="s">
        <v>4275</v>
      </c>
      <c r="AR944" s="7" t="s">
        <v>229</v>
      </c>
      <c r="AS944" s="7" t="s">
        <v>357</v>
      </c>
    </row>
    <row r="945" spans="1:45" x14ac:dyDescent="0.3">
      <c r="A945" s="6" t="s">
        <v>3105</v>
      </c>
      <c r="B945" s="6" t="s">
        <v>5523</v>
      </c>
      <c r="C945" s="6" t="s">
        <v>286</v>
      </c>
      <c r="D945" s="6" t="s">
        <v>255</v>
      </c>
      <c r="E945" s="6" t="s">
        <v>41</v>
      </c>
      <c r="F945" s="6" t="s">
        <v>228</v>
      </c>
      <c r="G945" s="6" t="s">
        <v>46</v>
      </c>
      <c r="H945" s="6" t="s">
        <v>212</v>
      </c>
      <c r="I945" s="6" t="s">
        <v>4307</v>
      </c>
      <c r="J945" s="6" t="s">
        <v>105</v>
      </c>
      <c r="K945" s="6" t="s">
        <v>333</v>
      </c>
      <c r="L945" s="6" t="s">
        <v>3106</v>
      </c>
      <c r="M945" s="6" t="s">
        <v>3469</v>
      </c>
      <c r="N945" s="6" t="s">
        <v>4465</v>
      </c>
      <c r="O945" s="6" t="s">
        <v>4274</v>
      </c>
      <c r="P945" s="6" t="s">
        <v>4275</v>
      </c>
      <c r="Q945" s="6">
        <v>14637791</v>
      </c>
      <c r="R945" s="6">
        <v>0.26</v>
      </c>
      <c r="S945" s="6">
        <v>0.02</v>
      </c>
      <c r="T945" s="6">
        <v>11048604.65</v>
      </c>
      <c r="U945" s="6">
        <v>8711311.4000000004</v>
      </c>
      <c r="V945" s="6">
        <v>0.22</v>
      </c>
      <c r="W945" s="6">
        <v>0.17</v>
      </c>
      <c r="X945" s="6" t="s">
        <v>3107</v>
      </c>
      <c r="Y945" s="6">
        <v>3102493.78</v>
      </c>
      <c r="Z945" s="6">
        <v>2644760.15</v>
      </c>
      <c r="AA945" s="6">
        <v>120</v>
      </c>
      <c r="AB945" s="6">
        <v>51</v>
      </c>
      <c r="AC945" s="6"/>
      <c r="AD945" s="6" t="s">
        <v>320</v>
      </c>
      <c r="AE945" s="6">
        <v>0.61</v>
      </c>
      <c r="AF945" s="6" t="s">
        <v>162</v>
      </c>
      <c r="AG945" s="6">
        <v>0.05</v>
      </c>
      <c r="AH945" s="6">
        <v>0.06</v>
      </c>
      <c r="AI945" s="6">
        <v>13</v>
      </c>
      <c r="AJ945" s="6">
        <v>4360</v>
      </c>
      <c r="AK945" s="6">
        <v>436614.66</v>
      </c>
      <c r="AL945" s="6">
        <v>4793880.67</v>
      </c>
      <c r="AM945" s="6" t="s">
        <v>355</v>
      </c>
      <c r="AN945" s="6" t="s">
        <v>321</v>
      </c>
      <c r="AO945" s="6">
        <v>71.2</v>
      </c>
      <c r="AP945" s="6">
        <v>24</v>
      </c>
      <c r="AQ945" s="6" t="s">
        <v>323</v>
      </c>
      <c r="AR945" s="6" t="s">
        <v>192</v>
      </c>
      <c r="AS945" s="6" t="s">
        <v>361</v>
      </c>
    </row>
    <row r="946" spans="1:45" x14ac:dyDescent="0.3">
      <c r="A946" s="7" t="s">
        <v>3108</v>
      </c>
      <c r="B946" s="7" t="s">
        <v>3515</v>
      </c>
      <c r="C946" s="7" t="s">
        <v>268</v>
      </c>
      <c r="D946" s="7" t="s">
        <v>190</v>
      </c>
      <c r="E946" s="7" t="s">
        <v>4376</v>
      </c>
      <c r="F946" s="7"/>
      <c r="G946" s="7" t="s">
        <v>50</v>
      </c>
      <c r="H946" s="7" t="s">
        <v>197</v>
      </c>
      <c r="I946" s="7" t="s">
        <v>246</v>
      </c>
      <c r="J946" s="7" t="s">
        <v>136</v>
      </c>
      <c r="K946" s="7" t="s">
        <v>326</v>
      </c>
      <c r="L946" s="7" t="s">
        <v>3109</v>
      </c>
      <c r="M946" s="7" t="s">
        <v>5524</v>
      </c>
      <c r="N946" s="7" t="s">
        <v>5229</v>
      </c>
      <c r="O946" s="7" t="s">
        <v>5433</v>
      </c>
      <c r="P946" s="7" t="s">
        <v>4275</v>
      </c>
      <c r="Q946" s="7">
        <v>33946705</v>
      </c>
      <c r="R946" s="7">
        <v>0.3</v>
      </c>
      <c r="S946" s="7">
        <v>0.03</v>
      </c>
      <c r="T946" s="7">
        <v>24475574.300000001</v>
      </c>
      <c r="U946" s="7">
        <v>21711116.010000002</v>
      </c>
      <c r="V946" s="7">
        <v>0.38</v>
      </c>
      <c r="W946" s="7">
        <v>0.1</v>
      </c>
      <c r="X946" s="7" t="s">
        <v>3110</v>
      </c>
      <c r="Y946" s="7">
        <v>6700670.0999999996</v>
      </c>
      <c r="Z946" s="7">
        <v>4520521.5999999996</v>
      </c>
      <c r="AA946" s="7">
        <v>30</v>
      </c>
      <c r="AB946" s="7">
        <v>16</v>
      </c>
      <c r="AC946" s="7" t="s">
        <v>376</v>
      </c>
      <c r="AD946" s="7" t="s">
        <v>354</v>
      </c>
      <c r="AE946" s="7">
        <v>0.28999999999999998</v>
      </c>
      <c r="AF946" s="7" t="s">
        <v>152</v>
      </c>
      <c r="AG946" s="7">
        <v>0.15</v>
      </c>
      <c r="AH946" s="7">
        <v>0.09</v>
      </c>
      <c r="AI946" s="7">
        <v>11</v>
      </c>
      <c r="AJ946" s="7">
        <v>3458</v>
      </c>
      <c r="AK946" s="7">
        <v>3594995.48</v>
      </c>
      <c r="AL946" s="7">
        <v>6919266.0499999998</v>
      </c>
      <c r="AM946" s="7" t="s">
        <v>343</v>
      </c>
      <c r="AN946" s="7"/>
      <c r="AO946" s="7">
        <v>58.5</v>
      </c>
      <c r="AP946" s="7">
        <v>24</v>
      </c>
      <c r="AQ946" s="7" t="s">
        <v>323</v>
      </c>
      <c r="AR946" s="7" t="s">
        <v>229</v>
      </c>
      <c r="AS946" s="7" t="s">
        <v>377</v>
      </c>
    </row>
    <row r="947" spans="1:45" x14ac:dyDescent="0.3">
      <c r="A947" s="6" t="s">
        <v>3111</v>
      </c>
      <c r="B947" s="6" t="s">
        <v>3366</v>
      </c>
      <c r="C947" s="6" t="s">
        <v>284</v>
      </c>
      <c r="D947" s="6" t="s">
        <v>190</v>
      </c>
      <c r="E947" s="6" t="s">
        <v>4325</v>
      </c>
      <c r="F947" s="6" t="s">
        <v>339</v>
      </c>
      <c r="G947" s="6" t="s">
        <v>80</v>
      </c>
      <c r="H947" s="6" t="s">
        <v>197</v>
      </c>
      <c r="I947" s="6" t="s">
        <v>4289</v>
      </c>
      <c r="J947" s="6" t="s">
        <v>115</v>
      </c>
      <c r="K947" s="6" t="s">
        <v>326</v>
      </c>
      <c r="L947" s="6" t="s">
        <v>3112</v>
      </c>
      <c r="M947" s="6" t="s">
        <v>5064</v>
      </c>
      <c r="N947" s="6" t="s">
        <v>3890</v>
      </c>
      <c r="O947" s="6" t="s">
        <v>3577</v>
      </c>
      <c r="P947" s="6">
        <v>29</v>
      </c>
      <c r="Q947" s="6">
        <v>24132672</v>
      </c>
      <c r="R947" s="6">
        <v>0.25</v>
      </c>
      <c r="S947" s="6">
        <v>0.16</v>
      </c>
      <c r="T947" s="6">
        <v>20995424.640000001</v>
      </c>
      <c r="U947" s="6">
        <v>13896769.949999999</v>
      </c>
      <c r="V947" s="6">
        <v>0.28000000000000003</v>
      </c>
      <c r="W947" s="6">
        <v>0.1</v>
      </c>
      <c r="X947" s="6" t="s">
        <v>3113</v>
      </c>
      <c r="Y947" s="6">
        <v>12547382.17</v>
      </c>
      <c r="Z947" s="6">
        <v>5588463.2599999998</v>
      </c>
      <c r="AA947" s="6">
        <v>45</v>
      </c>
      <c r="AB947" s="6">
        <v>27</v>
      </c>
      <c r="AC947" s="6" t="s">
        <v>347</v>
      </c>
      <c r="AD947" s="6" t="s">
        <v>226</v>
      </c>
      <c r="AE947" s="6">
        <v>0.84</v>
      </c>
      <c r="AF947" s="6" t="s">
        <v>4319</v>
      </c>
      <c r="AG947" s="6">
        <v>0.1</v>
      </c>
      <c r="AH947" s="6">
        <v>0.05</v>
      </c>
      <c r="AI947" s="6">
        <v>15</v>
      </c>
      <c r="AJ947" s="6">
        <v>3423</v>
      </c>
      <c r="AK947" s="6">
        <v>2858212.99</v>
      </c>
      <c r="AL947" s="6">
        <v>3812897.67</v>
      </c>
      <c r="AM947" s="6" t="s">
        <v>391</v>
      </c>
      <c r="AN947" s="6" t="s">
        <v>330</v>
      </c>
      <c r="AO947" s="6"/>
      <c r="AP947" s="6">
        <v>48</v>
      </c>
      <c r="AQ947" s="6" t="s">
        <v>337</v>
      </c>
      <c r="AR947" s="6" t="s">
        <v>192</v>
      </c>
      <c r="AS947" s="6" t="s">
        <v>357</v>
      </c>
    </row>
    <row r="948" spans="1:45" x14ac:dyDescent="0.3">
      <c r="A948" s="7" t="s">
        <v>3114</v>
      </c>
      <c r="B948" s="7" t="s">
        <v>3891</v>
      </c>
      <c r="C948" s="7" t="s">
        <v>214</v>
      </c>
      <c r="D948" s="7" t="s">
        <v>242</v>
      </c>
      <c r="E948" s="7"/>
      <c r="F948" s="7" t="s">
        <v>228</v>
      </c>
      <c r="G948" s="7" t="s">
        <v>33</v>
      </c>
      <c r="H948" s="7" t="s">
        <v>182</v>
      </c>
      <c r="I948" s="7" t="s">
        <v>240</v>
      </c>
      <c r="J948" s="7" t="s">
        <v>99</v>
      </c>
      <c r="K948" s="7" t="s">
        <v>210</v>
      </c>
      <c r="L948" s="7" t="s">
        <v>3115</v>
      </c>
      <c r="M948" s="7" t="s">
        <v>4253</v>
      </c>
      <c r="N948" s="7"/>
      <c r="O948" s="7" t="s">
        <v>4254</v>
      </c>
      <c r="P948" s="7">
        <v>56</v>
      </c>
      <c r="Q948" s="7">
        <v>45264697</v>
      </c>
      <c r="R948" s="7">
        <v>0.35</v>
      </c>
      <c r="S948" s="7">
        <v>0.19</v>
      </c>
      <c r="T948" s="7">
        <v>35012243.130000003</v>
      </c>
      <c r="U948" s="7">
        <v>26842638.300000001</v>
      </c>
      <c r="V948" s="7">
        <v>0.12</v>
      </c>
      <c r="W948" s="7">
        <v>7.0000000000000007E-2</v>
      </c>
      <c r="X948" s="7" t="s">
        <v>3116</v>
      </c>
      <c r="Y948" s="7">
        <v>18143844.5</v>
      </c>
      <c r="Z948" s="7">
        <v>8546948.7799999993</v>
      </c>
      <c r="AA948" s="7">
        <v>45</v>
      </c>
      <c r="AB948" s="7">
        <v>165</v>
      </c>
      <c r="AC948" s="7" t="s">
        <v>376</v>
      </c>
      <c r="AD948" s="7" t="s">
        <v>381</v>
      </c>
      <c r="AE948" s="7">
        <v>0.64</v>
      </c>
      <c r="AF948" s="7"/>
      <c r="AG948" s="7">
        <v>0.05</v>
      </c>
      <c r="AH948" s="7">
        <v>0.01</v>
      </c>
      <c r="AI948" s="7">
        <v>10</v>
      </c>
      <c r="AJ948" s="7">
        <v>1244</v>
      </c>
      <c r="AK948" s="7">
        <v>1909070.08</v>
      </c>
      <c r="AL948" s="7">
        <v>16589783.699999999</v>
      </c>
      <c r="AM948" s="7" t="s">
        <v>391</v>
      </c>
      <c r="AN948" s="7" t="s">
        <v>348</v>
      </c>
      <c r="AO948" s="7">
        <v>96.7</v>
      </c>
      <c r="AP948" s="7">
        <v>36</v>
      </c>
      <c r="AQ948" s="7" t="s">
        <v>387</v>
      </c>
      <c r="AR948" s="7" t="s">
        <v>206</v>
      </c>
      <c r="AS948" s="7" t="s">
        <v>377</v>
      </c>
    </row>
    <row r="949" spans="1:45" x14ac:dyDescent="0.3">
      <c r="A949" s="6" t="s">
        <v>3117</v>
      </c>
      <c r="B949" s="6" t="s">
        <v>5525</v>
      </c>
      <c r="C949" s="6" t="s">
        <v>219</v>
      </c>
      <c r="D949" s="6" t="s">
        <v>238</v>
      </c>
      <c r="E949" s="6"/>
      <c r="F949" s="6" t="s">
        <v>19</v>
      </c>
      <c r="G949" s="6" t="s">
        <v>78</v>
      </c>
      <c r="H949" s="6"/>
      <c r="I949" s="6"/>
      <c r="J949" s="6" t="s">
        <v>99</v>
      </c>
      <c r="K949" s="6" t="s">
        <v>221</v>
      </c>
      <c r="L949" s="6" t="s">
        <v>3118</v>
      </c>
      <c r="M949" s="6" t="s">
        <v>4445</v>
      </c>
      <c r="N949" s="6" t="s">
        <v>3119</v>
      </c>
      <c r="O949" s="6" t="s">
        <v>5526</v>
      </c>
      <c r="P949" s="6">
        <v>47</v>
      </c>
      <c r="Q949" s="6">
        <v>48428231</v>
      </c>
      <c r="R949" s="6">
        <v>0.03</v>
      </c>
      <c r="S949" s="6">
        <v>0.2</v>
      </c>
      <c r="T949" s="6">
        <v>56370460.880000003</v>
      </c>
      <c r="U949" s="6">
        <v>44467831.079999998</v>
      </c>
      <c r="V949" s="6">
        <v>0.36</v>
      </c>
      <c r="W949" s="6">
        <v>0.16</v>
      </c>
      <c r="X949" s="6" t="s">
        <v>3120</v>
      </c>
      <c r="Y949" s="6">
        <v>10532000.92</v>
      </c>
      <c r="Z949" s="6">
        <v>6816677.5899999999</v>
      </c>
      <c r="AA949" s="6">
        <v>120</v>
      </c>
      <c r="AB949" s="6">
        <v>132</v>
      </c>
      <c r="AC949" s="6"/>
      <c r="AD949" s="6" t="s">
        <v>406</v>
      </c>
      <c r="AE949" s="6">
        <v>0.09</v>
      </c>
      <c r="AF949" s="6" t="s">
        <v>4276</v>
      </c>
      <c r="AG949" s="6">
        <v>0.05</v>
      </c>
      <c r="AH949" s="6">
        <v>0.02</v>
      </c>
      <c r="AI949" s="6">
        <v>4</v>
      </c>
      <c r="AJ949" s="6">
        <v>855</v>
      </c>
      <c r="AK949" s="6">
        <v>2720068.17</v>
      </c>
      <c r="AL949" s="6">
        <v>10781519.789999999</v>
      </c>
      <c r="AM949" s="6" t="s">
        <v>391</v>
      </c>
      <c r="AN949" s="6" t="s">
        <v>348</v>
      </c>
      <c r="AO949" s="6">
        <v>68.8</v>
      </c>
      <c r="AP949" s="6">
        <v>48</v>
      </c>
      <c r="AQ949" s="6" t="s">
        <v>387</v>
      </c>
      <c r="AR949" s="6" t="s">
        <v>206</v>
      </c>
      <c r="AS949" s="6" t="s">
        <v>361</v>
      </c>
    </row>
    <row r="950" spans="1:45" x14ac:dyDescent="0.3">
      <c r="A950" s="7" t="s">
        <v>3121</v>
      </c>
      <c r="B950" s="7" t="s">
        <v>4791</v>
      </c>
      <c r="C950" s="7" t="s">
        <v>273</v>
      </c>
      <c r="D950" s="7" t="s">
        <v>250</v>
      </c>
      <c r="E950" s="7" t="s">
        <v>20</v>
      </c>
      <c r="F950" s="7"/>
      <c r="G950" s="7" t="s">
        <v>33</v>
      </c>
      <c r="H950" s="7" t="s">
        <v>4326</v>
      </c>
      <c r="I950" s="7" t="s">
        <v>4272</v>
      </c>
      <c r="J950" s="7" t="s">
        <v>136</v>
      </c>
      <c r="K950" s="7" t="s">
        <v>204</v>
      </c>
      <c r="L950" s="7" t="s">
        <v>3122</v>
      </c>
      <c r="M950" s="7" t="s">
        <v>4363</v>
      </c>
      <c r="N950" s="7" t="s">
        <v>5527</v>
      </c>
      <c r="O950" s="7" t="s">
        <v>5528</v>
      </c>
      <c r="P950" s="7">
        <v>19</v>
      </c>
      <c r="Q950" s="7">
        <v>11791129</v>
      </c>
      <c r="R950" s="7">
        <v>0.08</v>
      </c>
      <c r="S950" s="7">
        <v>-0.05</v>
      </c>
      <c r="T950" s="7">
        <v>10305446.75</v>
      </c>
      <c r="U950" s="7">
        <v>8144521.79</v>
      </c>
      <c r="V950" s="7">
        <v>0.33</v>
      </c>
      <c r="W950" s="7">
        <v>0.16</v>
      </c>
      <c r="X950" s="7"/>
      <c r="Y950" s="7">
        <v>8705377.1699999999</v>
      </c>
      <c r="Z950" s="7">
        <v>3899420.96</v>
      </c>
      <c r="AA950" s="7">
        <v>45</v>
      </c>
      <c r="AB950" s="7">
        <v>34</v>
      </c>
      <c r="AC950" s="7" t="s">
        <v>342</v>
      </c>
      <c r="AD950" s="7" t="s">
        <v>406</v>
      </c>
      <c r="AE950" s="7">
        <v>0.27</v>
      </c>
      <c r="AF950" s="7" t="s">
        <v>162</v>
      </c>
      <c r="AG950" s="7">
        <v>0.1</v>
      </c>
      <c r="AH950" s="7">
        <v>0.02</v>
      </c>
      <c r="AI950" s="7">
        <v>12</v>
      </c>
      <c r="AJ950" s="7"/>
      <c r="AK950" s="7"/>
      <c r="AL950" s="7">
        <v>1157849.73</v>
      </c>
      <c r="AM950" s="7" t="s">
        <v>321</v>
      </c>
      <c r="AN950" s="7" t="s">
        <v>321</v>
      </c>
      <c r="AO950" s="7">
        <v>88</v>
      </c>
      <c r="AP950" s="7">
        <v>36</v>
      </c>
      <c r="AQ950" s="7" t="s">
        <v>337</v>
      </c>
      <c r="AR950" s="7" t="s">
        <v>206</v>
      </c>
      <c r="AS950" s="7" t="s">
        <v>357</v>
      </c>
    </row>
    <row r="951" spans="1:45" x14ac:dyDescent="0.3">
      <c r="A951" s="6" t="s">
        <v>3123</v>
      </c>
      <c r="B951" s="6" t="s">
        <v>4887</v>
      </c>
      <c r="C951" s="6" t="s">
        <v>179</v>
      </c>
      <c r="D951" s="6" t="s">
        <v>250</v>
      </c>
      <c r="E951" s="6" t="s">
        <v>4265</v>
      </c>
      <c r="F951" s="6" t="s">
        <v>350</v>
      </c>
      <c r="G951" s="6" t="s">
        <v>28</v>
      </c>
      <c r="H951" s="6" t="s">
        <v>4340</v>
      </c>
      <c r="I951" s="6" t="s">
        <v>4289</v>
      </c>
      <c r="J951" s="6" t="s">
        <v>105</v>
      </c>
      <c r="K951" s="6" t="s">
        <v>184</v>
      </c>
      <c r="L951" s="6" t="s">
        <v>3124</v>
      </c>
      <c r="M951" s="6" t="s">
        <v>3430</v>
      </c>
      <c r="N951" s="6" t="s">
        <v>4188</v>
      </c>
      <c r="O951" s="6" t="s">
        <v>3651</v>
      </c>
      <c r="P951" s="6">
        <v>16</v>
      </c>
      <c r="Q951" s="6">
        <v>26175459</v>
      </c>
      <c r="R951" s="6">
        <v>0.32</v>
      </c>
      <c r="S951" s="6">
        <v>0.08</v>
      </c>
      <c r="T951" s="6">
        <v>19223257.09</v>
      </c>
      <c r="U951" s="6">
        <v>17085238.210000001</v>
      </c>
      <c r="V951" s="6">
        <v>0.24</v>
      </c>
      <c r="W951" s="6">
        <v>7.0000000000000007E-2</v>
      </c>
      <c r="X951" s="6" t="s">
        <v>3125</v>
      </c>
      <c r="Y951" s="6">
        <v>7505308.04</v>
      </c>
      <c r="Z951" s="6">
        <v>4331456.8499999996</v>
      </c>
      <c r="AA951" s="6">
        <v>30</v>
      </c>
      <c r="AB951" s="6">
        <v>52</v>
      </c>
      <c r="AC951" s="6" t="s">
        <v>347</v>
      </c>
      <c r="AD951" s="6" t="s">
        <v>320</v>
      </c>
      <c r="AE951" s="6">
        <v>0.56999999999999995</v>
      </c>
      <c r="AF951" s="6"/>
      <c r="AG951" s="6">
        <v>0.15</v>
      </c>
      <c r="AH951" s="6">
        <v>0.04</v>
      </c>
      <c r="AI951" s="6">
        <v>15</v>
      </c>
      <c r="AJ951" s="6">
        <v>2133</v>
      </c>
      <c r="AK951" s="6">
        <v>2957538.77</v>
      </c>
      <c r="AL951" s="6">
        <v>8620867.0399999991</v>
      </c>
      <c r="AM951" s="6" t="s">
        <v>355</v>
      </c>
      <c r="AN951" s="6" t="s">
        <v>330</v>
      </c>
      <c r="AO951" s="6">
        <v>53.6</v>
      </c>
      <c r="AP951" s="6" t="s">
        <v>4275</v>
      </c>
      <c r="AQ951" s="6" t="s">
        <v>337</v>
      </c>
      <c r="AR951" s="6" t="s">
        <v>192</v>
      </c>
      <c r="AS951" s="6" t="s">
        <v>188</v>
      </c>
    </row>
    <row r="952" spans="1:45" x14ac:dyDescent="0.3">
      <c r="A952" s="7" t="s">
        <v>3126</v>
      </c>
      <c r="B952" s="7" t="s">
        <v>4808</v>
      </c>
      <c r="C952" s="7" t="s">
        <v>227</v>
      </c>
      <c r="D952" s="7" t="s">
        <v>180</v>
      </c>
      <c r="E952" s="7" t="s">
        <v>4325</v>
      </c>
      <c r="F952" s="7" t="s">
        <v>19</v>
      </c>
      <c r="G952" s="7" t="s">
        <v>66</v>
      </c>
      <c r="H952" s="7" t="s">
        <v>4280</v>
      </c>
      <c r="I952" s="7" t="s">
        <v>4289</v>
      </c>
      <c r="J952" s="7" t="s">
        <v>115</v>
      </c>
      <c r="K952" s="7" t="s">
        <v>204</v>
      </c>
      <c r="L952" s="7" t="s">
        <v>3127</v>
      </c>
      <c r="M952" s="7" t="s">
        <v>4434</v>
      </c>
      <c r="N952" s="7" t="s">
        <v>5529</v>
      </c>
      <c r="O952" s="7" t="s">
        <v>4680</v>
      </c>
      <c r="P952" s="7">
        <v>37</v>
      </c>
      <c r="Q952" s="7">
        <v>10812219</v>
      </c>
      <c r="R952" s="7">
        <v>0.06</v>
      </c>
      <c r="S952" s="7">
        <v>0</v>
      </c>
      <c r="T952" s="7">
        <v>10163485.859999999</v>
      </c>
      <c r="U952" s="7">
        <v>7327528.5300000003</v>
      </c>
      <c r="V952" s="7">
        <v>0.19</v>
      </c>
      <c r="W952" s="7">
        <v>0.19</v>
      </c>
      <c r="X952" s="7" t="s">
        <v>3128</v>
      </c>
      <c r="Y952" s="7">
        <v>6673537.6200000001</v>
      </c>
      <c r="Z952" s="7">
        <v>5627273.0199999996</v>
      </c>
      <c r="AA952" s="7">
        <v>120</v>
      </c>
      <c r="AB952" s="7">
        <v>75</v>
      </c>
      <c r="AC952" s="7" t="s">
        <v>342</v>
      </c>
      <c r="AD952" s="7" t="s">
        <v>455</v>
      </c>
      <c r="AE952" s="7">
        <v>0.31</v>
      </c>
      <c r="AF952" s="7" t="s">
        <v>4312</v>
      </c>
      <c r="AG952" s="7">
        <v>0.15</v>
      </c>
      <c r="AH952" s="7">
        <v>0.08</v>
      </c>
      <c r="AI952" s="7">
        <v>9</v>
      </c>
      <c r="AJ952" s="7">
        <v>1216</v>
      </c>
      <c r="AK952" s="7">
        <v>1896612.89</v>
      </c>
      <c r="AL952" s="7">
        <v>4414874.25</v>
      </c>
      <c r="AM952" s="7" t="s">
        <v>355</v>
      </c>
      <c r="AN952" s="7" t="s">
        <v>322</v>
      </c>
      <c r="AO952" s="7">
        <v>80.099999999999994</v>
      </c>
      <c r="AP952" s="7">
        <v>12</v>
      </c>
      <c r="AQ952" s="7"/>
      <c r="AR952" s="7" t="s">
        <v>206</v>
      </c>
      <c r="AS952" s="7"/>
    </row>
    <row r="953" spans="1:45" x14ac:dyDescent="0.3">
      <c r="A953" s="6" t="s">
        <v>3129</v>
      </c>
      <c r="B953" s="6" t="s">
        <v>3395</v>
      </c>
      <c r="C953" s="6" t="s">
        <v>230</v>
      </c>
      <c r="D953" s="6" t="s">
        <v>394</v>
      </c>
      <c r="E953" s="6" t="s">
        <v>4265</v>
      </c>
      <c r="F953" s="6" t="s">
        <v>363</v>
      </c>
      <c r="G953" s="6" t="s">
        <v>33</v>
      </c>
      <c r="H953" s="6" t="s">
        <v>4271</v>
      </c>
      <c r="I953" s="6" t="s">
        <v>203</v>
      </c>
      <c r="J953" s="6" t="s">
        <v>130</v>
      </c>
      <c r="K953" s="6" t="s">
        <v>221</v>
      </c>
      <c r="L953" s="6" t="s">
        <v>3130</v>
      </c>
      <c r="M953" s="6" t="s">
        <v>4729</v>
      </c>
      <c r="N953" s="6" t="s">
        <v>5043</v>
      </c>
      <c r="O953" s="6" t="s">
        <v>4765</v>
      </c>
      <c r="P953" s="6" t="s">
        <v>4275</v>
      </c>
      <c r="Q953" s="6">
        <v>31127828</v>
      </c>
      <c r="R953" s="6">
        <v>0.2</v>
      </c>
      <c r="S953" s="6">
        <v>0.01</v>
      </c>
      <c r="T953" s="6">
        <v>25151285.02</v>
      </c>
      <c r="U953" s="6"/>
      <c r="V953" s="6">
        <v>0.17</v>
      </c>
      <c r="W953" s="6">
        <v>0.15</v>
      </c>
      <c r="X953" s="6" t="s">
        <v>3131</v>
      </c>
      <c r="Y953" s="6">
        <v>14331331.279999999</v>
      </c>
      <c r="Z953" s="6">
        <v>12609627.029999999</v>
      </c>
      <c r="AA953" s="6">
        <v>60</v>
      </c>
      <c r="AB953" s="6">
        <v>103</v>
      </c>
      <c r="AC953" s="6"/>
      <c r="AD953" s="6" t="s">
        <v>406</v>
      </c>
      <c r="AE953" s="6">
        <v>0.57999999999999996</v>
      </c>
      <c r="AF953" s="6" t="s">
        <v>4312</v>
      </c>
      <c r="AG953" s="6">
        <v>0.05</v>
      </c>
      <c r="AH953" s="6">
        <v>0.01</v>
      </c>
      <c r="AI953" s="6">
        <v>15</v>
      </c>
      <c r="AJ953" s="6">
        <v>3343</v>
      </c>
      <c r="AK953" s="6">
        <v>3218866.22</v>
      </c>
      <c r="AL953" s="6">
        <v>10096113.58</v>
      </c>
      <c r="AM953" s="6" t="s">
        <v>391</v>
      </c>
      <c r="AN953" s="6" t="s">
        <v>386</v>
      </c>
      <c r="AO953" s="6">
        <v>73</v>
      </c>
      <c r="AP953" s="6">
        <v>48</v>
      </c>
      <c r="AQ953" s="6" t="s">
        <v>4275</v>
      </c>
      <c r="AR953" s="6" t="s">
        <v>186</v>
      </c>
      <c r="AS953" s="6"/>
    </row>
    <row r="954" spans="1:45" x14ac:dyDescent="0.3">
      <c r="A954" s="7" t="s">
        <v>3132</v>
      </c>
      <c r="B954" s="7" t="s">
        <v>4438</v>
      </c>
      <c r="C954" s="7" t="s">
        <v>211</v>
      </c>
      <c r="D954" s="7" t="s">
        <v>265</v>
      </c>
      <c r="E954" s="7" t="s">
        <v>113</v>
      </c>
      <c r="F954" s="7" t="s">
        <v>367</v>
      </c>
      <c r="G954" s="7" t="s">
        <v>50</v>
      </c>
      <c r="H954" s="7"/>
      <c r="I954" s="7" t="s">
        <v>183</v>
      </c>
      <c r="J954" s="7" t="s">
        <v>123</v>
      </c>
      <c r="K954" s="7" t="s">
        <v>199</v>
      </c>
      <c r="L954" s="7" t="s">
        <v>3133</v>
      </c>
      <c r="M954" s="7" t="s">
        <v>3664</v>
      </c>
      <c r="N954" s="7"/>
      <c r="O954" s="7" t="s">
        <v>4274</v>
      </c>
      <c r="P954" s="7" t="s">
        <v>4275</v>
      </c>
      <c r="Q954" s="7">
        <v>27683409</v>
      </c>
      <c r="R954" s="7">
        <v>0.31</v>
      </c>
      <c r="S954" s="7">
        <v>0.2</v>
      </c>
      <c r="T954" s="7">
        <v>22921862.649999999</v>
      </c>
      <c r="U954" s="7">
        <v>17924703.260000002</v>
      </c>
      <c r="V954" s="7">
        <v>0.25</v>
      </c>
      <c r="W954" s="7">
        <v>0.14000000000000001</v>
      </c>
      <c r="X954" s="7" t="s">
        <v>3134</v>
      </c>
      <c r="Y954" s="7">
        <v>2768752.91</v>
      </c>
      <c r="Z954" s="7">
        <v>2704250.97</v>
      </c>
      <c r="AA954" s="7">
        <v>60</v>
      </c>
      <c r="AB954" s="7">
        <v>152</v>
      </c>
      <c r="AC954" s="7" t="s">
        <v>342</v>
      </c>
      <c r="AD954" s="7" t="s">
        <v>226</v>
      </c>
      <c r="AE954" s="7">
        <v>0.62</v>
      </c>
      <c r="AF954" s="7" t="s">
        <v>162</v>
      </c>
      <c r="AG954" s="7">
        <v>0.1</v>
      </c>
      <c r="AH954" s="7">
        <v>0.03</v>
      </c>
      <c r="AI954" s="7">
        <v>1</v>
      </c>
      <c r="AJ954" s="7">
        <v>1251</v>
      </c>
      <c r="AK954" s="7">
        <v>1327904.77</v>
      </c>
      <c r="AL954" s="7">
        <v>5123112.1500000004</v>
      </c>
      <c r="AM954" s="7" t="s">
        <v>385</v>
      </c>
      <c r="AN954" s="7" t="s">
        <v>322</v>
      </c>
      <c r="AO954" s="7"/>
      <c r="AP954" s="7" t="s">
        <v>4275</v>
      </c>
      <c r="AQ954" s="7" t="s">
        <v>387</v>
      </c>
      <c r="AR954" s="7" t="s">
        <v>206</v>
      </c>
      <c r="AS954" s="7"/>
    </row>
    <row r="955" spans="1:45" x14ac:dyDescent="0.3">
      <c r="A955" s="6" t="s">
        <v>3135</v>
      </c>
      <c r="B955" s="6" t="s">
        <v>3962</v>
      </c>
      <c r="C955" s="6" t="s">
        <v>249</v>
      </c>
      <c r="D955" s="6" t="s">
        <v>250</v>
      </c>
      <c r="E955" s="6" t="s">
        <v>41</v>
      </c>
      <c r="F955" s="6" t="s">
        <v>350</v>
      </c>
      <c r="G955" s="6" t="s">
        <v>70</v>
      </c>
      <c r="H955" s="6" t="s">
        <v>212</v>
      </c>
      <c r="I955" s="6" t="s">
        <v>240</v>
      </c>
      <c r="J955" s="6" t="s">
        <v>105</v>
      </c>
      <c r="K955" s="6" t="s">
        <v>221</v>
      </c>
      <c r="L955" s="6" t="s">
        <v>3136</v>
      </c>
      <c r="M955" s="6" t="s">
        <v>4032</v>
      </c>
      <c r="N955" s="6"/>
      <c r="O955" s="6" t="s">
        <v>5421</v>
      </c>
      <c r="P955" s="6">
        <v>19</v>
      </c>
      <c r="Q955" s="6">
        <v>46957498</v>
      </c>
      <c r="R955" s="6">
        <v>0.2</v>
      </c>
      <c r="S955" s="6">
        <v>0.09</v>
      </c>
      <c r="T955" s="6">
        <v>40946938.259999998</v>
      </c>
      <c r="U955" s="6">
        <v>31711183.57</v>
      </c>
      <c r="V955" s="6">
        <v>0.2</v>
      </c>
      <c r="W955" s="6">
        <v>0.15</v>
      </c>
      <c r="X955" s="6"/>
      <c r="Y955" s="6">
        <v>15208803.060000001</v>
      </c>
      <c r="Z955" s="6">
        <v>9536052.3300000001</v>
      </c>
      <c r="AA955" s="6">
        <v>60</v>
      </c>
      <c r="AB955" s="6">
        <v>16</v>
      </c>
      <c r="AC955" s="6" t="s">
        <v>329</v>
      </c>
      <c r="AD955" s="6" t="s">
        <v>336</v>
      </c>
      <c r="AE955" s="6">
        <v>0.69</v>
      </c>
      <c r="AF955" s="6" t="s">
        <v>4312</v>
      </c>
      <c r="AG955" s="6">
        <v>0.05</v>
      </c>
      <c r="AH955" s="6">
        <v>7.0000000000000007E-2</v>
      </c>
      <c r="AI955" s="6">
        <v>15</v>
      </c>
      <c r="AJ955" s="6">
        <v>1513</v>
      </c>
      <c r="AK955" s="6">
        <v>6653847.5700000003</v>
      </c>
      <c r="AL955" s="6">
        <v>17231501.989999998</v>
      </c>
      <c r="AM955" s="6" t="s">
        <v>355</v>
      </c>
      <c r="AN955" s="6" t="s">
        <v>330</v>
      </c>
      <c r="AO955" s="6">
        <v>51.1</v>
      </c>
      <c r="AP955" s="6">
        <v>48</v>
      </c>
      <c r="AQ955" s="6" t="s">
        <v>337</v>
      </c>
      <c r="AR955" s="6" t="s">
        <v>224</v>
      </c>
      <c r="AS955" s="6" t="s">
        <v>361</v>
      </c>
    </row>
    <row r="956" spans="1:45" x14ac:dyDescent="0.3">
      <c r="A956" s="7" t="s">
        <v>3137</v>
      </c>
      <c r="B956" s="7" t="s">
        <v>5530</v>
      </c>
      <c r="C956" s="7" t="s">
        <v>282</v>
      </c>
      <c r="D956" s="7" t="s">
        <v>220</v>
      </c>
      <c r="E956" s="7" t="s">
        <v>4538</v>
      </c>
      <c r="F956" s="7"/>
      <c r="G956" s="7" t="s">
        <v>62</v>
      </c>
      <c r="H956" s="7" t="s">
        <v>212</v>
      </c>
      <c r="I956" s="7" t="s">
        <v>4289</v>
      </c>
      <c r="J956" s="7" t="s">
        <v>99</v>
      </c>
      <c r="K956" s="7" t="s">
        <v>221</v>
      </c>
      <c r="L956" s="7" t="s">
        <v>3138</v>
      </c>
      <c r="M956" s="7" t="s">
        <v>3930</v>
      </c>
      <c r="N956" s="7" t="s">
        <v>3962</v>
      </c>
      <c r="O956" s="7" t="s">
        <v>5521</v>
      </c>
      <c r="P956" s="7" t="s">
        <v>4275</v>
      </c>
      <c r="Q956" s="7">
        <v>26818680</v>
      </c>
      <c r="R956" s="7">
        <v>0.28999999999999998</v>
      </c>
      <c r="S956" s="7">
        <v>0.18</v>
      </c>
      <c r="T956" s="7">
        <v>22468690.100000001</v>
      </c>
      <c r="U956" s="7">
        <v>18054089.510000002</v>
      </c>
      <c r="V956" s="7">
        <v>0.36</v>
      </c>
      <c r="W956" s="7">
        <v>0.16</v>
      </c>
      <c r="X956" s="7" t="s">
        <v>3139</v>
      </c>
      <c r="Y956" s="7">
        <v>15203611.109999999</v>
      </c>
      <c r="Z956" s="7">
        <v>15584185.73</v>
      </c>
      <c r="AA956" s="7">
        <v>120</v>
      </c>
      <c r="AB956" s="7">
        <v>84</v>
      </c>
      <c r="AC956" s="7" t="s">
        <v>329</v>
      </c>
      <c r="AD956" s="7" t="s">
        <v>354</v>
      </c>
      <c r="AE956" s="7">
        <v>0.88</v>
      </c>
      <c r="AF956" s="7" t="s">
        <v>4276</v>
      </c>
      <c r="AG956" s="7">
        <v>0.1</v>
      </c>
      <c r="AH956" s="7">
        <v>0.04</v>
      </c>
      <c r="AI956" s="7">
        <v>4</v>
      </c>
      <c r="AJ956" s="7">
        <v>1741</v>
      </c>
      <c r="AK956" s="7">
        <v>2646966.3199999998</v>
      </c>
      <c r="AL956" s="7">
        <v>10049208.15</v>
      </c>
      <c r="AM956" s="7" t="s">
        <v>321</v>
      </c>
      <c r="AN956" s="7" t="s">
        <v>348</v>
      </c>
      <c r="AO956" s="7">
        <v>97.8</v>
      </c>
      <c r="AP956" s="7">
        <v>48</v>
      </c>
      <c r="AQ956" s="7" t="s">
        <v>387</v>
      </c>
      <c r="AR956" s="7" t="s">
        <v>186</v>
      </c>
      <c r="AS956" s="7" t="s">
        <v>188</v>
      </c>
    </row>
    <row r="957" spans="1:45" x14ac:dyDescent="0.3">
      <c r="A957" s="6" t="s">
        <v>3140</v>
      </c>
      <c r="B957" s="6" t="s">
        <v>3934</v>
      </c>
      <c r="C957" s="6" t="s">
        <v>271</v>
      </c>
      <c r="D957" s="6" t="s">
        <v>190</v>
      </c>
      <c r="E957" s="6" t="s">
        <v>4325</v>
      </c>
      <c r="F957" s="6" t="s">
        <v>19</v>
      </c>
      <c r="G957" s="6" t="s">
        <v>33</v>
      </c>
      <c r="H957" s="6" t="s">
        <v>4271</v>
      </c>
      <c r="I957" s="6" t="s">
        <v>246</v>
      </c>
      <c r="J957" s="6" t="s">
        <v>115</v>
      </c>
      <c r="K957" s="6" t="s">
        <v>204</v>
      </c>
      <c r="L957" s="6" t="s">
        <v>3141</v>
      </c>
      <c r="M957" s="6" t="s">
        <v>5531</v>
      </c>
      <c r="N957" s="6" t="s">
        <v>5532</v>
      </c>
      <c r="O957" s="6" t="s">
        <v>5533</v>
      </c>
      <c r="P957" s="6">
        <v>19</v>
      </c>
      <c r="Q957" s="6">
        <v>9548414</v>
      </c>
      <c r="R957" s="6">
        <v>0.31</v>
      </c>
      <c r="S957" s="6">
        <v>-0.04</v>
      </c>
      <c r="T957" s="6">
        <v>6324869.4299999997</v>
      </c>
      <c r="U957" s="6"/>
      <c r="V957" s="6">
        <v>0.32</v>
      </c>
      <c r="W957" s="6">
        <v>0.17</v>
      </c>
      <c r="X957" s="6" t="s">
        <v>3142</v>
      </c>
      <c r="Y957" s="6">
        <v>5580280.1100000003</v>
      </c>
      <c r="Z957" s="6">
        <v>5631824.1699999999</v>
      </c>
      <c r="AA957" s="6">
        <v>60</v>
      </c>
      <c r="AB957" s="6">
        <v>14</v>
      </c>
      <c r="AC957" s="6"/>
      <c r="AD957" s="6" t="s">
        <v>320</v>
      </c>
      <c r="AE957" s="6">
        <v>0.22</v>
      </c>
      <c r="AF957" s="6" t="s">
        <v>4294</v>
      </c>
      <c r="AG957" s="6">
        <v>0.15</v>
      </c>
      <c r="AH957" s="6">
        <v>0.04</v>
      </c>
      <c r="AI957" s="6">
        <v>0</v>
      </c>
      <c r="AJ957" s="6">
        <v>3291</v>
      </c>
      <c r="AK957" s="6">
        <v>1334043.51</v>
      </c>
      <c r="AL957" s="6">
        <v>922511.21</v>
      </c>
      <c r="AM957" s="6" t="s">
        <v>355</v>
      </c>
      <c r="AN957" s="6" t="s">
        <v>330</v>
      </c>
      <c r="AO957" s="6">
        <v>78.8</v>
      </c>
      <c r="AP957" s="6">
        <v>48</v>
      </c>
      <c r="AQ957" s="6"/>
      <c r="AR957" s="6" t="s">
        <v>206</v>
      </c>
      <c r="AS957" s="6"/>
    </row>
    <row r="958" spans="1:45" x14ac:dyDescent="0.3">
      <c r="A958" s="7" t="s">
        <v>3143</v>
      </c>
      <c r="B958" s="7" t="s">
        <v>4424</v>
      </c>
      <c r="C958" s="7" t="s">
        <v>285</v>
      </c>
      <c r="D958" s="7" t="s">
        <v>209</v>
      </c>
      <c r="E958" s="7" t="s">
        <v>4306</v>
      </c>
      <c r="F958" s="7" t="s">
        <v>75</v>
      </c>
      <c r="G958" s="7" t="s">
        <v>62</v>
      </c>
      <c r="H958" s="7" t="s">
        <v>263</v>
      </c>
      <c r="I958" s="7" t="s">
        <v>240</v>
      </c>
      <c r="J958" s="7" t="s">
        <v>133</v>
      </c>
      <c r="K958" s="7" t="s">
        <v>333</v>
      </c>
      <c r="L958" s="7" t="s">
        <v>3144</v>
      </c>
      <c r="M958" s="7" t="s">
        <v>4633</v>
      </c>
      <c r="N958" s="7"/>
      <c r="O958" s="7" t="s">
        <v>4537</v>
      </c>
      <c r="P958" s="7">
        <v>50</v>
      </c>
      <c r="Q958" s="7">
        <v>45451446</v>
      </c>
      <c r="R958" s="7">
        <v>0.01</v>
      </c>
      <c r="S958" s="7">
        <v>0.12</v>
      </c>
      <c r="T958" s="7">
        <v>50396563.32</v>
      </c>
      <c r="U958" s="7">
        <v>44794420.280000001</v>
      </c>
      <c r="V958" s="7">
        <v>0.34</v>
      </c>
      <c r="W958" s="7">
        <v>0.08</v>
      </c>
      <c r="X958" s="7" t="s">
        <v>3145</v>
      </c>
      <c r="Y958" s="7">
        <v>38793614.57</v>
      </c>
      <c r="Z958" s="7">
        <v>33040479.34</v>
      </c>
      <c r="AA958" s="7">
        <v>45</v>
      </c>
      <c r="AB958" s="7">
        <v>3</v>
      </c>
      <c r="AC958" s="7" t="s">
        <v>353</v>
      </c>
      <c r="AD958" s="7" t="s">
        <v>354</v>
      </c>
      <c r="AE958" s="7">
        <v>0.78</v>
      </c>
      <c r="AF958" s="7" t="s">
        <v>152</v>
      </c>
      <c r="AG958" s="7">
        <v>0.15</v>
      </c>
      <c r="AH958" s="7">
        <v>0.1</v>
      </c>
      <c r="AI958" s="7">
        <v>9</v>
      </c>
      <c r="AJ958" s="7">
        <v>940</v>
      </c>
      <c r="AK958" s="7">
        <v>5700310.1299999999</v>
      </c>
      <c r="AL958" s="7">
        <v>16885965.02</v>
      </c>
      <c r="AM958" s="7" t="s">
        <v>385</v>
      </c>
      <c r="AN958" s="7" t="s">
        <v>330</v>
      </c>
      <c r="AO958" s="7">
        <v>64.8</v>
      </c>
      <c r="AP958" s="7">
        <v>24</v>
      </c>
      <c r="AQ958" s="7" t="s">
        <v>323</v>
      </c>
      <c r="AR958" s="7" t="s">
        <v>186</v>
      </c>
      <c r="AS958" s="7" t="s">
        <v>377</v>
      </c>
    </row>
    <row r="959" spans="1:45" x14ac:dyDescent="0.3">
      <c r="A959" s="6" t="s">
        <v>3146</v>
      </c>
      <c r="B959" s="6" t="s">
        <v>5534</v>
      </c>
      <c r="C959" s="6" t="s">
        <v>277</v>
      </c>
      <c r="D959" s="6" t="s">
        <v>394</v>
      </c>
      <c r="E959" s="6" t="s">
        <v>113</v>
      </c>
      <c r="F959" s="6" t="s">
        <v>181</v>
      </c>
      <c r="G959" s="6" t="s">
        <v>80</v>
      </c>
      <c r="H959" s="6" t="s">
        <v>4275</v>
      </c>
      <c r="I959" s="6" t="s">
        <v>4291</v>
      </c>
      <c r="J959" s="6" t="s">
        <v>127</v>
      </c>
      <c r="K959" s="6" t="s">
        <v>210</v>
      </c>
      <c r="L959" s="6" t="s">
        <v>3147</v>
      </c>
      <c r="M959" s="6" t="s">
        <v>4768</v>
      </c>
      <c r="N959" s="6" t="s">
        <v>4255</v>
      </c>
      <c r="O959" s="6" t="s">
        <v>5415</v>
      </c>
      <c r="P959" s="6">
        <v>9</v>
      </c>
      <c r="Q959" s="6">
        <v>36951418</v>
      </c>
      <c r="R959" s="6">
        <v>7.0000000000000007E-2</v>
      </c>
      <c r="S959" s="6">
        <v>0.05</v>
      </c>
      <c r="T959" s="6">
        <v>36083059.68</v>
      </c>
      <c r="U959" s="6">
        <v>31065653.780000001</v>
      </c>
      <c r="V959" s="6">
        <v>0.1</v>
      </c>
      <c r="W959" s="6">
        <v>0.17</v>
      </c>
      <c r="X959" s="6"/>
      <c r="Y959" s="6">
        <v>9411077.2899999991</v>
      </c>
      <c r="Z959" s="6">
        <v>8335194.75</v>
      </c>
      <c r="AA959" s="6">
        <v>45</v>
      </c>
      <c r="AB959" s="6">
        <v>45</v>
      </c>
      <c r="AC959" s="6" t="s">
        <v>342</v>
      </c>
      <c r="AD959" s="6" t="s">
        <v>381</v>
      </c>
      <c r="AE959" s="6">
        <v>0.36</v>
      </c>
      <c r="AF959" s="6" t="s">
        <v>4319</v>
      </c>
      <c r="AG959" s="6">
        <v>0.05</v>
      </c>
      <c r="AH959" s="6">
        <v>0.02</v>
      </c>
      <c r="AI959" s="6">
        <v>2</v>
      </c>
      <c r="AJ959" s="6">
        <v>1272</v>
      </c>
      <c r="AK959" s="6">
        <v>7192150.6500000004</v>
      </c>
      <c r="AL959" s="6">
        <v>10953724.939999999</v>
      </c>
      <c r="AM959" s="6"/>
      <c r="AN959" s="6" t="s">
        <v>321</v>
      </c>
      <c r="AO959" s="6">
        <v>53.4</v>
      </c>
      <c r="AP959" s="6" t="s">
        <v>4275</v>
      </c>
      <c r="AQ959" s="6" t="s">
        <v>392</v>
      </c>
      <c r="AR959" s="6" t="s">
        <v>186</v>
      </c>
      <c r="AS959" s="6" t="s">
        <v>377</v>
      </c>
    </row>
    <row r="960" spans="1:45" x14ac:dyDescent="0.3">
      <c r="A960" s="7" t="s">
        <v>3148</v>
      </c>
      <c r="B960" s="7" t="s">
        <v>5535</v>
      </c>
      <c r="C960" s="7" t="s">
        <v>179</v>
      </c>
      <c r="D960" s="7" t="s">
        <v>281</v>
      </c>
      <c r="E960" s="7" t="s">
        <v>4265</v>
      </c>
      <c r="F960" s="7" t="s">
        <v>350</v>
      </c>
      <c r="G960" s="7" t="s">
        <v>23</v>
      </c>
      <c r="H960" s="7" t="s">
        <v>4326</v>
      </c>
      <c r="I960" s="7" t="s">
        <v>213</v>
      </c>
      <c r="J960" s="7" t="s">
        <v>130</v>
      </c>
      <c r="K960" s="7" t="s">
        <v>221</v>
      </c>
      <c r="L960" s="7" t="s">
        <v>3149</v>
      </c>
      <c r="M960" s="7" t="s">
        <v>1976</v>
      </c>
      <c r="N960" s="7" t="s">
        <v>4256</v>
      </c>
      <c r="O960" s="7" t="s">
        <v>5310</v>
      </c>
      <c r="P960" s="7">
        <v>22</v>
      </c>
      <c r="Q960" s="7">
        <v>18267398</v>
      </c>
      <c r="R960" s="7">
        <v>0.26</v>
      </c>
      <c r="S960" s="7">
        <v>0.05</v>
      </c>
      <c r="T960" s="7">
        <v>14193768.25</v>
      </c>
      <c r="U960" s="7">
        <v>9694237.0800000001</v>
      </c>
      <c r="V960" s="7">
        <v>0.2</v>
      </c>
      <c r="W960" s="7">
        <v>0.1</v>
      </c>
      <c r="X960" s="7" t="s">
        <v>3150</v>
      </c>
      <c r="Y960" s="7">
        <v>4185558</v>
      </c>
      <c r="Z960" s="7">
        <v>2360893.39</v>
      </c>
      <c r="AA960" s="7">
        <v>45</v>
      </c>
      <c r="AB960" s="7">
        <v>174</v>
      </c>
      <c r="AC960" s="7" t="s">
        <v>329</v>
      </c>
      <c r="AD960" s="7" t="s">
        <v>320</v>
      </c>
      <c r="AE960" s="7">
        <v>0.34</v>
      </c>
      <c r="AF960" s="7" t="s">
        <v>4361</v>
      </c>
      <c r="AG960" s="7">
        <v>0.1</v>
      </c>
      <c r="AH960" s="7">
        <v>0.02</v>
      </c>
      <c r="AI960" s="7">
        <v>5</v>
      </c>
      <c r="AJ960" s="7">
        <v>4217</v>
      </c>
      <c r="AK960" s="7">
        <v>1335645.5</v>
      </c>
      <c r="AL960" s="7">
        <v>4798504.92</v>
      </c>
      <c r="AM960" s="7" t="s">
        <v>385</v>
      </c>
      <c r="AN960" s="7" t="s">
        <v>321</v>
      </c>
      <c r="AO960" s="7">
        <v>78.5</v>
      </c>
      <c r="AP960" s="7" t="s">
        <v>4275</v>
      </c>
      <c r="AQ960" s="7" t="s">
        <v>323</v>
      </c>
      <c r="AR960" s="7" t="s">
        <v>224</v>
      </c>
      <c r="AS960" s="7" t="s">
        <v>357</v>
      </c>
    </row>
    <row r="961" spans="1:45" x14ac:dyDescent="0.3">
      <c r="A961" s="6" t="s">
        <v>3151</v>
      </c>
      <c r="B961" s="6" t="s">
        <v>4109</v>
      </c>
      <c r="C961" s="6" t="s">
        <v>275</v>
      </c>
      <c r="D961" s="6" t="s">
        <v>202</v>
      </c>
      <c r="E961" s="6"/>
      <c r="F961" s="6" t="s">
        <v>19</v>
      </c>
      <c r="G961" s="6" t="s">
        <v>62</v>
      </c>
      <c r="H961" s="6" t="s">
        <v>182</v>
      </c>
      <c r="I961" s="6" t="s">
        <v>240</v>
      </c>
      <c r="J961" s="6" t="s">
        <v>136</v>
      </c>
      <c r="K961" s="6" t="s">
        <v>204</v>
      </c>
      <c r="L961" s="6" t="s">
        <v>3152</v>
      </c>
      <c r="M961" s="6" t="s">
        <v>4001</v>
      </c>
      <c r="N961" s="6"/>
      <c r="O961" s="6" t="s">
        <v>4015</v>
      </c>
      <c r="P961" s="6">
        <v>37</v>
      </c>
      <c r="Q961" s="6">
        <v>46654744</v>
      </c>
      <c r="R961" s="6">
        <v>0.05</v>
      </c>
      <c r="S961" s="6">
        <v>0.04</v>
      </c>
      <c r="T961" s="6">
        <v>46094887.07</v>
      </c>
      <c r="U961" s="6"/>
      <c r="V961" s="6">
        <v>0.31</v>
      </c>
      <c r="W961" s="6">
        <v>0.13</v>
      </c>
      <c r="X961" s="6" t="s">
        <v>3153</v>
      </c>
      <c r="Y961" s="6">
        <v>40292078.799999997</v>
      </c>
      <c r="Z961" s="6">
        <v>35218538.009999998</v>
      </c>
      <c r="AA961" s="6">
        <v>60</v>
      </c>
      <c r="AB961" s="6">
        <v>159</v>
      </c>
      <c r="AC961" s="6" t="s">
        <v>329</v>
      </c>
      <c r="AD961" s="6" t="s">
        <v>226</v>
      </c>
      <c r="AE961" s="6">
        <v>0.89</v>
      </c>
      <c r="AF961" s="6" t="s">
        <v>155</v>
      </c>
      <c r="AG961" s="6">
        <v>0.05</v>
      </c>
      <c r="AH961" s="6">
        <v>7.0000000000000007E-2</v>
      </c>
      <c r="AI961" s="6">
        <v>9</v>
      </c>
      <c r="AJ961" s="6">
        <v>1232</v>
      </c>
      <c r="AK961" s="6">
        <v>2724630.77</v>
      </c>
      <c r="AL961" s="6">
        <v>14706093.99</v>
      </c>
      <c r="AM961" s="6" t="s">
        <v>321</v>
      </c>
      <c r="AN961" s="6" t="s">
        <v>356</v>
      </c>
      <c r="AO961" s="6">
        <v>65.7</v>
      </c>
      <c r="AP961" s="6">
        <v>12</v>
      </c>
      <c r="AQ961" s="6" t="s">
        <v>4275</v>
      </c>
      <c r="AR961" s="6" t="s">
        <v>224</v>
      </c>
      <c r="AS961" s="6"/>
    </row>
    <row r="962" spans="1:45" x14ac:dyDescent="0.3">
      <c r="A962" s="7" t="s">
        <v>3154</v>
      </c>
      <c r="B962" s="7" t="s">
        <v>5434</v>
      </c>
      <c r="C962" s="7" t="s">
        <v>231</v>
      </c>
      <c r="D962" s="7" t="s">
        <v>209</v>
      </c>
      <c r="E962" s="7" t="s">
        <v>113</v>
      </c>
      <c r="F962" s="7" t="s">
        <v>181</v>
      </c>
      <c r="G962" s="7" t="s">
        <v>66</v>
      </c>
      <c r="H962" s="7" t="s">
        <v>4326</v>
      </c>
      <c r="I962" s="7" t="s">
        <v>203</v>
      </c>
      <c r="J962" s="7" t="s">
        <v>127</v>
      </c>
      <c r="K962" s="7" t="s">
        <v>326</v>
      </c>
      <c r="L962" s="7" t="s">
        <v>3155</v>
      </c>
      <c r="M962" s="7" t="s">
        <v>4193</v>
      </c>
      <c r="N962" s="7"/>
      <c r="O962" s="7" t="s">
        <v>3397</v>
      </c>
      <c r="P962" s="7">
        <v>10</v>
      </c>
      <c r="Q962" s="7">
        <v>10231359</v>
      </c>
      <c r="R962" s="7">
        <v>0.09</v>
      </c>
      <c r="S962" s="7">
        <v>7.0000000000000007E-2</v>
      </c>
      <c r="T962" s="7">
        <v>9962274.2599999998</v>
      </c>
      <c r="U962" s="7">
        <v>6655126.75</v>
      </c>
      <c r="V962" s="7">
        <v>0.28999999999999998</v>
      </c>
      <c r="W962" s="7">
        <v>0.16</v>
      </c>
      <c r="X962" s="7" t="s">
        <v>3156</v>
      </c>
      <c r="Y962" s="7">
        <v>2407649.39</v>
      </c>
      <c r="Z962" s="7">
        <v>1221245.74</v>
      </c>
      <c r="AA962" s="7">
        <v>60</v>
      </c>
      <c r="AB962" s="7">
        <v>19</v>
      </c>
      <c r="AC962" s="7" t="s">
        <v>376</v>
      </c>
      <c r="AD962" s="7" t="s">
        <v>226</v>
      </c>
      <c r="AE962" s="7">
        <v>0.89</v>
      </c>
      <c r="AF962" s="7" t="s">
        <v>155</v>
      </c>
      <c r="AG962" s="7">
        <v>0.1</v>
      </c>
      <c r="AH962" s="7">
        <v>0.09</v>
      </c>
      <c r="AI962" s="7">
        <v>6</v>
      </c>
      <c r="AJ962" s="7">
        <v>2483</v>
      </c>
      <c r="AK962" s="7">
        <v>499928.11</v>
      </c>
      <c r="AL962" s="7">
        <v>3843119.28</v>
      </c>
      <c r="AM962" s="7" t="s">
        <v>385</v>
      </c>
      <c r="AN962" s="7" t="s">
        <v>356</v>
      </c>
      <c r="AO962" s="7">
        <v>54</v>
      </c>
      <c r="AP962" s="7">
        <v>60</v>
      </c>
      <c r="AQ962" s="7" t="s">
        <v>4275</v>
      </c>
      <c r="AR962" s="7" t="s">
        <v>186</v>
      </c>
      <c r="AS962" s="7" t="s">
        <v>377</v>
      </c>
    </row>
    <row r="963" spans="1:45" x14ac:dyDescent="0.3">
      <c r="A963" s="6" t="s">
        <v>3157</v>
      </c>
      <c r="B963" s="6" t="s">
        <v>3948</v>
      </c>
      <c r="C963" s="6" t="s">
        <v>254</v>
      </c>
      <c r="D963" s="6" t="s">
        <v>562</v>
      </c>
      <c r="E963" s="6"/>
      <c r="F963" s="6" t="s">
        <v>228</v>
      </c>
      <c r="G963" s="6" t="s">
        <v>78</v>
      </c>
      <c r="H963" s="6" t="s">
        <v>212</v>
      </c>
      <c r="I963" s="6"/>
      <c r="J963" s="6" t="s">
        <v>136</v>
      </c>
      <c r="K963" s="6" t="s">
        <v>333</v>
      </c>
      <c r="L963" s="6" t="s">
        <v>3158</v>
      </c>
      <c r="M963" s="6" t="s">
        <v>4691</v>
      </c>
      <c r="N963" s="6" t="s">
        <v>3474</v>
      </c>
      <c r="O963" s="6" t="s">
        <v>4322</v>
      </c>
      <c r="P963" s="6">
        <v>31</v>
      </c>
      <c r="Q963" s="6">
        <v>11951148</v>
      </c>
      <c r="R963" s="6">
        <v>0.23</v>
      </c>
      <c r="S963" s="6">
        <v>0.1</v>
      </c>
      <c r="T963" s="6">
        <v>10122622.359999999</v>
      </c>
      <c r="U963" s="6">
        <v>8973612.4100000001</v>
      </c>
      <c r="V963" s="6">
        <v>0.37</v>
      </c>
      <c r="W963" s="6">
        <v>0.1</v>
      </c>
      <c r="X963" s="6" t="s">
        <v>3159</v>
      </c>
      <c r="Y963" s="6">
        <v>7908348.1200000001</v>
      </c>
      <c r="Z963" s="6">
        <v>3641889.78</v>
      </c>
      <c r="AA963" s="6">
        <v>45</v>
      </c>
      <c r="AB963" s="6">
        <v>126</v>
      </c>
      <c r="AC963" s="6"/>
      <c r="AD963" s="6" t="s">
        <v>381</v>
      </c>
      <c r="AE963" s="6">
        <v>0.28999999999999998</v>
      </c>
      <c r="AF963" s="6" t="s">
        <v>162</v>
      </c>
      <c r="AG963" s="6">
        <v>0.1</v>
      </c>
      <c r="AH963" s="6">
        <v>7.0000000000000007E-2</v>
      </c>
      <c r="AI963" s="6">
        <v>6</v>
      </c>
      <c r="AJ963" s="6">
        <v>4841</v>
      </c>
      <c r="AK963" s="6">
        <v>631650.52</v>
      </c>
      <c r="AL963" s="6">
        <v>4778887.38</v>
      </c>
      <c r="AM963" s="6" t="s">
        <v>343</v>
      </c>
      <c r="AN963" s="6"/>
      <c r="AO963" s="6">
        <v>61.6</v>
      </c>
      <c r="AP963" s="6">
        <v>36</v>
      </c>
      <c r="AQ963" s="6" t="s">
        <v>4275</v>
      </c>
      <c r="AR963" s="6" t="s">
        <v>229</v>
      </c>
      <c r="AS963" s="6" t="s">
        <v>188</v>
      </c>
    </row>
    <row r="964" spans="1:45" x14ac:dyDescent="0.3">
      <c r="A964" s="7" t="s">
        <v>3160</v>
      </c>
      <c r="B964" s="7" t="s">
        <v>5536</v>
      </c>
      <c r="C964" s="7" t="s">
        <v>284</v>
      </c>
      <c r="D964" s="7" t="s">
        <v>281</v>
      </c>
      <c r="E964" s="7" t="s">
        <v>4376</v>
      </c>
      <c r="F964" s="7" t="s">
        <v>31</v>
      </c>
      <c r="G964" s="7" t="s">
        <v>16</v>
      </c>
      <c r="H964" s="7" t="s">
        <v>4271</v>
      </c>
      <c r="I964" s="7" t="s">
        <v>4289</v>
      </c>
      <c r="J964" s="7" t="s">
        <v>136</v>
      </c>
      <c r="K964" s="7" t="s">
        <v>333</v>
      </c>
      <c r="L964" s="7" t="s">
        <v>3161</v>
      </c>
      <c r="M964" s="7" t="s">
        <v>4869</v>
      </c>
      <c r="N964" s="7"/>
      <c r="O964" s="7" t="s">
        <v>5537</v>
      </c>
      <c r="P964" s="7" t="s">
        <v>4275</v>
      </c>
      <c r="Q964" s="7">
        <v>7229859</v>
      </c>
      <c r="R964" s="7">
        <v>0.33</v>
      </c>
      <c r="S964" s="7">
        <v>-0.01</v>
      </c>
      <c r="T964" s="7">
        <v>4795565.47</v>
      </c>
      <c r="U964" s="7">
        <v>3795298.96</v>
      </c>
      <c r="V964" s="7">
        <v>0.19</v>
      </c>
      <c r="W964" s="7">
        <v>0.12</v>
      </c>
      <c r="X964" s="7" t="s">
        <v>3162</v>
      </c>
      <c r="Y964" s="7">
        <v>4067815.51</v>
      </c>
      <c r="Z964" s="7">
        <v>4104116.13</v>
      </c>
      <c r="AA964" s="7">
        <v>30</v>
      </c>
      <c r="AB964" s="7">
        <v>40</v>
      </c>
      <c r="AC964" s="7" t="s">
        <v>347</v>
      </c>
      <c r="AD964" s="7" t="s">
        <v>226</v>
      </c>
      <c r="AE964" s="7">
        <v>0.75</v>
      </c>
      <c r="AF964" s="7" t="s">
        <v>4312</v>
      </c>
      <c r="AG964" s="7">
        <v>0.05</v>
      </c>
      <c r="AH964" s="7">
        <v>0.05</v>
      </c>
      <c r="AI964" s="7">
        <v>12</v>
      </c>
      <c r="AJ964" s="7">
        <v>2443</v>
      </c>
      <c r="AK964" s="7">
        <v>763050.84</v>
      </c>
      <c r="AL964" s="7">
        <v>1454192.02</v>
      </c>
      <c r="AM964" s="7" t="s">
        <v>391</v>
      </c>
      <c r="AN964" s="7" t="s">
        <v>386</v>
      </c>
      <c r="AO964" s="7">
        <v>68.400000000000006</v>
      </c>
      <c r="AP964" s="7">
        <v>48</v>
      </c>
      <c r="AQ964" s="7"/>
      <c r="AR964" s="7" t="s">
        <v>206</v>
      </c>
      <c r="AS964" s="7" t="s">
        <v>377</v>
      </c>
    </row>
    <row r="965" spans="1:45" x14ac:dyDescent="0.3">
      <c r="A965" s="6" t="s">
        <v>3163</v>
      </c>
      <c r="B965" s="6" t="s">
        <v>4048</v>
      </c>
      <c r="C965" s="6" t="s">
        <v>230</v>
      </c>
      <c r="D965" s="6" t="s">
        <v>265</v>
      </c>
      <c r="E965" s="6" t="s">
        <v>4265</v>
      </c>
      <c r="F965" s="6" t="s">
        <v>363</v>
      </c>
      <c r="G965" s="6" t="s">
        <v>38</v>
      </c>
      <c r="H965" s="6" t="s">
        <v>263</v>
      </c>
      <c r="I965" s="6" t="s">
        <v>4291</v>
      </c>
      <c r="J965" s="6" t="s">
        <v>105</v>
      </c>
      <c r="K965" s="6" t="s">
        <v>184</v>
      </c>
      <c r="L965" s="6" t="s">
        <v>3164</v>
      </c>
      <c r="M965" s="6" t="s">
        <v>5538</v>
      </c>
      <c r="N965" s="6"/>
      <c r="O965" s="6" t="s">
        <v>4274</v>
      </c>
      <c r="P965" s="6">
        <v>31</v>
      </c>
      <c r="Q965" s="6">
        <v>15973412</v>
      </c>
      <c r="R965" s="6">
        <v>0.02</v>
      </c>
      <c r="S965" s="6">
        <v>-0.01</v>
      </c>
      <c r="T965" s="6">
        <v>15497404.32</v>
      </c>
      <c r="U965" s="6">
        <v>9806752.7300000004</v>
      </c>
      <c r="V965" s="6">
        <v>0.25</v>
      </c>
      <c r="W965" s="6">
        <v>0.17</v>
      </c>
      <c r="X965" s="6" t="s">
        <v>3165</v>
      </c>
      <c r="Y965" s="6">
        <v>4547119.1900000004</v>
      </c>
      <c r="Z965" s="6">
        <v>4096960.88</v>
      </c>
      <c r="AA965" s="6">
        <v>45</v>
      </c>
      <c r="AB965" s="6">
        <v>57</v>
      </c>
      <c r="AC965" s="6" t="s">
        <v>342</v>
      </c>
      <c r="AD965" s="6" t="s">
        <v>226</v>
      </c>
      <c r="AE965" s="6">
        <v>0.68</v>
      </c>
      <c r="AF965" s="6" t="s">
        <v>4294</v>
      </c>
      <c r="AG965" s="6">
        <v>0.15</v>
      </c>
      <c r="AH965" s="6">
        <v>0.01</v>
      </c>
      <c r="AI965" s="6">
        <v>0</v>
      </c>
      <c r="AJ965" s="6">
        <v>4478</v>
      </c>
      <c r="AK965" s="6">
        <v>2507200.44</v>
      </c>
      <c r="AL965" s="6">
        <v>3812237.82</v>
      </c>
      <c r="AM965" s="6"/>
      <c r="AN965" s="6" t="s">
        <v>321</v>
      </c>
      <c r="AO965" s="6">
        <v>63.5</v>
      </c>
      <c r="AP965" s="6">
        <v>60</v>
      </c>
      <c r="AQ965" s="6"/>
      <c r="AR965" s="6" t="s">
        <v>229</v>
      </c>
      <c r="AS965" s="6" t="s">
        <v>324</v>
      </c>
    </row>
    <row r="966" spans="1:45" x14ac:dyDescent="0.3">
      <c r="A966" s="7" t="s">
        <v>3166</v>
      </c>
      <c r="B966" s="7" t="s">
        <v>4257</v>
      </c>
      <c r="C966" s="7" t="s">
        <v>268</v>
      </c>
      <c r="D966" s="7" t="s">
        <v>274</v>
      </c>
      <c r="E966" s="7" t="s">
        <v>36</v>
      </c>
      <c r="F966" s="7" t="s">
        <v>19</v>
      </c>
      <c r="G966" s="7" t="s">
        <v>38</v>
      </c>
      <c r="H966" s="7" t="s">
        <v>4280</v>
      </c>
      <c r="I966" s="7"/>
      <c r="J966" s="7" t="s">
        <v>115</v>
      </c>
      <c r="K966" s="7" t="s">
        <v>326</v>
      </c>
      <c r="L966" s="7" t="s">
        <v>3167</v>
      </c>
      <c r="M966" s="7" t="s">
        <v>5539</v>
      </c>
      <c r="N966" s="7" t="s">
        <v>3856</v>
      </c>
      <c r="O966" s="7" t="s">
        <v>5540</v>
      </c>
      <c r="P966" s="7">
        <v>40</v>
      </c>
      <c r="Q966" s="7">
        <v>2816845</v>
      </c>
      <c r="R966" s="7">
        <v>0.22</v>
      </c>
      <c r="S966" s="7">
        <v>-0.01</v>
      </c>
      <c r="T966" s="7">
        <v>2175167.71</v>
      </c>
      <c r="U966" s="7">
        <v>1661202.63</v>
      </c>
      <c r="V966" s="7">
        <v>0.09</v>
      </c>
      <c r="W966" s="7">
        <v>0.09</v>
      </c>
      <c r="X966" s="7"/>
      <c r="Y966" s="7">
        <v>1073768.29</v>
      </c>
      <c r="Z966" s="7">
        <v>1080251.3</v>
      </c>
      <c r="AA966" s="7">
        <v>120</v>
      </c>
      <c r="AB966" s="7">
        <v>139</v>
      </c>
      <c r="AC966" s="7" t="s">
        <v>329</v>
      </c>
      <c r="AD966" s="7" t="s">
        <v>226</v>
      </c>
      <c r="AE966" s="7">
        <v>0.42</v>
      </c>
      <c r="AF966" s="7" t="s">
        <v>4294</v>
      </c>
      <c r="AG966" s="7">
        <v>0.15</v>
      </c>
      <c r="AH966" s="7">
        <v>0.02</v>
      </c>
      <c r="AI966" s="7">
        <v>1</v>
      </c>
      <c r="AJ966" s="7">
        <v>849</v>
      </c>
      <c r="AK966" s="7">
        <v>417165.52</v>
      </c>
      <c r="AL966" s="7">
        <v>335473.13</v>
      </c>
      <c r="AM966" s="7" t="s">
        <v>391</v>
      </c>
      <c r="AN966" s="7" t="s">
        <v>322</v>
      </c>
      <c r="AO966" s="7">
        <v>98.6</v>
      </c>
      <c r="AP966" s="7">
        <v>24</v>
      </c>
      <c r="AQ966" s="7" t="s">
        <v>392</v>
      </c>
      <c r="AR966" s="7" t="s">
        <v>224</v>
      </c>
      <c r="AS966" s="7" t="s">
        <v>188</v>
      </c>
    </row>
    <row r="967" spans="1:45" x14ac:dyDescent="0.3">
      <c r="A967" s="6" t="s">
        <v>3168</v>
      </c>
      <c r="B967" s="6" t="s">
        <v>5190</v>
      </c>
      <c r="C967" s="6" t="s">
        <v>268</v>
      </c>
      <c r="D967" s="6" t="s">
        <v>274</v>
      </c>
      <c r="E967" s="6" t="s">
        <v>4376</v>
      </c>
      <c r="F967" s="6" t="s">
        <v>31</v>
      </c>
      <c r="G967" s="6" t="s">
        <v>23</v>
      </c>
      <c r="H967" s="6"/>
      <c r="I967" s="6" t="s">
        <v>240</v>
      </c>
      <c r="J967" s="6" t="s">
        <v>136</v>
      </c>
      <c r="K967" s="6" t="s">
        <v>333</v>
      </c>
      <c r="L967" s="6" t="s">
        <v>3169</v>
      </c>
      <c r="M967" s="6" t="s">
        <v>4238</v>
      </c>
      <c r="N967" s="6"/>
      <c r="O967" s="6" t="s">
        <v>5434</v>
      </c>
      <c r="P967" s="6">
        <v>25</v>
      </c>
      <c r="Q967" s="6">
        <v>46592086</v>
      </c>
      <c r="R967" s="6">
        <v>0.32</v>
      </c>
      <c r="S967" s="6">
        <v>0.04</v>
      </c>
      <c r="T967" s="6">
        <v>32949923.219999999</v>
      </c>
      <c r="U967" s="6">
        <v>28912103.789999999</v>
      </c>
      <c r="V967" s="6">
        <v>0.37</v>
      </c>
      <c r="W967" s="6">
        <v>0.1</v>
      </c>
      <c r="X967" s="6" t="s">
        <v>3170</v>
      </c>
      <c r="Y967" s="6">
        <v>4858238.92</v>
      </c>
      <c r="Z967" s="6">
        <v>2793845.06</v>
      </c>
      <c r="AA967" s="6">
        <v>45</v>
      </c>
      <c r="AB967" s="6">
        <v>125</v>
      </c>
      <c r="AC967" s="6" t="s">
        <v>347</v>
      </c>
      <c r="AD967" s="6" t="s">
        <v>320</v>
      </c>
      <c r="AE967" s="6">
        <v>0.78</v>
      </c>
      <c r="AF967" s="6" t="s">
        <v>162</v>
      </c>
      <c r="AG967" s="6">
        <v>0.15</v>
      </c>
      <c r="AH967" s="6">
        <v>0.1</v>
      </c>
      <c r="AI967" s="6">
        <v>4</v>
      </c>
      <c r="AJ967" s="6">
        <v>1912</v>
      </c>
      <c r="AK967" s="6">
        <v>5560265.3700000001</v>
      </c>
      <c r="AL967" s="6">
        <v>13592412.060000001</v>
      </c>
      <c r="AM967" s="6" t="s">
        <v>391</v>
      </c>
      <c r="AN967" s="6" t="s">
        <v>330</v>
      </c>
      <c r="AO967" s="6">
        <v>88</v>
      </c>
      <c r="AP967" s="6">
        <v>48</v>
      </c>
      <c r="AQ967" s="6" t="s">
        <v>387</v>
      </c>
      <c r="AR967" s="6" t="s">
        <v>224</v>
      </c>
      <c r="AS967" s="6"/>
    </row>
    <row r="968" spans="1:45" x14ac:dyDescent="0.3">
      <c r="A968" s="7" t="s">
        <v>3171</v>
      </c>
      <c r="B968" s="7" t="s">
        <v>5541</v>
      </c>
      <c r="C968" s="7" t="s">
        <v>267</v>
      </c>
      <c r="D968" s="7" t="s">
        <v>255</v>
      </c>
      <c r="E968" s="7" t="s">
        <v>41</v>
      </c>
      <c r="F968" s="7" t="s">
        <v>350</v>
      </c>
      <c r="G968" s="7" t="s">
        <v>16</v>
      </c>
      <c r="H968" s="7" t="s">
        <v>182</v>
      </c>
      <c r="I968" s="7" t="s">
        <v>246</v>
      </c>
      <c r="J968" s="7" t="s">
        <v>130</v>
      </c>
      <c r="K968" s="7" t="s">
        <v>333</v>
      </c>
      <c r="L968" s="7" t="s">
        <v>3172</v>
      </c>
      <c r="M968" s="7" t="s">
        <v>4535</v>
      </c>
      <c r="N968" s="7" t="s">
        <v>5542</v>
      </c>
      <c r="O968" s="7" t="s">
        <v>4274</v>
      </c>
      <c r="P968" s="7">
        <v>42</v>
      </c>
      <c r="Q968" s="7">
        <v>6465315</v>
      </c>
      <c r="R968" s="7">
        <v>0.27</v>
      </c>
      <c r="S968" s="7">
        <v>7.0000000000000007E-2</v>
      </c>
      <c r="T968" s="7">
        <v>5050057.55</v>
      </c>
      <c r="U968" s="7">
        <v>3976897.7</v>
      </c>
      <c r="V968" s="7">
        <v>0.22</v>
      </c>
      <c r="W968" s="7">
        <v>0.18</v>
      </c>
      <c r="X968" s="7" t="s">
        <v>3173</v>
      </c>
      <c r="Y968" s="7">
        <v>1081111.32</v>
      </c>
      <c r="Z968" s="7">
        <v>989023.19</v>
      </c>
      <c r="AA968" s="7">
        <v>60</v>
      </c>
      <c r="AB968" s="7">
        <v>62</v>
      </c>
      <c r="AC968" s="7" t="s">
        <v>353</v>
      </c>
      <c r="AD968" s="7" t="s">
        <v>226</v>
      </c>
      <c r="AE968" s="7">
        <v>0.76</v>
      </c>
      <c r="AF968" s="7"/>
      <c r="AG968" s="7">
        <v>0.15</v>
      </c>
      <c r="AH968" s="7">
        <v>0.01</v>
      </c>
      <c r="AI968" s="7">
        <v>2</v>
      </c>
      <c r="AJ968" s="7">
        <v>2329</v>
      </c>
      <c r="AK968" s="7">
        <v>1201186.8999999999</v>
      </c>
      <c r="AL968" s="7">
        <v>2350591.83</v>
      </c>
      <c r="AM968" s="7" t="s">
        <v>385</v>
      </c>
      <c r="AN968" s="7" t="s">
        <v>356</v>
      </c>
      <c r="AO968" s="7">
        <v>68.5</v>
      </c>
      <c r="AP968" s="7">
        <v>24</v>
      </c>
      <c r="AQ968" s="7"/>
      <c r="AR968" s="7" t="s">
        <v>192</v>
      </c>
      <c r="AS968" s="7" t="s">
        <v>188</v>
      </c>
    </row>
    <row r="969" spans="1:45" x14ac:dyDescent="0.3">
      <c r="A969" s="6" t="s">
        <v>3174</v>
      </c>
      <c r="B969" s="6" t="s">
        <v>4931</v>
      </c>
      <c r="C969" s="6" t="s">
        <v>219</v>
      </c>
      <c r="D969" s="6" t="s">
        <v>262</v>
      </c>
      <c r="E969" s="6" t="s">
        <v>52</v>
      </c>
      <c r="F969" s="6" t="s">
        <v>75</v>
      </c>
      <c r="G969" s="6" t="s">
        <v>50</v>
      </c>
      <c r="H969" s="6" t="s">
        <v>4271</v>
      </c>
      <c r="I969" s="6" t="s">
        <v>4291</v>
      </c>
      <c r="J969" s="6" t="s">
        <v>119</v>
      </c>
      <c r="K969" s="6" t="s">
        <v>184</v>
      </c>
      <c r="L969" s="6" t="s">
        <v>3175</v>
      </c>
      <c r="M969" s="6" t="s">
        <v>5511</v>
      </c>
      <c r="N969" s="6" t="s">
        <v>4258</v>
      </c>
      <c r="O969" s="6" t="s">
        <v>3292</v>
      </c>
      <c r="P969" s="6">
        <v>7</v>
      </c>
      <c r="Q969" s="6">
        <v>21125285</v>
      </c>
      <c r="R969" s="6">
        <v>0.02</v>
      </c>
      <c r="S969" s="6">
        <v>0.18</v>
      </c>
      <c r="T969" s="6">
        <v>24429279.57</v>
      </c>
      <c r="U969" s="6">
        <v>15261886.710000001</v>
      </c>
      <c r="V969" s="6">
        <v>0.19</v>
      </c>
      <c r="W969" s="6">
        <v>0.1</v>
      </c>
      <c r="X969" s="6" t="s">
        <v>3176</v>
      </c>
      <c r="Y969" s="6">
        <v>12809403.779999999</v>
      </c>
      <c r="Z969" s="6">
        <v>8447605.1199999992</v>
      </c>
      <c r="AA969" s="6">
        <v>120</v>
      </c>
      <c r="AB969" s="6">
        <v>67</v>
      </c>
      <c r="AC969" s="6" t="s">
        <v>376</v>
      </c>
      <c r="AD969" s="6" t="s">
        <v>226</v>
      </c>
      <c r="AE969" s="6">
        <v>0.17</v>
      </c>
      <c r="AF969" s="6" t="s">
        <v>159</v>
      </c>
      <c r="AG969" s="6">
        <v>0.05</v>
      </c>
      <c r="AH969" s="6">
        <v>7.0000000000000007E-2</v>
      </c>
      <c r="AI969" s="6">
        <v>12</v>
      </c>
      <c r="AJ969" s="6"/>
      <c r="AK969" s="6">
        <v>2673000.9</v>
      </c>
      <c r="AL969" s="6">
        <v>5615140.7300000004</v>
      </c>
      <c r="AM969" s="6" t="s">
        <v>321</v>
      </c>
      <c r="AN969" s="6" t="s">
        <v>356</v>
      </c>
      <c r="AO969" s="6">
        <v>55.6</v>
      </c>
      <c r="AP969" s="6">
        <v>12</v>
      </c>
      <c r="AQ969" s="6" t="s">
        <v>387</v>
      </c>
      <c r="AR969" s="6" t="s">
        <v>186</v>
      </c>
      <c r="AS969" s="6" t="s">
        <v>357</v>
      </c>
    </row>
    <row r="970" spans="1:45" x14ac:dyDescent="0.3">
      <c r="A970" s="7" t="s">
        <v>3177</v>
      </c>
      <c r="B970" s="7" t="s">
        <v>5430</v>
      </c>
      <c r="C970" s="7" t="s">
        <v>266</v>
      </c>
      <c r="D970" s="7" t="s">
        <v>209</v>
      </c>
      <c r="E970" s="7" t="s">
        <v>4265</v>
      </c>
      <c r="F970" s="7" t="s">
        <v>363</v>
      </c>
      <c r="G970" s="7" t="s">
        <v>16</v>
      </c>
      <c r="H970" s="7" t="s">
        <v>212</v>
      </c>
      <c r="I970" s="7" t="s">
        <v>183</v>
      </c>
      <c r="J970" s="6" t="s">
        <v>105</v>
      </c>
      <c r="K970" s="7" t="s">
        <v>326</v>
      </c>
      <c r="L970" s="7" t="s">
        <v>3178</v>
      </c>
      <c r="M970" s="7" t="s">
        <v>4792</v>
      </c>
      <c r="N970" s="7" t="s">
        <v>5543</v>
      </c>
      <c r="O970" s="7" t="s">
        <v>3279</v>
      </c>
      <c r="P970" s="7">
        <v>20</v>
      </c>
      <c r="Q970" s="7">
        <v>15622860</v>
      </c>
      <c r="R970" s="7">
        <v>0.18</v>
      </c>
      <c r="S970" s="7">
        <v>0</v>
      </c>
      <c r="T970" s="7">
        <v>12810745.199999999</v>
      </c>
      <c r="U970" s="7">
        <v>10028510.07</v>
      </c>
      <c r="V970" s="7">
        <v>0.22</v>
      </c>
      <c r="W970" s="7">
        <v>0.06</v>
      </c>
      <c r="X970" s="7" t="s">
        <v>3179</v>
      </c>
      <c r="Y970" s="7">
        <v>6532760.8200000003</v>
      </c>
      <c r="Z970" s="7">
        <v>6576426.0199999996</v>
      </c>
      <c r="AA970" s="7">
        <v>120</v>
      </c>
      <c r="AB970" s="7">
        <v>66</v>
      </c>
      <c r="AC970" s="7" t="s">
        <v>376</v>
      </c>
      <c r="AD970" s="7" t="s">
        <v>455</v>
      </c>
      <c r="AE970" s="7">
        <v>0.08</v>
      </c>
      <c r="AF970" s="7" t="s">
        <v>159</v>
      </c>
      <c r="AG970" s="7">
        <v>0.05</v>
      </c>
      <c r="AH970" s="7">
        <v>0.09</v>
      </c>
      <c r="AI970" s="7">
        <v>11</v>
      </c>
      <c r="AJ970" s="7">
        <v>843</v>
      </c>
      <c r="AK970" s="7">
        <v>2425644.6800000002</v>
      </c>
      <c r="AL970" s="7">
        <v>4430986.9400000004</v>
      </c>
      <c r="AM970" s="7" t="s">
        <v>73</v>
      </c>
      <c r="AN970" s="7" t="s">
        <v>330</v>
      </c>
      <c r="AO970" s="7">
        <v>94.5</v>
      </c>
      <c r="AP970" s="7">
        <v>12</v>
      </c>
      <c r="AQ970" s="7" t="s">
        <v>323</v>
      </c>
      <c r="AR970" s="7" t="s">
        <v>206</v>
      </c>
      <c r="AS970" s="7" t="s">
        <v>324</v>
      </c>
    </row>
    <row r="971" spans="1:45" x14ac:dyDescent="0.3">
      <c r="A971" s="6" t="s">
        <v>3180</v>
      </c>
      <c r="B971" s="6" t="s">
        <v>4767</v>
      </c>
      <c r="C971" s="6" t="s">
        <v>201</v>
      </c>
      <c r="D971" s="6" t="s">
        <v>255</v>
      </c>
      <c r="E971" s="6" t="s">
        <v>36</v>
      </c>
      <c r="F971" s="6" t="s">
        <v>339</v>
      </c>
      <c r="G971" s="6" t="s">
        <v>66</v>
      </c>
      <c r="H971" s="6" t="s">
        <v>197</v>
      </c>
      <c r="I971" s="6" t="s">
        <v>4372</v>
      </c>
      <c r="J971" s="6" t="s">
        <v>115</v>
      </c>
      <c r="K971" s="6" t="s">
        <v>333</v>
      </c>
      <c r="L971" s="6" t="s">
        <v>3181</v>
      </c>
      <c r="M971" s="6" t="s">
        <v>4259</v>
      </c>
      <c r="N971" s="6" t="s">
        <v>4290</v>
      </c>
      <c r="O971" s="6" t="s">
        <v>5544</v>
      </c>
      <c r="P971" s="6" t="s">
        <v>4275</v>
      </c>
      <c r="Q971" s="6">
        <v>18441261</v>
      </c>
      <c r="R971" s="6">
        <v>0.35</v>
      </c>
      <c r="S971" s="6">
        <v>0.14000000000000001</v>
      </c>
      <c r="T971" s="6">
        <v>13664974.4</v>
      </c>
      <c r="U971" s="6">
        <v>9577752.6600000001</v>
      </c>
      <c r="V971" s="6">
        <v>0.3</v>
      </c>
      <c r="W971" s="6">
        <v>7.0000000000000007E-2</v>
      </c>
      <c r="X971" s="6"/>
      <c r="Y971" s="6">
        <v>4751769.21</v>
      </c>
      <c r="Z971" s="6">
        <v>4426184.6399999997</v>
      </c>
      <c r="AA971" s="6">
        <v>60</v>
      </c>
      <c r="AB971" s="6">
        <v>24</v>
      </c>
      <c r="AC971" s="6"/>
      <c r="AD971" s="6" t="s">
        <v>336</v>
      </c>
      <c r="AE971" s="6">
        <v>0.9</v>
      </c>
      <c r="AF971" s="6" t="s">
        <v>4312</v>
      </c>
      <c r="AG971" s="6">
        <v>0.1</v>
      </c>
      <c r="AH971" s="6">
        <v>0.01</v>
      </c>
      <c r="AI971" s="6">
        <v>12</v>
      </c>
      <c r="AJ971" s="6">
        <v>2348</v>
      </c>
      <c r="AK971" s="6">
        <v>2065090.99</v>
      </c>
      <c r="AL971" s="6">
        <v>3087463.17</v>
      </c>
      <c r="AM971" s="6" t="s">
        <v>355</v>
      </c>
      <c r="AN971" s="6" t="s">
        <v>322</v>
      </c>
      <c r="AO971" s="6">
        <v>59.2</v>
      </c>
      <c r="AP971" s="6" t="s">
        <v>4275</v>
      </c>
      <c r="AQ971" s="6" t="s">
        <v>4275</v>
      </c>
      <c r="AR971" s="6" t="s">
        <v>186</v>
      </c>
      <c r="AS971" s="6" t="s">
        <v>361</v>
      </c>
    </row>
    <row r="972" spans="1:45" x14ac:dyDescent="0.3">
      <c r="A972" s="7" t="s">
        <v>3182</v>
      </c>
      <c r="B972" s="7" t="s">
        <v>3980</v>
      </c>
      <c r="C972" s="7" t="s">
        <v>179</v>
      </c>
      <c r="D972" s="7" t="s">
        <v>232</v>
      </c>
      <c r="E972" s="7" t="s">
        <v>41</v>
      </c>
      <c r="F972" s="7" t="s">
        <v>350</v>
      </c>
      <c r="G972" s="7" t="s">
        <v>57</v>
      </c>
      <c r="H972" s="7" t="s">
        <v>182</v>
      </c>
      <c r="I972" s="7" t="s">
        <v>233</v>
      </c>
      <c r="J972" s="6" t="s">
        <v>130</v>
      </c>
      <c r="K972" s="7" t="s">
        <v>204</v>
      </c>
      <c r="L972" s="7" t="s">
        <v>3183</v>
      </c>
      <c r="M972" s="7" t="s">
        <v>3499</v>
      </c>
      <c r="N972" s="7" t="s">
        <v>5521</v>
      </c>
      <c r="O972" s="7" t="s">
        <v>5545</v>
      </c>
      <c r="P972" s="7">
        <v>52</v>
      </c>
      <c r="Q972" s="7">
        <v>28918965</v>
      </c>
      <c r="R972" s="7">
        <v>0.17</v>
      </c>
      <c r="S972" s="7">
        <v>0.06</v>
      </c>
      <c r="T972" s="7">
        <v>25442905.41</v>
      </c>
      <c r="U972" s="7">
        <v>17180346.84</v>
      </c>
      <c r="V972" s="7">
        <v>0.11</v>
      </c>
      <c r="W972" s="7">
        <v>0.06</v>
      </c>
      <c r="X972" s="7" t="s">
        <v>3092</v>
      </c>
      <c r="Y972" s="7">
        <v>6413175.6600000001</v>
      </c>
      <c r="Z972" s="7">
        <v>3848739.95</v>
      </c>
      <c r="AA972" s="7">
        <v>90</v>
      </c>
      <c r="AB972" s="7">
        <v>134</v>
      </c>
      <c r="AC972" s="7" t="s">
        <v>353</v>
      </c>
      <c r="AD972" s="7" t="s">
        <v>226</v>
      </c>
      <c r="AE972" s="7">
        <v>0.23</v>
      </c>
      <c r="AF972" s="7" t="s">
        <v>4303</v>
      </c>
      <c r="AG972" s="7">
        <v>0.05</v>
      </c>
      <c r="AH972" s="7">
        <v>0.1</v>
      </c>
      <c r="AI972" s="7">
        <v>10</v>
      </c>
      <c r="AJ972" s="7">
        <v>4600</v>
      </c>
      <c r="AK972" s="7">
        <v>6248927.4299999997</v>
      </c>
      <c r="AL972" s="7">
        <v>4372138.7300000004</v>
      </c>
      <c r="AM972" s="7" t="s">
        <v>385</v>
      </c>
      <c r="AN972" s="7" t="s">
        <v>348</v>
      </c>
      <c r="AO972" s="7">
        <v>66.599999999999994</v>
      </c>
      <c r="AP972" s="7">
        <v>24</v>
      </c>
      <c r="AQ972" s="7"/>
      <c r="AR972" s="7" t="s">
        <v>206</v>
      </c>
      <c r="AS972" s="7" t="s">
        <v>357</v>
      </c>
    </row>
    <row r="973" spans="1:45" x14ac:dyDescent="0.3">
      <c r="A973" s="6" t="s">
        <v>3184</v>
      </c>
      <c r="B973" s="6" t="s">
        <v>4483</v>
      </c>
      <c r="C973" s="6" t="s">
        <v>264</v>
      </c>
      <c r="D973" s="6" t="s">
        <v>255</v>
      </c>
      <c r="E973" s="6" t="s">
        <v>4265</v>
      </c>
      <c r="F973" s="6" t="s">
        <v>363</v>
      </c>
      <c r="G973" s="6" t="s">
        <v>50</v>
      </c>
      <c r="H973" s="6" t="s">
        <v>182</v>
      </c>
      <c r="I973" s="6" t="s">
        <v>246</v>
      </c>
      <c r="J973" s="6" t="s">
        <v>105</v>
      </c>
      <c r="K973" s="6" t="s">
        <v>184</v>
      </c>
      <c r="L973" s="6" t="s">
        <v>3185</v>
      </c>
      <c r="M973" s="6" t="s">
        <v>4440</v>
      </c>
      <c r="N973" s="6" t="s">
        <v>3661</v>
      </c>
      <c r="O973" s="6" t="s">
        <v>4920</v>
      </c>
      <c r="P973" s="6">
        <v>28</v>
      </c>
      <c r="Q973" s="6">
        <v>24125055</v>
      </c>
      <c r="R973" s="6">
        <v>0.32</v>
      </c>
      <c r="S973" s="6">
        <v>-0.03</v>
      </c>
      <c r="T973" s="6">
        <v>15912886.279999999</v>
      </c>
      <c r="U973" s="6">
        <v>10404869.550000001</v>
      </c>
      <c r="V973" s="6">
        <v>0.23</v>
      </c>
      <c r="W973" s="6">
        <v>0.16</v>
      </c>
      <c r="X973" s="6" t="s">
        <v>3186</v>
      </c>
      <c r="Y973" s="6">
        <v>7390955.3499999996</v>
      </c>
      <c r="Z973" s="6">
        <v>3991494.59</v>
      </c>
      <c r="AA973" s="6">
        <v>120</v>
      </c>
      <c r="AB973" s="6">
        <v>163</v>
      </c>
      <c r="AC973" s="6"/>
      <c r="AD973" s="6" t="s">
        <v>406</v>
      </c>
      <c r="AE973" s="6">
        <v>0.43</v>
      </c>
      <c r="AF973" s="6" t="s">
        <v>153</v>
      </c>
      <c r="AG973" s="6">
        <v>0.1</v>
      </c>
      <c r="AH973" s="6">
        <v>7.0000000000000007E-2</v>
      </c>
      <c r="AI973" s="6">
        <v>1</v>
      </c>
      <c r="AJ973" s="6">
        <v>4846</v>
      </c>
      <c r="AK973" s="6">
        <v>2063576.34</v>
      </c>
      <c r="AL973" s="6">
        <v>4846906.1500000004</v>
      </c>
      <c r="AM973" s="6" t="s">
        <v>343</v>
      </c>
      <c r="AN973" s="6" t="s">
        <v>348</v>
      </c>
      <c r="AO973" s="6">
        <v>99.8</v>
      </c>
      <c r="AP973" s="6" t="s">
        <v>4275</v>
      </c>
      <c r="AQ973" s="6" t="s">
        <v>323</v>
      </c>
      <c r="AR973" s="6" t="s">
        <v>192</v>
      </c>
      <c r="AS973" s="6" t="s">
        <v>324</v>
      </c>
    </row>
    <row r="974" spans="1:45" x14ac:dyDescent="0.3">
      <c r="A974" s="7" t="s">
        <v>3187</v>
      </c>
      <c r="B974" s="7" t="s">
        <v>5546</v>
      </c>
      <c r="C974" s="7" t="s">
        <v>195</v>
      </c>
      <c r="D974" s="7" t="s">
        <v>245</v>
      </c>
      <c r="E974" s="7" t="s">
        <v>52</v>
      </c>
      <c r="F974" s="7" t="s">
        <v>75</v>
      </c>
      <c r="G974" s="7" t="s">
        <v>38</v>
      </c>
      <c r="H974" s="7" t="s">
        <v>197</v>
      </c>
      <c r="I974" s="7" t="s">
        <v>246</v>
      </c>
      <c r="J974" s="7" t="s">
        <v>133</v>
      </c>
      <c r="K974" s="7" t="s">
        <v>221</v>
      </c>
      <c r="L974" s="7" t="s">
        <v>3188</v>
      </c>
      <c r="M974" s="7" t="s">
        <v>5547</v>
      </c>
      <c r="N974" s="7" t="s">
        <v>5360</v>
      </c>
      <c r="O974" s="7" t="s">
        <v>5548</v>
      </c>
      <c r="P974" s="7">
        <v>7</v>
      </c>
      <c r="Q974" s="7">
        <v>38745205</v>
      </c>
      <c r="R974" s="7">
        <v>0.2</v>
      </c>
      <c r="S974" s="7">
        <v>0.14000000000000001</v>
      </c>
      <c r="T974" s="7">
        <v>35335626.960000001</v>
      </c>
      <c r="U974" s="7">
        <v>24612177.460000001</v>
      </c>
      <c r="V974" s="7">
        <v>0.22</v>
      </c>
      <c r="W974" s="7">
        <v>0.06</v>
      </c>
      <c r="X974" s="7"/>
      <c r="Y974" s="7">
        <v>17005991.609999999</v>
      </c>
      <c r="Z974" s="7">
        <v>11161187.960000001</v>
      </c>
      <c r="AA974" s="7">
        <v>60</v>
      </c>
      <c r="AB974" s="7">
        <v>122</v>
      </c>
      <c r="AC974" s="7" t="s">
        <v>329</v>
      </c>
      <c r="AD974" s="7" t="s">
        <v>354</v>
      </c>
      <c r="AE974" s="7">
        <v>0.23</v>
      </c>
      <c r="AF974" s="7" t="s">
        <v>155</v>
      </c>
      <c r="AG974" s="7">
        <v>0.05</v>
      </c>
      <c r="AH974" s="7">
        <v>0.02</v>
      </c>
      <c r="AI974" s="7">
        <v>14</v>
      </c>
      <c r="AJ974" s="7">
        <v>4634</v>
      </c>
      <c r="AK974" s="7">
        <v>5094029.83</v>
      </c>
      <c r="AL974" s="7">
        <v>5311436.43</v>
      </c>
      <c r="AM974" s="7" t="s">
        <v>391</v>
      </c>
      <c r="AN974" s="7" t="s">
        <v>321</v>
      </c>
      <c r="AO974" s="7">
        <v>67.2</v>
      </c>
      <c r="AP974" s="7">
        <v>60</v>
      </c>
      <c r="AQ974" s="7" t="s">
        <v>4275</v>
      </c>
      <c r="AR974" s="7" t="s">
        <v>224</v>
      </c>
      <c r="AS974" s="7" t="s">
        <v>361</v>
      </c>
    </row>
    <row r="975" spans="1:45" x14ac:dyDescent="0.3">
      <c r="A975" s="6" t="s">
        <v>3189</v>
      </c>
      <c r="B975" s="6" t="s">
        <v>4902</v>
      </c>
      <c r="C975" s="6" t="s">
        <v>266</v>
      </c>
      <c r="D975" s="6" t="s">
        <v>220</v>
      </c>
      <c r="E975" s="6" t="s">
        <v>4376</v>
      </c>
      <c r="F975" s="6"/>
      <c r="G975" s="6" t="s">
        <v>78</v>
      </c>
      <c r="H975" s="6" t="s">
        <v>236</v>
      </c>
      <c r="I975" s="6" t="s">
        <v>183</v>
      </c>
      <c r="J975" s="6" t="s">
        <v>136</v>
      </c>
      <c r="K975" s="6" t="s">
        <v>221</v>
      </c>
      <c r="L975" s="6" t="s">
        <v>3190</v>
      </c>
      <c r="M975" s="6" t="s">
        <v>5549</v>
      </c>
      <c r="N975" s="6" t="s">
        <v>5550</v>
      </c>
      <c r="O975" s="6" t="s">
        <v>4260</v>
      </c>
      <c r="P975" s="6">
        <v>43</v>
      </c>
      <c r="Q975" s="6">
        <v>7040950</v>
      </c>
      <c r="R975" s="6">
        <v>0.15</v>
      </c>
      <c r="S975" s="6">
        <v>0.14000000000000001</v>
      </c>
      <c r="T975" s="6">
        <v>6822680.5499999998</v>
      </c>
      <c r="U975" s="6">
        <v>4109950.76</v>
      </c>
      <c r="V975" s="6">
        <v>0.19</v>
      </c>
      <c r="W975" s="6">
        <v>0.12</v>
      </c>
      <c r="X975" s="6" t="s">
        <v>3191</v>
      </c>
      <c r="Y975" s="6">
        <v>1950932.35</v>
      </c>
      <c r="Z975" s="6">
        <v>1698511.47</v>
      </c>
      <c r="AA975" s="6">
        <v>90</v>
      </c>
      <c r="AB975" s="6">
        <v>11</v>
      </c>
      <c r="AC975" s="6"/>
      <c r="AD975" s="6" t="s">
        <v>455</v>
      </c>
      <c r="AE975" s="6">
        <v>0.43</v>
      </c>
      <c r="AF975" s="6" t="s">
        <v>4294</v>
      </c>
      <c r="AG975" s="6">
        <v>0.15</v>
      </c>
      <c r="AH975" s="6">
        <v>0.05</v>
      </c>
      <c r="AI975" s="6">
        <v>9</v>
      </c>
      <c r="AJ975" s="6">
        <v>185</v>
      </c>
      <c r="AK975" s="6">
        <v>979018.47</v>
      </c>
      <c r="AL975" s="6">
        <v>789384.94</v>
      </c>
      <c r="AM975" s="6" t="s">
        <v>321</v>
      </c>
      <c r="AN975" s="6" t="s">
        <v>322</v>
      </c>
      <c r="AO975" s="6">
        <v>80.5</v>
      </c>
      <c r="AP975" s="6">
        <v>24</v>
      </c>
      <c r="AQ975" s="6" t="s">
        <v>323</v>
      </c>
      <c r="AR975" s="6" t="s">
        <v>206</v>
      </c>
      <c r="AS975" s="6" t="s">
        <v>377</v>
      </c>
    </row>
    <row r="976" spans="1:45" x14ac:dyDescent="0.3">
      <c r="A976" s="7" t="s">
        <v>3192</v>
      </c>
      <c r="B976" s="7" t="s">
        <v>5434</v>
      </c>
      <c r="C976" s="7" t="s">
        <v>284</v>
      </c>
      <c r="D976" s="7" t="s">
        <v>562</v>
      </c>
      <c r="E976" s="7"/>
      <c r="F976" s="7" t="s">
        <v>350</v>
      </c>
      <c r="G976" s="7" t="s">
        <v>16</v>
      </c>
      <c r="H976" s="7" t="s">
        <v>236</v>
      </c>
      <c r="I976" s="7"/>
      <c r="J976" s="7" t="s">
        <v>136</v>
      </c>
      <c r="K976" s="7" t="s">
        <v>223</v>
      </c>
      <c r="L976" s="7" t="s">
        <v>3193</v>
      </c>
      <c r="M976" s="7" t="s">
        <v>4758</v>
      </c>
      <c r="N976" s="7" t="s">
        <v>3978</v>
      </c>
      <c r="O976" s="7" t="s">
        <v>4554</v>
      </c>
      <c r="P976" s="7">
        <v>50</v>
      </c>
      <c r="Q976" s="7">
        <v>34521891</v>
      </c>
      <c r="R976" s="7">
        <v>0.28999999999999998</v>
      </c>
      <c r="S976" s="7">
        <v>0.15</v>
      </c>
      <c r="T976" s="7">
        <v>28187124</v>
      </c>
      <c r="U976" s="7">
        <v>17895296.600000001</v>
      </c>
      <c r="V976" s="7">
        <v>0.1</v>
      </c>
      <c r="W976" s="7">
        <v>0.16</v>
      </c>
      <c r="X976" s="7" t="s">
        <v>3194</v>
      </c>
      <c r="Y976" s="7">
        <v>8799303.6099999994</v>
      </c>
      <c r="Z976" s="7">
        <v>7039064.8399999999</v>
      </c>
      <c r="AA976" s="7">
        <v>120</v>
      </c>
      <c r="AB976" s="7">
        <v>18</v>
      </c>
      <c r="AC976" s="7" t="s">
        <v>329</v>
      </c>
      <c r="AD976" s="7" t="s">
        <v>455</v>
      </c>
      <c r="AE976" s="7">
        <v>0.42</v>
      </c>
      <c r="AF976" s="7"/>
      <c r="AG976" s="7">
        <v>0.05</v>
      </c>
      <c r="AH976" s="7">
        <v>0.1</v>
      </c>
      <c r="AI976" s="7">
        <v>15</v>
      </c>
      <c r="AJ976" s="7">
        <v>374</v>
      </c>
      <c r="AK976" s="7">
        <v>3552205.69</v>
      </c>
      <c r="AL976" s="7">
        <v>6129967.9400000004</v>
      </c>
      <c r="AM976" s="7"/>
      <c r="AN976" s="7" t="s">
        <v>322</v>
      </c>
      <c r="AO976" s="7">
        <v>51.2</v>
      </c>
      <c r="AP976" s="7">
        <v>60</v>
      </c>
      <c r="AQ976" s="7" t="s">
        <v>387</v>
      </c>
      <c r="AR976" s="7" t="s">
        <v>229</v>
      </c>
      <c r="AS976" s="7" t="s">
        <v>361</v>
      </c>
    </row>
    <row r="977" spans="1:45" x14ac:dyDescent="0.3">
      <c r="A977" s="6" t="s">
        <v>3195</v>
      </c>
      <c r="B977" s="6" t="s">
        <v>5551</v>
      </c>
      <c r="C977" s="6" t="s">
        <v>284</v>
      </c>
      <c r="D977" s="6"/>
      <c r="E977" s="6" t="s">
        <v>4325</v>
      </c>
      <c r="F977" s="6" t="s">
        <v>19</v>
      </c>
      <c r="G977" s="6" t="s">
        <v>50</v>
      </c>
      <c r="H977" s="6" t="s">
        <v>236</v>
      </c>
      <c r="I977" s="6" t="s">
        <v>203</v>
      </c>
      <c r="J977" s="6" t="s">
        <v>115</v>
      </c>
      <c r="K977" s="6" t="s">
        <v>326</v>
      </c>
      <c r="L977" s="6" t="s">
        <v>3196</v>
      </c>
      <c r="M977" s="6" t="s">
        <v>3690</v>
      </c>
      <c r="N977" s="6" t="s">
        <v>3197</v>
      </c>
      <c r="O977" s="6" t="s">
        <v>3669</v>
      </c>
      <c r="P977" s="6">
        <v>28</v>
      </c>
      <c r="Q977" s="6">
        <v>21905602</v>
      </c>
      <c r="R977" s="6">
        <v>0.01</v>
      </c>
      <c r="S977" s="6">
        <v>0.09</v>
      </c>
      <c r="T977" s="6">
        <v>23638335.120000001</v>
      </c>
      <c r="U977" s="6"/>
      <c r="V977" s="6">
        <v>0.15</v>
      </c>
      <c r="W977" s="6">
        <v>0.14000000000000001</v>
      </c>
      <c r="X977" s="6" t="s">
        <v>3198</v>
      </c>
      <c r="Y977" s="6">
        <v>18388576.579999998</v>
      </c>
      <c r="Z977" s="6">
        <v>8491213.5199999996</v>
      </c>
      <c r="AA977" s="6">
        <v>45</v>
      </c>
      <c r="AB977" s="6">
        <v>53</v>
      </c>
      <c r="AC977" s="6" t="s">
        <v>347</v>
      </c>
      <c r="AD977" s="6" t="s">
        <v>406</v>
      </c>
      <c r="AE977" s="6">
        <v>0.26</v>
      </c>
      <c r="AF977" s="6" t="s">
        <v>4294</v>
      </c>
      <c r="AG977" s="6">
        <v>0.1</v>
      </c>
      <c r="AH977" s="6">
        <v>0.09</v>
      </c>
      <c r="AI977" s="6">
        <v>7</v>
      </c>
      <c r="AJ977" s="6">
        <v>147</v>
      </c>
      <c r="AK977" s="6"/>
      <c r="AL977" s="6"/>
      <c r="AM977" s="6" t="s">
        <v>355</v>
      </c>
      <c r="AN977" s="6"/>
      <c r="AO977" s="6">
        <v>70.7</v>
      </c>
      <c r="AP977" s="6">
        <v>60</v>
      </c>
      <c r="AQ977" s="6" t="s">
        <v>4275</v>
      </c>
      <c r="AR977" s="6" t="s">
        <v>224</v>
      </c>
      <c r="AS977" s="6" t="s">
        <v>188</v>
      </c>
    </row>
    <row r="978" spans="1:45" x14ac:dyDescent="0.3">
      <c r="A978" s="7" t="s">
        <v>3199</v>
      </c>
      <c r="B978" s="7" t="s">
        <v>5552</v>
      </c>
      <c r="C978" s="7" t="s">
        <v>237</v>
      </c>
      <c r="D978" s="7" t="s">
        <v>255</v>
      </c>
      <c r="E978" s="7" t="s">
        <v>52</v>
      </c>
      <c r="F978" s="7" t="s">
        <v>75</v>
      </c>
      <c r="G978" s="7" t="s">
        <v>62</v>
      </c>
      <c r="H978" s="7" t="s">
        <v>212</v>
      </c>
      <c r="I978" s="7" t="s">
        <v>240</v>
      </c>
      <c r="J978" s="7" t="s">
        <v>119</v>
      </c>
      <c r="K978" s="7" t="s">
        <v>221</v>
      </c>
      <c r="L978" s="7" t="s">
        <v>3200</v>
      </c>
      <c r="M978" s="7" t="s">
        <v>3567</v>
      </c>
      <c r="N978" s="7"/>
      <c r="O978" s="7" t="s">
        <v>3801</v>
      </c>
      <c r="P978" s="7" t="s">
        <v>4275</v>
      </c>
      <c r="Q978" s="7">
        <v>13039304</v>
      </c>
      <c r="R978" s="7">
        <v>0.31</v>
      </c>
      <c r="S978" s="7">
        <v>0.03</v>
      </c>
      <c r="T978" s="7">
        <v>9267033.3499999996</v>
      </c>
      <c r="U978" s="7">
        <v>5925583.5599999996</v>
      </c>
      <c r="V978" s="7">
        <v>0.37</v>
      </c>
      <c r="W978" s="7">
        <v>0.17</v>
      </c>
      <c r="X978" s="7" t="s">
        <v>3201</v>
      </c>
      <c r="Y978" s="7">
        <v>3341016.4</v>
      </c>
      <c r="Z978" s="7">
        <v>3524798.91</v>
      </c>
      <c r="AA978" s="7">
        <v>30</v>
      </c>
      <c r="AB978" s="7">
        <v>147</v>
      </c>
      <c r="AC978" s="7" t="s">
        <v>353</v>
      </c>
      <c r="AD978" s="7" t="s">
        <v>381</v>
      </c>
      <c r="AE978" s="7">
        <v>0.41</v>
      </c>
      <c r="AF978" s="7" t="s">
        <v>155</v>
      </c>
      <c r="AG978" s="7">
        <v>0.1</v>
      </c>
      <c r="AH978" s="7">
        <v>0.06</v>
      </c>
      <c r="AI978" s="7">
        <v>15</v>
      </c>
      <c r="AJ978" s="7">
        <v>2907</v>
      </c>
      <c r="AK978" s="7">
        <v>271539.83</v>
      </c>
      <c r="AL978" s="7"/>
      <c r="AM978" s="7" t="s">
        <v>391</v>
      </c>
      <c r="AN978" s="7" t="s">
        <v>321</v>
      </c>
      <c r="AO978" s="7"/>
      <c r="AP978" s="7">
        <v>48</v>
      </c>
      <c r="AQ978" s="7"/>
      <c r="AR978" s="7" t="s">
        <v>206</v>
      </c>
      <c r="AS978" s="7" t="s">
        <v>361</v>
      </c>
    </row>
    <row r="979" spans="1:45" x14ac:dyDescent="0.3">
      <c r="A979" s="6" t="s">
        <v>3202</v>
      </c>
      <c r="B979" s="6" t="s">
        <v>4980</v>
      </c>
      <c r="C979" s="6" t="s">
        <v>284</v>
      </c>
      <c r="D979" s="6" t="s">
        <v>248</v>
      </c>
      <c r="E979" s="6"/>
      <c r="F979" s="6" t="s">
        <v>350</v>
      </c>
      <c r="G979" s="6" t="s">
        <v>33</v>
      </c>
      <c r="H979" s="6" t="s">
        <v>4271</v>
      </c>
      <c r="I979" s="6" t="s">
        <v>4272</v>
      </c>
      <c r="J979" s="6" t="s">
        <v>136</v>
      </c>
      <c r="K979" s="6" t="s">
        <v>333</v>
      </c>
      <c r="L979" s="6" t="s">
        <v>3203</v>
      </c>
      <c r="M979" s="6" t="s">
        <v>5553</v>
      </c>
      <c r="N979" s="6" t="s">
        <v>5343</v>
      </c>
      <c r="O979" s="6" t="s">
        <v>5291</v>
      </c>
      <c r="P979" s="6" t="s">
        <v>4275</v>
      </c>
      <c r="Q979" s="6">
        <v>9742380</v>
      </c>
      <c r="R979" s="6">
        <v>7.0000000000000007E-2</v>
      </c>
      <c r="S979" s="6">
        <v>0.1</v>
      </c>
      <c r="T979" s="6">
        <v>9966454.7400000002</v>
      </c>
      <c r="U979" s="6">
        <v>7880508.2699999996</v>
      </c>
      <c r="V979" s="6">
        <v>0.21</v>
      </c>
      <c r="W979" s="6">
        <v>0.05</v>
      </c>
      <c r="X979" s="6" t="s">
        <v>3204</v>
      </c>
      <c r="Y979" s="6">
        <v>8569383.2300000004</v>
      </c>
      <c r="Z979" s="6">
        <v>6981339.8099999996</v>
      </c>
      <c r="AA979" s="6">
        <v>60</v>
      </c>
      <c r="AB979" s="6">
        <v>73</v>
      </c>
      <c r="AC979" s="6" t="s">
        <v>329</v>
      </c>
      <c r="AD979" s="6" t="s">
        <v>226</v>
      </c>
      <c r="AE979" s="6">
        <v>0.81</v>
      </c>
      <c r="AF979" s="6" t="s">
        <v>159</v>
      </c>
      <c r="AG979" s="6">
        <v>0.1</v>
      </c>
      <c r="AH979" s="6">
        <v>0.02</v>
      </c>
      <c r="AI979" s="6">
        <v>11</v>
      </c>
      <c r="AJ979" s="6">
        <v>2047</v>
      </c>
      <c r="AK979" s="6">
        <v>1029006.78</v>
      </c>
      <c r="AL979" s="6">
        <v>1625006.89</v>
      </c>
      <c r="AM979" s="6" t="s">
        <v>391</v>
      </c>
      <c r="AN979" s="6" t="s">
        <v>386</v>
      </c>
      <c r="AO979" s="6">
        <v>84.9</v>
      </c>
      <c r="AP979" s="6">
        <v>36</v>
      </c>
      <c r="AQ979" s="6"/>
      <c r="AR979" s="6" t="s">
        <v>224</v>
      </c>
      <c r="AS979" s="6"/>
    </row>
    <row r="980" spans="1:45" x14ac:dyDescent="0.3">
      <c r="A980" s="7" t="s">
        <v>3205</v>
      </c>
      <c r="B980" s="7" t="s">
        <v>4261</v>
      </c>
      <c r="C980" s="7" t="s">
        <v>235</v>
      </c>
      <c r="D980" s="7" t="s">
        <v>265</v>
      </c>
      <c r="E980" s="7"/>
      <c r="F980" s="7" t="s">
        <v>363</v>
      </c>
      <c r="G980" s="7"/>
      <c r="H980" s="7" t="s">
        <v>212</v>
      </c>
      <c r="I980" s="7" t="s">
        <v>233</v>
      </c>
      <c r="J980" s="7" t="s">
        <v>136</v>
      </c>
      <c r="K980" s="7" t="s">
        <v>210</v>
      </c>
      <c r="L980" s="7" t="s">
        <v>3206</v>
      </c>
      <c r="M980" s="7" t="s">
        <v>5554</v>
      </c>
      <c r="N980" s="7" t="s">
        <v>5447</v>
      </c>
      <c r="O980" s="7" t="s">
        <v>4697</v>
      </c>
      <c r="P980" s="7">
        <v>10</v>
      </c>
      <c r="Q980" s="7">
        <v>22835877</v>
      </c>
      <c r="R980" s="7">
        <v>0.03</v>
      </c>
      <c r="S980" s="7">
        <v>0.17</v>
      </c>
      <c r="T980" s="7">
        <v>25916436.809999999</v>
      </c>
      <c r="U980" s="7">
        <v>15702349.26</v>
      </c>
      <c r="V980" s="7">
        <v>0.13</v>
      </c>
      <c r="W980" s="7">
        <v>0.06</v>
      </c>
      <c r="X980" s="7" t="s">
        <v>3207</v>
      </c>
      <c r="Y980" s="7">
        <v>5883351.9000000004</v>
      </c>
      <c r="Z980" s="7">
        <v>4257164.79</v>
      </c>
      <c r="AA980" s="7">
        <v>90</v>
      </c>
      <c r="AB980" s="7">
        <v>61</v>
      </c>
      <c r="AC980" s="7"/>
      <c r="AD980" s="7" t="s">
        <v>381</v>
      </c>
      <c r="AE980" s="7">
        <v>0.9</v>
      </c>
      <c r="AF980" s="7" t="s">
        <v>155</v>
      </c>
      <c r="AG980" s="7">
        <v>0.15</v>
      </c>
      <c r="AH980" s="7">
        <v>0.08</v>
      </c>
      <c r="AI980" s="7">
        <v>7</v>
      </c>
      <c r="AJ980" s="7">
        <v>1987</v>
      </c>
      <c r="AK980" s="7">
        <v>762871.95</v>
      </c>
      <c r="AL980" s="7">
        <v>6830337.8700000001</v>
      </c>
      <c r="AM980" s="7"/>
      <c r="AN980" s="7"/>
      <c r="AO980" s="7"/>
      <c r="AP980" s="7" t="s">
        <v>4275</v>
      </c>
      <c r="AQ980" s="7" t="s">
        <v>387</v>
      </c>
      <c r="AR980" s="7" t="s">
        <v>206</v>
      </c>
      <c r="AS980" s="7" t="s">
        <v>324</v>
      </c>
    </row>
    <row r="981" spans="1:45" x14ac:dyDescent="0.3">
      <c r="A981" s="6" t="s">
        <v>3208</v>
      </c>
      <c r="B981" s="6" t="s">
        <v>3687</v>
      </c>
      <c r="C981" s="6" t="s">
        <v>272</v>
      </c>
      <c r="D981" s="6" t="s">
        <v>238</v>
      </c>
      <c r="E981" s="6" t="s">
        <v>4306</v>
      </c>
      <c r="F981" s="6"/>
      <c r="G981" s="6" t="s">
        <v>73</v>
      </c>
      <c r="H981" s="6" t="s">
        <v>212</v>
      </c>
      <c r="I981" s="6" t="s">
        <v>240</v>
      </c>
      <c r="J981" s="7" t="s">
        <v>119</v>
      </c>
      <c r="K981" s="6" t="s">
        <v>199</v>
      </c>
      <c r="L981" s="6" t="s">
        <v>3209</v>
      </c>
      <c r="M981" s="6" t="s">
        <v>4001</v>
      </c>
      <c r="N981" s="6" t="s">
        <v>3535</v>
      </c>
      <c r="O981" s="6" t="s">
        <v>5441</v>
      </c>
      <c r="P981" s="6">
        <v>35</v>
      </c>
      <c r="Q981" s="6">
        <v>25267683</v>
      </c>
      <c r="R981" s="6">
        <v>0.12</v>
      </c>
      <c r="S981" s="6">
        <v>0.12</v>
      </c>
      <c r="T981" s="6">
        <v>24903828.359999999</v>
      </c>
      <c r="U981" s="6">
        <v>22230553.440000001</v>
      </c>
      <c r="V981" s="6">
        <v>0.21</v>
      </c>
      <c r="W981" s="6">
        <v>0.15</v>
      </c>
      <c r="X981" s="6" t="s">
        <v>3210</v>
      </c>
      <c r="Y981" s="6">
        <v>4536693.1900000004</v>
      </c>
      <c r="Z981" s="6">
        <v>2636884.54</v>
      </c>
      <c r="AA981" s="6">
        <v>90</v>
      </c>
      <c r="AB981" s="6">
        <v>113</v>
      </c>
      <c r="AC981" s="6" t="s">
        <v>342</v>
      </c>
      <c r="AD981" s="6" t="s">
        <v>455</v>
      </c>
      <c r="AE981" s="6">
        <v>0.42</v>
      </c>
      <c r="AF981" s="6" t="s">
        <v>159</v>
      </c>
      <c r="AG981" s="6">
        <v>0.1</v>
      </c>
      <c r="AH981" s="6">
        <v>0.05</v>
      </c>
      <c r="AI981" s="6">
        <v>11</v>
      </c>
      <c r="AJ981" s="6">
        <v>4095</v>
      </c>
      <c r="AK981" s="6">
        <v>1760568.17</v>
      </c>
      <c r="AL981" s="6">
        <v>2995662.74</v>
      </c>
      <c r="AM981" s="6" t="s">
        <v>385</v>
      </c>
      <c r="AN981" s="6" t="s">
        <v>322</v>
      </c>
      <c r="AO981" s="6">
        <v>86.6</v>
      </c>
      <c r="AP981" s="6">
        <v>60</v>
      </c>
      <c r="AQ981" s="6" t="s">
        <v>387</v>
      </c>
      <c r="AR981" s="6" t="s">
        <v>229</v>
      </c>
      <c r="AS981" s="6" t="s">
        <v>357</v>
      </c>
    </row>
    <row r="982" spans="1:45" x14ac:dyDescent="0.3">
      <c r="A982" s="7" t="s">
        <v>3211</v>
      </c>
      <c r="B982" s="7" t="s">
        <v>3555</v>
      </c>
      <c r="C982" s="7" t="s">
        <v>273</v>
      </c>
      <c r="D982" s="7" t="s">
        <v>245</v>
      </c>
      <c r="E982" s="7" t="s">
        <v>36</v>
      </c>
      <c r="F982" s="7" t="s">
        <v>339</v>
      </c>
      <c r="G982" s="7" t="s">
        <v>46</v>
      </c>
      <c r="H982" s="7" t="s">
        <v>4266</v>
      </c>
      <c r="I982" s="7" t="s">
        <v>191</v>
      </c>
      <c r="J982" s="7" t="s">
        <v>115</v>
      </c>
      <c r="K982" s="7" t="s">
        <v>221</v>
      </c>
      <c r="L982" s="7" t="s">
        <v>3212</v>
      </c>
      <c r="M982" s="7" t="s">
        <v>5148</v>
      </c>
      <c r="N982" s="7" t="s">
        <v>5251</v>
      </c>
      <c r="O982" s="7" t="s">
        <v>4888</v>
      </c>
      <c r="P982" s="7">
        <v>46</v>
      </c>
      <c r="Q982" s="7">
        <v>43103154</v>
      </c>
      <c r="R982" s="7">
        <v>0.13</v>
      </c>
      <c r="S982" s="7">
        <v>0</v>
      </c>
      <c r="T982" s="7">
        <v>37499743.979999997</v>
      </c>
      <c r="U982" s="7">
        <v>29726618.329999998</v>
      </c>
      <c r="V982" s="7">
        <v>0.09</v>
      </c>
      <c r="W982" s="7">
        <v>0.14000000000000001</v>
      </c>
      <c r="X982" s="7" t="s">
        <v>3213</v>
      </c>
      <c r="Y982" s="7">
        <v>16759214.43</v>
      </c>
      <c r="Z982" s="7">
        <v>13497378.689999999</v>
      </c>
      <c r="AA982" s="7">
        <v>90</v>
      </c>
      <c r="AB982" s="7">
        <v>120</v>
      </c>
      <c r="AC982" s="7" t="s">
        <v>353</v>
      </c>
      <c r="AD982" s="7" t="s">
        <v>226</v>
      </c>
      <c r="AE982" s="7">
        <v>0.66</v>
      </c>
      <c r="AF982" s="7" t="s">
        <v>4294</v>
      </c>
      <c r="AG982" s="7">
        <v>0.05</v>
      </c>
      <c r="AH982" s="7">
        <v>0.02</v>
      </c>
      <c r="AI982" s="7">
        <v>13</v>
      </c>
      <c r="AJ982" s="7">
        <v>3778</v>
      </c>
      <c r="AK982" s="7">
        <v>3482756.21</v>
      </c>
      <c r="AL982" s="7"/>
      <c r="AM982" s="7" t="s">
        <v>321</v>
      </c>
      <c r="AN982" s="7"/>
      <c r="AO982" s="7">
        <v>70.400000000000006</v>
      </c>
      <c r="AP982" s="7">
        <v>36</v>
      </c>
      <c r="AQ982" s="7" t="s">
        <v>323</v>
      </c>
      <c r="AR982" s="7" t="s">
        <v>206</v>
      </c>
      <c r="AS982" s="7" t="s">
        <v>377</v>
      </c>
    </row>
    <row r="983" spans="1:45" x14ac:dyDescent="0.3">
      <c r="A983" s="6" t="s">
        <v>3214</v>
      </c>
      <c r="B983" s="6" t="s">
        <v>2265</v>
      </c>
      <c r="C983" s="6" t="s">
        <v>256</v>
      </c>
      <c r="D983" s="6" t="s">
        <v>209</v>
      </c>
      <c r="E983" s="6" t="s">
        <v>20</v>
      </c>
      <c r="F983" s="6" t="s">
        <v>35</v>
      </c>
      <c r="G983" s="6" t="s">
        <v>70</v>
      </c>
      <c r="H983" s="6" t="s">
        <v>4266</v>
      </c>
      <c r="I983" s="6" t="s">
        <v>246</v>
      </c>
      <c r="J983" s="6" t="s">
        <v>136</v>
      </c>
      <c r="K983" s="6" t="s">
        <v>199</v>
      </c>
      <c r="L983" s="6" t="s">
        <v>3215</v>
      </c>
      <c r="M983" s="6" t="s">
        <v>5229</v>
      </c>
      <c r="N983" s="6" t="s">
        <v>3429</v>
      </c>
      <c r="O983" s="6" t="s">
        <v>5555</v>
      </c>
      <c r="P983" s="6">
        <v>3</v>
      </c>
      <c r="Q983" s="6">
        <v>36774862</v>
      </c>
      <c r="R983" s="6">
        <v>0.05</v>
      </c>
      <c r="S983" s="6">
        <v>0.08</v>
      </c>
      <c r="T983" s="6">
        <v>37731008.409999996</v>
      </c>
      <c r="U983" s="6">
        <v>25431873.170000002</v>
      </c>
      <c r="V983" s="6">
        <v>0.35</v>
      </c>
      <c r="W983" s="6">
        <v>0.18</v>
      </c>
      <c r="X983" s="6" t="s">
        <v>3216</v>
      </c>
      <c r="Y983" s="6">
        <v>27390672.710000001</v>
      </c>
      <c r="Z983" s="6">
        <v>21491456.510000002</v>
      </c>
      <c r="AA983" s="6">
        <v>90</v>
      </c>
      <c r="AB983" s="6">
        <v>27</v>
      </c>
      <c r="AC983" s="6" t="s">
        <v>347</v>
      </c>
      <c r="AD983" s="6" t="s">
        <v>354</v>
      </c>
      <c r="AE983" s="6">
        <v>0.13</v>
      </c>
      <c r="AF983" s="6" t="s">
        <v>159</v>
      </c>
      <c r="AG983" s="6">
        <v>0.15</v>
      </c>
      <c r="AH983" s="6">
        <v>0.06</v>
      </c>
      <c r="AI983" s="6">
        <v>0</v>
      </c>
      <c r="AJ983" s="6">
        <v>3675</v>
      </c>
      <c r="AK983" s="6">
        <v>7126639.8099999996</v>
      </c>
      <c r="AL983" s="6">
        <v>13826665.130000001</v>
      </c>
      <c r="AM983" s="6"/>
      <c r="AN983" s="6"/>
      <c r="AO983" s="6">
        <v>96.9</v>
      </c>
      <c r="AP983" s="6">
        <v>12</v>
      </c>
      <c r="AQ983" s="6" t="s">
        <v>392</v>
      </c>
      <c r="AR983" s="6" t="s">
        <v>186</v>
      </c>
      <c r="AS983" s="6" t="s">
        <v>357</v>
      </c>
    </row>
    <row r="984" spans="1:45" x14ac:dyDescent="0.3">
      <c r="A984" s="7" t="s">
        <v>3217</v>
      </c>
      <c r="B984" s="7" t="s">
        <v>1494</v>
      </c>
      <c r="C984" s="7" t="s">
        <v>276</v>
      </c>
      <c r="D984" s="7" t="s">
        <v>562</v>
      </c>
      <c r="E984" s="7" t="s">
        <v>4265</v>
      </c>
      <c r="F984" s="7" t="s">
        <v>363</v>
      </c>
      <c r="G984" s="7" t="s">
        <v>38</v>
      </c>
      <c r="H984" s="7" t="s">
        <v>4275</v>
      </c>
      <c r="I984" s="7" t="s">
        <v>183</v>
      </c>
      <c r="J984" s="6" t="s">
        <v>130</v>
      </c>
      <c r="K984" s="7" t="s">
        <v>210</v>
      </c>
      <c r="L984" s="7" t="s">
        <v>3218</v>
      </c>
      <c r="M984" s="7" t="s">
        <v>4161</v>
      </c>
      <c r="N984" s="7" t="s">
        <v>4262</v>
      </c>
      <c r="O984" s="7" t="s">
        <v>3859</v>
      </c>
      <c r="P984" s="7">
        <v>34</v>
      </c>
      <c r="Q984" s="7">
        <v>9601312</v>
      </c>
      <c r="R984" s="7">
        <v>0.05</v>
      </c>
      <c r="S984" s="7">
        <v>0</v>
      </c>
      <c r="T984" s="7">
        <v>9121246.4000000004</v>
      </c>
      <c r="U984" s="7">
        <v>7801066.5199999996</v>
      </c>
      <c r="V984" s="7">
        <v>0.28999999999999998</v>
      </c>
      <c r="W984" s="7">
        <v>0.1</v>
      </c>
      <c r="X984" s="7" t="s">
        <v>3219</v>
      </c>
      <c r="Y984" s="7">
        <v>6749473.6299999999</v>
      </c>
      <c r="Z984" s="7">
        <v>6381822.1799999997</v>
      </c>
      <c r="AA984" s="7">
        <v>45</v>
      </c>
      <c r="AB984" s="7">
        <v>77</v>
      </c>
      <c r="AC984" s="7" t="s">
        <v>342</v>
      </c>
      <c r="AD984" s="7" t="s">
        <v>406</v>
      </c>
      <c r="AE984" s="7">
        <v>0.53</v>
      </c>
      <c r="AF984" s="7" t="s">
        <v>152</v>
      </c>
      <c r="AG984" s="7">
        <v>0.15</v>
      </c>
      <c r="AH984" s="7">
        <v>0.08</v>
      </c>
      <c r="AI984" s="7">
        <v>1</v>
      </c>
      <c r="AJ984" s="7">
        <v>1227</v>
      </c>
      <c r="AK984" s="7">
        <v>2074886.96</v>
      </c>
      <c r="AL984" s="7"/>
      <c r="AM984" s="7" t="s">
        <v>343</v>
      </c>
      <c r="AN984" s="7" t="s">
        <v>386</v>
      </c>
      <c r="AO984" s="7">
        <v>59.5</v>
      </c>
      <c r="AP984" s="7">
        <v>60</v>
      </c>
      <c r="AQ984" s="7" t="s">
        <v>392</v>
      </c>
      <c r="AR984" s="7" t="s">
        <v>186</v>
      </c>
      <c r="AS984" s="7" t="s">
        <v>361</v>
      </c>
    </row>
    <row r="985" spans="1:45" x14ac:dyDescent="0.3">
      <c r="A985" s="6" t="s">
        <v>3220</v>
      </c>
      <c r="B985" s="6" t="s">
        <v>3543</v>
      </c>
      <c r="C985" s="6" t="s">
        <v>234</v>
      </c>
      <c r="D985" s="6" t="s">
        <v>215</v>
      </c>
      <c r="E985" s="6" t="s">
        <v>36</v>
      </c>
      <c r="F985" s="6" t="s">
        <v>339</v>
      </c>
      <c r="G985" s="6" t="s">
        <v>33</v>
      </c>
      <c r="H985" s="6" t="s">
        <v>4280</v>
      </c>
      <c r="I985" s="6" t="s">
        <v>4291</v>
      </c>
      <c r="J985" s="6" t="s">
        <v>115</v>
      </c>
      <c r="K985" s="6" t="s">
        <v>184</v>
      </c>
      <c r="L985" s="6" t="s">
        <v>3221</v>
      </c>
      <c r="M985" s="6" t="s">
        <v>4644</v>
      </c>
      <c r="N985" s="6" t="s">
        <v>5499</v>
      </c>
      <c r="O985" s="6" t="s">
        <v>5265</v>
      </c>
      <c r="P985" s="6">
        <v>13</v>
      </c>
      <c r="Q985" s="6">
        <v>622867</v>
      </c>
      <c r="R985" s="6">
        <v>0.16</v>
      </c>
      <c r="S985" s="6">
        <v>0.16</v>
      </c>
      <c r="T985" s="6">
        <v>606921.6</v>
      </c>
      <c r="U985" s="6">
        <v>452180.89</v>
      </c>
      <c r="V985" s="6">
        <v>0.05</v>
      </c>
      <c r="W985" s="6">
        <v>0.06</v>
      </c>
      <c r="X985" s="6" t="s">
        <v>3222</v>
      </c>
      <c r="Y985" s="6">
        <v>161459.5</v>
      </c>
      <c r="Z985" s="6">
        <v>162758.64000000001</v>
      </c>
      <c r="AA985" s="6">
        <v>30</v>
      </c>
      <c r="AB985" s="6">
        <v>167</v>
      </c>
      <c r="AC985" s="6"/>
      <c r="AD985" s="6" t="s">
        <v>406</v>
      </c>
      <c r="AE985" s="6">
        <v>0.56999999999999995</v>
      </c>
      <c r="AF985" s="6"/>
      <c r="AG985" s="6">
        <v>0.15</v>
      </c>
      <c r="AH985" s="6">
        <v>0.04</v>
      </c>
      <c r="AI985" s="6">
        <v>4</v>
      </c>
      <c r="AJ985" s="6">
        <v>4848</v>
      </c>
      <c r="AK985" s="6">
        <v>113576.27</v>
      </c>
      <c r="AL985" s="6">
        <v>122460.97</v>
      </c>
      <c r="AM985" s="6" t="s">
        <v>355</v>
      </c>
      <c r="AN985" s="6" t="s">
        <v>321</v>
      </c>
      <c r="AO985" s="6">
        <v>71.7</v>
      </c>
      <c r="AP985" s="6">
        <v>12</v>
      </c>
      <c r="AQ985" s="6" t="s">
        <v>387</v>
      </c>
      <c r="AR985" s="6" t="s">
        <v>224</v>
      </c>
      <c r="AS985" s="6" t="s">
        <v>377</v>
      </c>
    </row>
    <row r="986" spans="1:45" x14ac:dyDescent="0.3">
      <c r="A986" s="7" t="s">
        <v>3223</v>
      </c>
      <c r="B986" s="7" t="s">
        <v>4207</v>
      </c>
      <c r="C986" s="7" t="s">
        <v>239</v>
      </c>
      <c r="D986" s="7" t="s">
        <v>190</v>
      </c>
      <c r="E986" s="7" t="s">
        <v>52</v>
      </c>
      <c r="F986" s="7" t="s">
        <v>75</v>
      </c>
      <c r="G986" s="7"/>
      <c r="H986" s="7" t="s">
        <v>4326</v>
      </c>
      <c r="I986" s="7" t="s">
        <v>4291</v>
      </c>
      <c r="J986" s="7" t="s">
        <v>119</v>
      </c>
      <c r="K986" s="7" t="s">
        <v>333</v>
      </c>
      <c r="L986" s="7" t="s">
        <v>3224</v>
      </c>
      <c r="M986" s="7" t="s">
        <v>5176</v>
      </c>
      <c r="N986" s="7" t="s">
        <v>4615</v>
      </c>
      <c r="O986" s="7" t="s">
        <v>4274</v>
      </c>
      <c r="P986" s="7">
        <v>57</v>
      </c>
      <c r="Q986" s="7">
        <v>49361743</v>
      </c>
      <c r="R986" s="7">
        <v>0.28999999999999998</v>
      </c>
      <c r="S986" s="7">
        <v>0.16</v>
      </c>
      <c r="T986" s="7">
        <v>40654331.530000001</v>
      </c>
      <c r="U986" s="7">
        <v>33919816.479999997</v>
      </c>
      <c r="V986" s="7">
        <v>0.11</v>
      </c>
      <c r="W986" s="7">
        <v>0.2</v>
      </c>
      <c r="X986" s="7" t="s">
        <v>3225</v>
      </c>
      <c r="Y986" s="7">
        <v>35430478.82</v>
      </c>
      <c r="Z986" s="7">
        <v>16078860.199999999</v>
      </c>
      <c r="AA986" s="7">
        <v>90</v>
      </c>
      <c r="AB986" s="7">
        <v>54</v>
      </c>
      <c r="AC986" s="7" t="s">
        <v>353</v>
      </c>
      <c r="AD986" s="7" t="s">
        <v>381</v>
      </c>
      <c r="AE986" s="7">
        <v>0.73</v>
      </c>
      <c r="AF986" s="7" t="s">
        <v>155</v>
      </c>
      <c r="AG986" s="7">
        <v>0.1</v>
      </c>
      <c r="AH986" s="7">
        <v>0.03</v>
      </c>
      <c r="AI986" s="7">
        <v>15</v>
      </c>
      <c r="AJ986" s="7"/>
      <c r="AK986" s="7">
        <v>3195560.5</v>
      </c>
      <c r="AL986" s="7">
        <v>7638562.4199999999</v>
      </c>
      <c r="AM986" s="7" t="s">
        <v>73</v>
      </c>
      <c r="AN986" s="7" t="s">
        <v>330</v>
      </c>
      <c r="AO986" s="7">
        <v>63.1</v>
      </c>
      <c r="AP986" s="7">
        <v>12</v>
      </c>
      <c r="AQ986" s="7"/>
      <c r="AR986" s="7" t="s">
        <v>186</v>
      </c>
      <c r="AS986" s="7" t="s">
        <v>188</v>
      </c>
    </row>
    <row r="987" spans="1:45" x14ac:dyDescent="0.3">
      <c r="A987" s="6" t="s">
        <v>3226</v>
      </c>
      <c r="B987" s="6" t="s">
        <v>5360</v>
      </c>
      <c r="C987" s="6" t="s">
        <v>269</v>
      </c>
      <c r="D987" s="6" t="s">
        <v>220</v>
      </c>
      <c r="E987" s="6" t="s">
        <v>4270</v>
      </c>
      <c r="F987" s="6" t="s">
        <v>367</v>
      </c>
      <c r="G987" s="6" t="s">
        <v>38</v>
      </c>
      <c r="H987" s="6" t="s">
        <v>236</v>
      </c>
      <c r="I987" s="6" t="s">
        <v>198</v>
      </c>
      <c r="J987" s="6" t="s">
        <v>111</v>
      </c>
      <c r="K987" s="6" t="s">
        <v>184</v>
      </c>
      <c r="L987" s="6" t="s">
        <v>3227</v>
      </c>
      <c r="M987" s="6" t="s">
        <v>4192</v>
      </c>
      <c r="N987" s="6" t="s">
        <v>3629</v>
      </c>
      <c r="O987" s="6" t="s">
        <v>3918</v>
      </c>
      <c r="P987" s="6">
        <v>39</v>
      </c>
      <c r="Q987" s="6">
        <v>11115582</v>
      </c>
      <c r="R987" s="6">
        <v>7.0000000000000007E-2</v>
      </c>
      <c r="S987" s="6">
        <v>-0.03</v>
      </c>
      <c r="T987" s="6">
        <v>10027366.52</v>
      </c>
      <c r="U987" s="6">
        <v>8289036.3899999997</v>
      </c>
      <c r="V987" s="6">
        <v>0.17</v>
      </c>
      <c r="W987" s="6">
        <v>0.11</v>
      </c>
      <c r="X987" s="6" t="s">
        <v>3228</v>
      </c>
      <c r="Y987" s="6">
        <v>6321036.6500000004</v>
      </c>
      <c r="Z987" s="6">
        <v>5064916.3</v>
      </c>
      <c r="AA987" s="6">
        <v>45</v>
      </c>
      <c r="AB987" s="6">
        <v>12</v>
      </c>
      <c r="AC987" s="6"/>
      <c r="AD987" s="6" t="s">
        <v>354</v>
      </c>
      <c r="AE987" s="6">
        <v>0.08</v>
      </c>
      <c r="AF987" s="6" t="s">
        <v>162</v>
      </c>
      <c r="AG987" s="6">
        <v>0.1</v>
      </c>
      <c r="AH987" s="6">
        <v>0.01</v>
      </c>
      <c r="AI987" s="6">
        <v>4</v>
      </c>
      <c r="AJ987" s="6">
        <v>2640</v>
      </c>
      <c r="AK987" s="6">
        <v>463955.85</v>
      </c>
      <c r="AL987" s="6">
        <v>3582877.25</v>
      </c>
      <c r="AM987" s="6" t="s">
        <v>391</v>
      </c>
      <c r="AN987" s="6" t="s">
        <v>348</v>
      </c>
      <c r="AO987" s="6">
        <v>80.8</v>
      </c>
      <c r="AP987" s="6">
        <v>36</v>
      </c>
      <c r="AQ987" s="6" t="s">
        <v>4275</v>
      </c>
      <c r="AR987" s="6" t="s">
        <v>224</v>
      </c>
      <c r="AS987" s="6" t="s">
        <v>377</v>
      </c>
    </row>
    <row r="988" spans="1:45" x14ac:dyDescent="0.3">
      <c r="A988" s="7" t="s">
        <v>3229</v>
      </c>
      <c r="B988" s="7" t="s">
        <v>4604</v>
      </c>
      <c r="C988" s="7" t="s">
        <v>282</v>
      </c>
      <c r="D988" s="7" t="s">
        <v>180</v>
      </c>
      <c r="E988" s="7" t="s">
        <v>41</v>
      </c>
      <c r="F988" s="7" t="s">
        <v>350</v>
      </c>
      <c r="G988" s="7" t="s">
        <v>33</v>
      </c>
      <c r="H988" s="7" t="s">
        <v>212</v>
      </c>
      <c r="I988" s="7" t="s">
        <v>240</v>
      </c>
      <c r="J988" s="6" t="s">
        <v>105</v>
      </c>
      <c r="K988" s="7" t="s">
        <v>223</v>
      </c>
      <c r="L988" s="7" t="s">
        <v>3230</v>
      </c>
      <c r="M988" s="7" t="s">
        <v>4129</v>
      </c>
      <c r="N988" s="7"/>
      <c r="O988" s="7" t="s">
        <v>5434</v>
      </c>
      <c r="P988" s="7">
        <v>58</v>
      </c>
      <c r="Q988" s="7">
        <v>21355855</v>
      </c>
      <c r="R988" s="7">
        <v>0.21</v>
      </c>
      <c r="S988" s="7">
        <v>0.17</v>
      </c>
      <c r="T988" s="7">
        <v>19739216.780000001</v>
      </c>
      <c r="U988" s="7">
        <v>15651213.17</v>
      </c>
      <c r="V988" s="7">
        <v>0.19</v>
      </c>
      <c r="W988" s="7">
        <v>0.06</v>
      </c>
      <c r="X988" s="7" t="s">
        <v>3231</v>
      </c>
      <c r="Y988" s="7">
        <v>3607144.79</v>
      </c>
      <c r="Z988" s="7">
        <v>1685230.31</v>
      </c>
      <c r="AA988" s="7">
        <v>120</v>
      </c>
      <c r="AB988" s="7">
        <v>166</v>
      </c>
      <c r="AC988" s="7" t="s">
        <v>376</v>
      </c>
      <c r="AD988" s="7" t="s">
        <v>336</v>
      </c>
      <c r="AE988" s="7">
        <v>0.56000000000000005</v>
      </c>
      <c r="AF988" s="7" t="s">
        <v>159</v>
      </c>
      <c r="AG988" s="7">
        <v>0.15</v>
      </c>
      <c r="AH988" s="7">
        <v>0.05</v>
      </c>
      <c r="AI988" s="7">
        <v>12</v>
      </c>
      <c r="AJ988" s="7">
        <v>2250</v>
      </c>
      <c r="AK988" s="7">
        <v>4441083.97</v>
      </c>
      <c r="AL988" s="7">
        <v>8317375.7699999996</v>
      </c>
      <c r="AM988" s="7"/>
      <c r="AN988" s="7" t="s">
        <v>322</v>
      </c>
      <c r="AO988" s="7">
        <v>71.2</v>
      </c>
      <c r="AP988" s="7">
        <v>24</v>
      </c>
      <c r="AQ988" s="7" t="s">
        <v>387</v>
      </c>
      <c r="AR988" s="7" t="s">
        <v>224</v>
      </c>
      <c r="AS988" s="7" t="s">
        <v>357</v>
      </c>
    </row>
    <row r="989" spans="1:45" x14ac:dyDescent="0.3">
      <c r="A989" s="6" t="s">
        <v>3232</v>
      </c>
      <c r="B989" s="6" t="s">
        <v>4263</v>
      </c>
      <c r="C989" s="6" t="s">
        <v>211</v>
      </c>
      <c r="D989" s="6" t="s">
        <v>248</v>
      </c>
      <c r="E989" s="6" t="s">
        <v>4265</v>
      </c>
      <c r="F989" s="6" t="s">
        <v>350</v>
      </c>
      <c r="G989" s="6" t="s">
        <v>46</v>
      </c>
      <c r="H989" s="6" t="s">
        <v>4271</v>
      </c>
      <c r="I989" s="6" t="s">
        <v>233</v>
      </c>
      <c r="J989" s="6" t="s">
        <v>105</v>
      </c>
      <c r="K989" s="6" t="s">
        <v>199</v>
      </c>
      <c r="L989" s="6" t="s">
        <v>3233</v>
      </c>
      <c r="M989" s="6" t="s">
        <v>3314</v>
      </c>
      <c r="N989" s="6" t="s">
        <v>3468</v>
      </c>
      <c r="O989" s="6" t="s">
        <v>4086</v>
      </c>
      <c r="P989" s="6">
        <v>13</v>
      </c>
      <c r="Q989" s="6">
        <v>44942154</v>
      </c>
      <c r="R989" s="6">
        <v>0.21</v>
      </c>
      <c r="S989" s="6">
        <v>0.06</v>
      </c>
      <c r="T989" s="6">
        <v>37634559.759999998</v>
      </c>
      <c r="U989" s="6">
        <v>23720179.699999999</v>
      </c>
      <c r="V989" s="6">
        <v>0.26</v>
      </c>
      <c r="W989" s="6">
        <v>0.19</v>
      </c>
      <c r="X989" s="6" t="s">
        <v>3234</v>
      </c>
      <c r="Y989" s="6">
        <v>12461176.68</v>
      </c>
      <c r="Z989" s="6">
        <v>7074516.79</v>
      </c>
      <c r="AA989" s="6">
        <v>120</v>
      </c>
      <c r="AB989" s="6">
        <v>40</v>
      </c>
      <c r="AC989" s="6" t="s">
        <v>342</v>
      </c>
      <c r="AD989" s="6" t="s">
        <v>320</v>
      </c>
      <c r="AE989" s="6">
        <v>0.2</v>
      </c>
      <c r="AF989" s="6" t="s">
        <v>4294</v>
      </c>
      <c r="AG989" s="6">
        <v>0.05</v>
      </c>
      <c r="AH989" s="6">
        <v>0.09</v>
      </c>
      <c r="AI989" s="6">
        <v>9</v>
      </c>
      <c r="AJ989" s="6"/>
      <c r="AK989" s="6">
        <v>1480181.23</v>
      </c>
      <c r="AL989" s="6">
        <v>14328162.390000001</v>
      </c>
      <c r="AM989" s="6" t="s">
        <v>73</v>
      </c>
      <c r="AN989" s="6" t="s">
        <v>322</v>
      </c>
      <c r="AO989" s="6">
        <v>82</v>
      </c>
      <c r="AP989" s="6">
        <v>60</v>
      </c>
      <c r="AQ989" s="6" t="s">
        <v>337</v>
      </c>
      <c r="AR989" s="6" t="s">
        <v>229</v>
      </c>
      <c r="AS989" s="6"/>
    </row>
    <row r="990" spans="1:45" x14ac:dyDescent="0.3">
      <c r="A990" s="7" t="s">
        <v>3235</v>
      </c>
      <c r="B990" s="7" t="s">
        <v>5556</v>
      </c>
      <c r="C990" s="7" t="s">
        <v>234</v>
      </c>
      <c r="D990" s="7" t="s">
        <v>215</v>
      </c>
      <c r="E990" s="7" t="s">
        <v>4270</v>
      </c>
      <c r="F990" s="7" t="s">
        <v>181</v>
      </c>
      <c r="G990" s="7" t="s">
        <v>54</v>
      </c>
      <c r="H990" s="7" t="s">
        <v>4326</v>
      </c>
      <c r="I990" s="7" t="s">
        <v>203</v>
      </c>
      <c r="J990" s="7" t="s">
        <v>111</v>
      </c>
      <c r="K990" s="7" t="s">
        <v>199</v>
      </c>
      <c r="L990" s="7" t="s">
        <v>3236</v>
      </c>
      <c r="M990" s="7" t="s">
        <v>3982</v>
      </c>
      <c r="N990" s="7" t="s">
        <v>5557</v>
      </c>
      <c r="O990" s="7" t="s">
        <v>5558</v>
      </c>
      <c r="P990" s="7">
        <v>10</v>
      </c>
      <c r="Q990" s="7">
        <v>30425903</v>
      </c>
      <c r="R990" s="7">
        <v>0.08</v>
      </c>
      <c r="S990" s="7">
        <v>-0.05</v>
      </c>
      <c r="T990" s="7">
        <v>26592239.219999999</v>
      </c>
      <c r="U990" s="7">
        <v>23256020.73</v>
      </c>
      <c r="V990" s="7">
        <v>0.19</v>
      </c>
      <c r="W990" s="7">
        <v>0.1</v>
      </c>
      <c r="X990" s="7" t="s">
        <v>3237</v>
      </c>
      <c r="Y990" s="7">
        <v>2760645.92</v>
      </c>
      <c r="Z990" s="7">
        <v>1019583.85</v>
      </c>
      <c r="AA990" s="7">
        <v>30</v>
      </c>
      <c r="AB990" s="7">
        <v>104</v>
      </c>
      <c r="AC990" s="7"/>
      <c r="AD990" s="7" t="s">
        <v>406</v>
      </c>
      <c r="AE990" s="7">
        <v>0.63</v>
      </c>
      <c r="AF990" s="7" t="s">
        <v>4319</v>
      </c>
      <c r="AG990" s="7">
        <v>0.1</v>
      </c>
      <c r="AH990" s="7">
        <v>0.09</v>
      </c>
      <c r="AI990" s="7">
        <v>4</v>
      </c>
      <c r="AJ990" s="7">
        <v>1373</v>
      </c>
      <c r="AK990" s="7">
        <v>2544490.81</v>
      </c>
      <c r="AL990" s="7">
        <v>11189469.539999999</v>
      </c>
      <c r="AM990" s="7" t="s">
        <v>321</v>
      </c>
      <c r="AN990" s="7" t="s">
        <v>322</v>
      </c>
      <c r="AO990" s="7">
        <v>65.5</v>
      </c>
      <c r="AP990" s="7">
        <v>24</v>
      </c>
      <c r="AQ990" s="7" t="s">
        <v>323</v>
      </c>
      <c r="AR990" s="7" t="s">
        <v>229</v>
      </c>
      <c r="AS990" s="7"/>
    </row>
    <row r="991" spans="1:45" x14ac:dyDescent="0.3">
      <c r="A991" s="6" t="s">
        <v>3238</v>
      </c>
      <c r="B991" s="6" t="s">
        <v>4267</v>
      </c>
      <c r="C991" s="6" t="s">
        <v>282</v>
      </c>
      <c r="D991" s="6" t="s">
        <v>394</v>
      </c>
      <c r="E991" s="6" t="s">
        <v>4306</v>
      </c>
      <c r="F991" s="6" t="s">
        <v>75</v>
      </c>
      <c r="G991" s="6"/>
      <c r="H991" s="6" t="s">
        <v>4275</v>
      </c>
      <c r="I991" s="6" t="s">
        <v>203</v>
      </c>
      <c r="J991" s="6" t="s">
        <v>133</v>
      </c>
      <c r="K991" s="6" t="s">
        <v>210</v>
      </c>
      <c r="L991" s="6" t="s">
        <v>3239</v>
      </c>
      <c r="M991" s="6" t="s">
        <v>5224</v>
      </c>
      <c r="N991" s="6" t="s">
        <v>4235</v>
      </c>
      <c r="O991" s="6" t="s">
        <v>5043</v>
      </c>
      <c r="P991" s="6">
        <v>52</v>
      </c>
      <c r="Q991" s="6">
        <v>18727965</v>
      </c>
      <c r="R991" s="6">
        <v>0.09</v>
      </c>
      <c r="S991" s="6">
        <v>-0.03</v>
      </c>
      <c r="T991" s="6">
        <v>16531174.710000001</v>
      </c>
      <c r="U991" s="6">
        <v>12785929.41</v>
      </c>
      <c r="V991" s="6">
        <v>0.21</v>
      </c>
      <c r="W991" s="6">
        <v>0.05</v>
      </c>
      <c r="X991" s="6" t="s">
        <v>3240</v>
      </c>
      <c r="Y991" s="6">
        <v>8787015.4199999999</v>
      </c>
      <c r="Z991" s="6">
        <v>3455613.18</v>
      </c>
      <c r="AA991" s="6">
        <v>30</v>
      </c>
      <c r="AB991" s="6">
        <v>80</v>
      </c>
      <c r="AC991" s="6" t="s">
        <v>342</v>
      </c>
      <c r="AD991" s="6" t="s">
        <v>381</v>
      </c>
      <c r="AE991" s="6">
        <v>0.66</v>
      </c>
      <c r="AF991" s="6" t="s">
        <v>159</v>
      </c>
      <c r="AG991" s="6">
        <v>0.15</v>
      </c>
      <c r="AH991" s="6">
        <v>0.09</v>
      </c>
      <c r="AI991" s="6">
        <v>8</v>
      </c>
      <c r="AJ991" s="6">
        <v>4337</v>
      </c>
      <c r="AK991" s="6">
        <v>3571068.72</v>
      </c>
      <c r="AL991" s="6">
        <v>4964978.93</v>
      </c>
      <c r="AM991" s="6" t="s">
        <v>343</v>
      </c>
      <c r="AN991" s="6" t="s">
        <v>322</v>
      </c>
      <c r="AO991" s="6">
        <v>83.5</v>
      </c>
      <c r="AP991" s="6">
        <v>60</v>
      </c>
      <c r="AQ991" s="6"/>
      <c r="AR991" s="6" t="s">
        <v>229</v>
      </c>
      <c r="AS991" s="6"/>
    </row>
    <row r="992" spans="1:45" x14ac:dyDescent="0.3">
      <c r="A992" s="7" t="s">
        <v>3241</v>
      </c>
      <c r="B992" s="7" t="s">
        <v>3770</v>
      </c>
      <c r="C992" s="7" t="s">
        <v>280</v>
      </c>
      <c r="D992" s="7" t="s">
        <v>180</v>
      </c>
      <c r="E992" s="7"/>
      <c r="F992" s="7" t="s">
        <v>75</v>
      </c>
      <c r="G992" s="7" t="s">
        <v>70</v>
      </c>
      <c r="H992" s="7" t="s">
        <v>4280</v>
      </c>
      <c r="I992" s="7" t="s">
        <v>191</v>
      </c>
      <c r="J992" s="7" t="s">
        <v>136</v>
      </c>
      <c r="K992" s="7" t="s">
        <v>333</v>
      </c>
      <c r="L992" s="7" t="s">
        <v>3242</v>
      </c>
      <c r="M992" s="7" t="s">
        <v>5559</v>
      </c>
      <c r="N992" s="7" t="s">
        <v>3700</v>
      </c>
      <c r="O992" s="7" t="s">
        <v>4274</v>
      </c>
      <c r="P992" s="7">
        <v>20</v>
      </c>
      <c r="Q992" s="7">
        <v>34988846</v>
      </c>
      <c r="R992" s="7">
        <v>0.25</v>
      </c>
      <c r="S992" s="7">
        <v>0.02</v>
      </c>
      <c r="T992" s="7">
        <v>26766467.190000001</v>
      </c>
      <c r="U992" s="7">
        <v>19060907.780000001</v>
      </c>
      <c r="V992" s="7">
        <v>0.22</v>
      </c>
      <c r="W992" s="7">
        <v>0.06</v>
      </c>
      <c r="X992" s="7" t="s">
        <v>3243</v>
      </c>
      <c r="Y992" s="7">
        <v>23878129.510000002</v>
      </c>
      <c r="Z992" s="7">
        <v>8700787.7599999998</v>
      </c>
      <c r="AA992" s="7">
        <v>45</v>
      </c>
      <c r="AB992" s="7">
        <v>73</v>
      </c>
      <c r="AC992" s="7" t="s">
        <v>342</v>
      </c>
      <c r="AD992" s="7" t="s">
        <v>320</v>
      </c>
      <c r="AE992" s="7">
        <v>0.59</v>
      </c>
      <c r="AF992" s="7" t="s">
        <v>4294</v>
      </c>
      <c r="AG992" s="7">
        <v>0.05</v>
      </c>
      <c r="AH992" s="7">
        <v>0.04</v>
      </c>
      <c r="AI992" s="7">
        <v>6</v>
      </c>
      <c r="AJ992" s="7">
        <v>3084</v>
      </c>
      <c r="AK992" s="7">
        <v>2256281</v>
      </c>
      <c r="AL992" s="7">
        <v>11294387.630000001</v>
      </c>
      <c r="AM992" s="7" t="s">
        <v>391</v>
      </c>
      <c r="AN992" s="7"/>
      <c r="AO992" s="7"/>
      <c r="AP992" s="7">
        <v>36</v>
      </c>
      <c r="AQ992" s="7" t="s">
        <v>387</v>
      </c>
      <c r="AR992" s="7" t="s">
        <v>186</v>
      </c>
      <c r="AS992" s="7"/>
    </row>
    <row r="993" spans="1:45" x14ac:dyDescent="0.3">
      <c r="A993" s="6" t="s">
        <v>3244</v>
      </c>
      <c r="B993" s="6" t="s">
        <v>4612</v>
      </c>
      <c r="C993" s="6" t="s">
        <v>286</v>
      </c>
      <c r="D993" s="6" t="s">
        <v>274</v>
      </c>
      <c r="E993" s="6" t="s">
        <v>4376</v>
      </c>
      <c r="F993" s="6" t="s">
        <v>31</v>
      </c>
      <c r="G993" s="6" t="s">
        <v>50</v>
      </c>
      <c r="H993" s="6" t="s">
        <v>263</v>
      </c>
      <c r="I993" s="6"/>
      <c r="J993" s="6" t="s">
        <v>136</v>
      </c>
      <c r="K993" s="6" t="s">
        <v>333</v>
      </c>
      <c r="L993" s="6" t="s">
        <v>3245</v>
      </c>
      <c r="M993" s="6" t="s">
        <v>3520</v>
      </c>
      <c r="N993" s="6" t="s">
        <v>4493</v>
      </c>
      <c r="O993" s="6" t="s">
        <v>5560</v>
      </c>
      <c r="P993" s="6">
        <v>36</v>
      </c>
      <c r="Q993" s="6">
        <v>27960198</v>
      </c>
      <c r="R993" s="6">
        <v>0.16</v>
      </c>
      <c r="S993" s="6">
        <v>0.15</v>
      </c>
      <c r="T993" s="6">
        <v>27009551.27</v>
      </c>
      <c r="U993" s="6"/>
      <c r="V993" s="6">
        <v>0.08</v>
      </c>
      <c r="W993" s="6">
        <v>0.06</v>
      </c>
      <c r="X993" s="6" t="s">
        <v>3246</v>
      </c>
      <c r="Y993" s="6">
        <v>13442886.08</v>
      </c>
      <c r="Z993" s="6">
        <v>7613394.75</v>
      </c>
      <c r="AA993" s="6">
        <v>45</v>
      </c>
      <c r="AB993" s="6">
        <v>79</v>
      </c>
      <c r="AC993" s="6" t="s">
        <v>342</v>
      </c>
      <c r="AD993" s="6" t="s">
        <v>354</v>
      </c>
      <c r="AE993" s="6">
        <v>0.63</v>
      </c>
      <c r="AF993" s="6" t="s">
        <v>4312</v>
      </c>
      <c r="AG993" s="6">
        <v>0.1</v>
      </c>
      <c r="AH993" s="6">
        <v>0.08</v>
      </c>
      <c r="AI993" s="6">
        <v>6</v>
      </c>
      <c r="AJ993" s="6">
        <v>962</v>
      </c>
      <c r="AK993" s="6">
        <v>784393.56</v>
      </c>
      <c r="AL993" s="6">
        <v>6350992.5499999998</v>
      </c>
      <c r="AM993" s="6" t="s">
        <v>355</v>
      </c>
      <c r="AN993" s="6" t="s">
        <v>330</v>
      </c>
      <c r="AO993" s="6">
        <v>94</v>
      </c>
      <c r="AP993" s="6">
        <v>36</v>
      </c>
      <c r="AQ993" s="6"/>
      <c r="AR993" s="6" t="s">
        <v>224</v>
      </c>
      <c r="AS993" s="6"/>
    </row>
    <row r="994" spans="1:45" x14ac:dyDescent="0.3">
      <c r="A994" s="7" t="s">
        <v>3247</v>
      </c>
      <c r="B994" s="7" t="s">
        <v>4239</v>
      </c>
      <c r="C994" s="7" t="s">
        <v>258</v>
      </c>
      <c r="D994" s="7" t="s">
        <v>262</v>
      </c>
      <c r="E994" s="7" t="s">
        <v>4270</v>
      </c>
      <c r="F994" s="7" t="s">
        <v>367</v>
      </c>
      <c r="G994" s="7" t="s">
        <v>54</v>
      </c>
      <c r="H994" s="7" t="s">
        <v>4271</v>
      </c>
      <c r="I994" s="7" t="s">
        <v>4272</v>
      </c>
      <c r="J994" s="7" t="s">
        <v>123</v>
      </c>
      <c r="K994" s="7" t="s">
        <v>210</v>
      </c>
      <c r="L994" s="7" t="s">
        <v>3248</v>
      </c>
      <c r="M994" s="7" t="s">
        <v>5561</v>
      </c>
      <c r="N994" s="7"/>
      <c r="O994" s="7" t="s">
        <v>5562</v>
      </c>
      <c r="P994" s="7">
        <v>43</v>
      </c>
      <c r="Q994" s="7">
        <v>37236528</v>
      </c>
      <c r="R994" s="7">
        <v>0.24</v>
      </c>
      <c r="S994" s="7">
        <v>-0.02</v>
      </c>
      <c r="T994" s="7">
        <v>27733766.050000001</v>
      </c>
      <c r="U994" s="7">
        <v>22769281.280000001</v>
      </c>
      <c r="V994" s="7">
        <v>0.08</v>
      </c>
      <c r="W994" s="7">
        <v>0.14000000000000001</v>
      </c>
      <c r="X994" s="7" t="s">
        <v>3249</v>
      </c>
      <c r="Y994" s="7">
        <v>22990520.039999999</v>
      </c>
      <c r="Z994" s="7">
        <v>9526533.8100000005</v>
      </c>
      <c r="AA994" s="7">
        <v>45</v>
      </c>
      <c r="AB994" s="7">
        <v>46</v>
      </c>
      <c r="AC994" s="7"/>
      <c r="AD994" s="7" t="s">
        <v>381</v>
      </c>
      <c r="AE994" s="7">
        <v>0.25</v>
      </c>
      <c r="AF994" s="7" t="s">
        <v>4312</v>
      </c>
      <c r="AG994" s="7">
        <v>0.05</v>
      </c>
      <c r="AH994" s="7">
        <v>0.09</v>
      </c>
      <c r="AI994" s="7">
        <v>5</v>
      </c>
      <c r="AJ994" s="7">
        <v>1723</v>
      </c>
      <c r="AK994" s="7">
        <v>5301690.3</v>
      </c>
      <c r="AL994" s="7">
        <v>8035018.5599999996</v>
      </c>
      <c r="AM994" s="7" t="s">
        <v>321</v>
      </c>
      <c r="AN994" s="7" t="s">
        <v>348</v>
      </c>
      <c r="AO994" s="7">
        <v>81.099999999999994</v>
      </c>
      <c r="AP994" s="7">
        <v>12</v>
      </c>
      <c r="AQ994" s="7" t="s">
        <v>323</v>
      </c>
      <c r="AR994" s="7" t="s">
        <v>186</v>
      </c>
      <c r="AS994" s="7" t="s">
        <v>188</v>
      </c>
    </row>
    <row r="995" spans="1:45" x14ac:dyDescent="0.3">
      <c r="A995" s="6" t="s">
        <v>3250</v>
      </c>
      <c r="B995" s="6" t="s">
        <v>5022</v>
      </c>
      <c r="C995" s="6" t="s">
        <v>280</v>
      </c>
      <c r="D995" s="6" t="s">
        <v>265</v>
      </c>
      <c r="E995" s="6" t="s">
        <v>4265</v>
      </c>
      <c r="F995" s="6" t="s">
        <v>363</v>
      </c>
      <c r="G995" s="6" t="s">
        <v>78</v>
      </c>
      <c r="H995" s="6" t="s">
        <v>236</v>
      </c>
      <c r="I995" s="6" t="s">
        <v>4289</v>
      </c>
      <c r="J995" s="6" t="s">
        <v>105</v>
      </c>
      <c r="K995" s="6" t="s">
        <v>333</v>
      </c>
      <c r="L995" s="6" t="s">
        <v>3251</v>
      </c>
      <c r="M995" s="6" t="s">
        <v>3925</v>
      </c>
      <c r="N995" s="6"/>
      <c r="O995" s="6" t="s">
        <v>4566</v>
      </c>
      <c r="P995" s="6">
        <v>29</v>
      </c>
      <c r="Q995" s="6">
        <v>43049737</v>
      </c>
      <c r="R995" s="6">
        <v>0.04</v>
      </c>
      <c r="S995" s="6">
        <v>0.19</v>
      </c>
      <c r="T995" s="6">
        <v>49180019.549999997</v>
      </c>
      <c r="U995" s="6">
        <v>33765288.859999999</v>
      </c>
      <c r="V995" s="6">
        <v>0.37</v>
      </c>
      <c r="W995" s="6">
        <v>0.06</v>
      </c>
      <c r="X995" s="6" t="s">
        <v>3252</v>
      </c>
      <c r="Y995" s="6">
        <v>43508259.950000003</v>
      </c>
      <c r="Z995" s="6">
        <v>34075092.299999997</v>
      </c>
      <c r="AA995" s="6">
        <v>120</v>
      </c>
      <c r="AB995" s="6">
        <v>35</v>
      </c>
      <c r="AC995" s="6" t="s">
        <v>329</v>
      </c>
      <c r="AD995" s="6" t="s">
        <v>354</v>
      </c>
      <c r="AE995" s="6">
        <v>0.23</v>
      </c>
      <c r="AF995" s="6" t="s">
        <v>4303</v>
      </c>
      <c r="AG995" s="6">
        <v>0.1</v>
      </c>
      <c r="AH995" s="6">
        <v>0.06</v>
      </c>
      <c r="AI995" s="6">
        <v>9</v>
      </c>
      <c r="AJ995" s="6">
        <v>3270</v>
      </c>
      <c r="AK995" s="6">
        <v>7878423.2199999997</v>
      </c>
      <c r="AL995" s="6">
        <v>22585728.050000001</v>
      </c>
      <c r="AM995" s="6" t="s">
        <v>385</v>
      </c>
      <c r="AN995" s="6" t="s">
        <v>356</v>
      </c>
      <c r="AO995" s="6">
        <v>76.8</v>
      </c>
      <c r="AP995" s="6">
        <v>60</v>
      </c>
      <c r="AQ995" s="6" t="s">
        <v>323</v>
      </c>
      <c r="AR995" s="6" t="s">
        <v>206</v>
      </c>
      <c r="AS995" s="6" t="s">
        <v>188</v>
      </c>
    </row>
    <row r="996" spans="1:45" x14ac:dyDescent="0.3">
      <c r="A996" s="7" t="s">
        <v>3253</v>
      </c>
      <c r="B996" s="7" t="s">
        <v>5563</v>
      </c>
      <c r="C996" s="7" t="s">
        <v>276</v>
      </c>
      <c r="D996" s="7" t="s">
        <v>281</v>
      </c>
      <c r="E996" s="7" t="s">
        <v>4325</v>
      </c>
      <c r="F996" s="7" t="s">
        <v>339</v>
      </c>
      <c r="G996" s="7" t="s">
        <v>73</v>
      </c>
      <c r="H996" s="7" t="s">
        <v>4266</v>
      </c>
      <c r="I996" s="7" t="s">
        <v>4272</v>
      </c>
      <c r="J996" s="7" t="s">
        <v>115</v>
      </c>
      <c r="K996" s="7" t="s">
        <v>333</v>
      </c>
      <c r="L996" s="7" t="s">
        <v>3254</v>
      </c>
      <c r="M996" s="7" t="s">
        <v>5421</v>
      </c>
      <c r="N996" s="7" t="s">
        <v>5364</v>
      </c>
      <c r="O996" s="7" t="s">
        <v>4413</v>
      </c>
      <c r="P996" s="7">
        <v>20</v>
      </c>
      <c r="Q996" s="7">
        <v>47982730</v>
      </c>
      <c r="R996" s="7">
        <v>0.32</v>
      </c>
      <c r="S996" s="7">
        <v>0.04</v>
      </c>
      <c r="T996" s="7">
        <v>33933386.659999996</v>
      </c>
      <c r="U996" s="7">
        <v>23814006.609999999</v>
      </c>
      <c r="V996" s="7">
        <v>0.1</v>
      </c>
      <c r="W996" s="7">
        <v>0.14000000000000001</v>
      </c>
      <c r="X996" s="7" t="s">
        <v>3255</v>
      </c>
      <c r="Y996" s="7">
        <v>21210761.530000001</v>
      </c>
      <c r="Z996" s="7">
        <v>23161472.030000001</v>
      </c>
      <c r="AA996" s="7">
        <v>45</v>
      </c>
      <c r="AB996" s="7">
        <v>165</v>
      </c>
      <c r="AC996" s="7" t="s">
        <v>347</v>
      </c>
      <c r="AD996" s="7" t="s">
        <v>320</v>
      </c>
      <c r="AE996" s="7">
        <v>0.66</v>
      </c>
      <c r="AF996" s="7" t="s">
        <v>152</v>
      </c>
      <c r="AG996" s="7">
        <v>0.05</v>
      </c>
      <c r="AH996" s="7">
        <v>0.02</v>
      </c>
      <c r="AI996" s="7">
        <v>1</v>
      </c>
      <c r="AJ996" s="7">
        <v>3905</v>
      </c>
      <c r="AK996" s="7">
        <v>1016827.03</v>
      </c>
      <c r="AL996" s="7">
        <v>5165886.43</v>
      </c>
      <c r="AM996" s="7" t="s">
        <v>355</v>
      </c>
      <c r="AN996" s="7" t="s">
        <v>386</v>
      </c>
      <c r="AO996" s="7"/>
      <c r="AP996" s="7">
        <v>24</v>
      </c>
      <c r="AQ996" s="7" t="s">
        <v>337</v>
      </c>
      <c r="AR996" s="7" t="s">
        <v>192</v>
      </c>
      <c r="AS996" s="7" t="s">
        <v>377</v>
      </c>
    </row>
    <row r="997" spans="1:45" x14ac:dyDescent="0.3">
      <c r="A997" s="6" t="s">
        <v>3256</v>
      </c>
      <c r="B997" s="6" t="s">
        <v>3778</v>
      </c>
      <c r="C997" s="6" t="s">
        <v>284</v>
      </c>
      <c r="D997" s="6" t="s">
        <v>245</v>
      </c>
      <c r="E997" s="6"/>
      <c r="F997" s="6" t="s">
        <v>196</v>
      </c>
      <c r="G997" s="6" t="s">
        <v>46</v>
      </c>
      <c r="H997" s="6" t="s">
        <v>182</v>
      </c>
      <c r="I997" s="6" t="s">
        <v>213</v>
      </c>
      <c r="J997" s="6" t="s">
        <v>136</v>
      </c>
      <c r="K997" s="6" t="s">
        <v>333</v>
      </c>
      <c r="L997" s="6" t="s">
        <v>3257</v>
      </c>
      <c r="M997" s="6" t="s">
        <v>4264</v>
      </c>
      <c r="N997" s="6" t="s">
        <v>3591</v>
      </c>
      <c r="O997" s="6" t="s">
        <v>4274</v>
      </c>
      <c r="P997" s="6">
        <v>30</v>
      </c>
      <c r="Q997" s="6">
        <v>19806394</v>
      </c>
      <c r="R997" s="6">
        <v>0.23</v>
      </c>
      <c r="S997" s="6">
        <v>0.13</v>
      </c>
      <c r="T997" s="6">
        <v>17233543.420000002</v>
      </c>
      <c r="U997" s="6">
        <v>12604218.24</v>
      </c>
      <c r="V997" s="6">
        <v>0.38</v>
      </c>
      <c r="W997" s="6">
        <v>7.0000000000000007E-2</v>
      </c>
      <c r="X997" s="6"/>
      <c r="Y997" s="6">
        <v>7374927.1299999999</v>
      </c>
      <c r="Z997" s="6">
        <v>5623266.4900000002</v>
      </c>
      <c r="AA997" s="6">
        <v>45</v>
      </c>
      <c r="AB997" s="6">
        <v>62</v>
      </c>
      <c r="AC997" s="6"/>
      <c r="AD997" s="6" t="s">
        <v>320</v>
      </c>
      <c r="AE997" s="6">
        <v>0.96</v>
      </c>
      <c r="AF997" s="6" t="s">
        <v>4312</v>
      </c>
      <c r="AG997" s="6">
        <v>0.05</v>
      </c>
      <c r="AH997" s="6">
        <v>0.01</v>
      </c>
      <c r="AI997" s="6">
        <v>4</v>
      </c>
      <c r="AJ997" s="6">
        <v>4483</v>
      </c>
      <c r="AK997" s="6">
        <v>574748.01</v>
      </c>
      <c r="AL997" s="6">
        <v>8381730.9500000002</v>
      </c>
      <c r="AM997" s="6" t="s">
        <v>391</v>
      </c>
      <c r="AN997" s="6"/>
      <c r="AO997" s="6"/>
      <c r="AP997" s="6">
        <v>12</v>
      </c>
      <c r="AQ997" s="6"/>
      <c r="AR997" s="6" t="s">
        <v>224</v>
      </c>
      <c r="AS997" s="6" t="s">
        <v>357</v>
      </c>
    </row>
    <row r="998" spans="1:45" x14ac:dyDescent="0.3">
      <c r="A998" s="7" t="s">
        <v>3258</v>
      </c>
      <c r="B998" s="7" t="s">
        <v>4943</v>
      </c>
      <c r="C998" s="7" t="s">
        <v>195</v>
      </c>
      <c r="D998" s="7"/>
      <c r="E998" s="7" t="s">
        <v>4376</v>
      </c>
      <c r="F998" s="7" t="s">
        <v>196</v>
      </c>
      <c r="G998" s="7" t="s">
        <v>80</v>
      </c>
      <c r="H998" s="7" t="s">
        <v>4280</v>
      </c>
      <c r="I998" s="7" t="s">
        <v>198</v>
      </c>
      <c r="J998" s="7" t="s">
        <v>136</v>
      </c>
      <c r="K998" s="7" t="s">
        <v>333</v>
      </c>
      <c r="L998" s="7" t="s">
        <v>3259</v>
      </c>
      <c r="M998" s="7" t="s">
        <v>4488</v>
      </c>
      <c r="N998" s="7"/>
      <c r="O998" s="7" t="s">
        <v>4274</v>
      </c>
      <c r="P998" s="7">
        <v>16</v>
      </c>
      <c r="Q998" s="7">
        <v>3376586</v>
      </c>
      <c r="R998" s="7">
        <v>0.14000000000000001</v>
      </c>
      <c r="S998" s="7">
        <v>-0.03</v>
      </c>
      <c r="T998" s="7">
        <v>2816748.04</v>
      </c>
      <c r="U998" s="7">
        <v>2441873.9</v>
      </c>
      <c r="V998" s="7">
        <v>0.25</v>
      </c>
      <c r="W998" s="7">
        <v>0.17</v>
      </c>
      <c r="X998" s="7" t="s">
        <v>3260</v>
      </c>
      <c r="Y998" s="7">
        <v>1287078.93</v>
      </c>
      <c r="Z998" s="7">
        <v>960201.85</v>
      </c>
      <c r="AA998" s="7">
        <v>60</v>
      </c>
      <c r="AB998" s="7">
        <v>31</v>
      </c>
      <c r="AC998" s="7"/>
      <c r="AD998" s="7" t="s">
        <v>455</v>
      </c>
      <c r="AE998" s="7">
        <v>0.35</v>
      </c>
      <c r="AF998" s="7" t="s">
        <v>4276</v>
      </c>
      <c r="AG998" s="7">
        <v>0.05</v>
      </c>
      <c r="AH998" s="7">
        <v>0.09</v>
      </c>
      <c r="AI998" s="7">
        <v>0</v>
      </c>
      <c r="AJ998" s="7">
        <v>2093</v>
      </c>
      <c r="AK998" s="7">
        <v>207240.05</v>
      </c>
      <c r="AL998" s="7">
        <v>644021.57999999996</v>
      </c>
      <c r="AM998" s="7"/>
      <c r="AN998" s="7" t="s">
        <v>386</v>
      </c>
      <c r="AO998" s="7">
        <v>69.3</v>
      </c>
      <c r="AP998" s="7">
        <v>24</v>
      </c>
      <c r="AQ998" s="7" t="s">
        <v>392</v>
      </c>
      <c r="AR998" s="7" t="s">
        <v>192</v>
      </c>
      <c r="AS998" s="7" t="s">
        <v>377</v>
      </c>
    </row>
    <row r="999" spans="1:45" x14ac:dyDescent="0.3">
      <c r="A999" s="6" t="s">
        <v>3261</v>
      </c>
      <c r="B999" s="6" t="s">
        <v>5564</v>
      </c>
      <c r="C999" s="6" t="s">
        <v>237</v>
      </c>
      <c r="D999" s="6" t="s">
        <v>562</v>
      </c>
      <c r="E999" s="6" t="s">
        <v>4376</v>
      </c>
      <c r="F999" s="6" t="s">
        <v>31</v>
      </c>
      <c r="G999" s="6" t="s">
        <v>80</v>
      </c>
      <c r="H999" s="6" t="s">
        <v>4266</v>
      </c>
      <c r="I999" s="6"/>
      <c r="J999" s="6" t="s">
        <v>136</v>
      </c>
      <c r="K999" s="6" t="s">
        <v>199</v>
      </c>
      <c r="L999" s="6" t="s">
        <v>3262</v>
      </c>
      <c r="M999" s="6" t="s">
        <v>3634</v>
      </c>
      <c r="N999" s="6" t="s">
        <v>3495</v>
      </c>
      <c r="O999" s="6" t="s">
        <v>5565</v>
      </c>
      <c r="P999" s="6">
        <v>21</v>
      </c>
      <c r="Q999" s="6">
        <v>16219351</v>
      </c>
      <c r="R999" s="6">
        <v>0.28999999999999998</v>
      </c>
      <c r="S999" s="6">
        <v>0.03</v>
      </c>
      <c r="T999" s="6">
        <v>11861211.390000001</v>
      </c>
      <c r="U999" s="6">
        <v>9344961.4700000007</v>
      </c>
      <c r="V999" s="6">
        <v>0.12</v>
      </c>
      <c r="W999" s="6">
        <v>0.08</v>
      </c>
      <c r="X999" s="6"/>
      <c r="Y999" s="6">
        <v>1998454.71</v>
      </c>
      <c r="Z999" s="6">
        <v>1128150.3500000001</v>
      </c>
      <c r="AA999" s="6">
        <v>30</v>
      </c>
      <c r="AB999" s="6">
        <v>112</v>
      </c>
      <c r="AC999" s="6" t="s">
        <v>353</v>
      </c>
      <c r="AD999" s="6" t="s">
        <v>336</v>
      </c>
      <c r="AE999" s="6">
        <v>0.21</v>
      </c>
      <c r="AF999" s="6" t="s">
        <v>4319</v>
      </c>
      <c r="AG999" s="6">
        <v>0.1</v>
      </c>
      <c r="AH999" s="6">
        <v>7.0000000000000007E-2</v>
      </c>
      <c r="AI999" s="6">
        <v>11</v>
      </c>
      <c r="AJ999" s="6">
        <v>2786</v>
      </c>
      <c r="AK999" s="6">
        <v>459100.62</v>
      </c>
      <c r="AL999" s="6">
        <v>4330013.6399999997</v>
      </c>
      <c r="AM999" s="6" t="s">
        <v>385</v>
      </c>
      <c r="AN999" s="6" t="s">
        <v>386</v>
      </c>
      <c r="AO999" s="6">
        <v>60.8</v>
      </c>
      <c r="AP999" s="6">
        <v>24</v>
      </c>
      <c r="AQ999" s="6" t="s">
        <v>387</v>
      </c>
      <c r="AR999" s="6" t="s">
        <v>186</v>
      </c>
      <c r="AS999" s="6" t="s">
        <v>357</v>
      </c>
    </row>
    <row r="1000" spans="1:45" x14ac:dyDescent="0.3">
      <c r="A1000" s="7" t="s">
        <v>3263</v>
      </c>
      <c r="B1000" s="7" t="s">
        <v>4440</v>
      </c>
      <c r="C1000" s="7" t="s">
        <v>247</v>
      </c>
      <c r="D1000" s="7" t="s">
        <v>190</v>
      </c>
      <c r="E1000" s="7" t="s">
        <v>113</v>
      </c>
      <c r="F1000" s="7" t="s">
        <v>367</v>
      </c>
      <c r="G1000" s="7" t="s">
        <v>23</v>
      </c>
      <c r="H1000" s="7" t="s">
        <v>236</v>
      </c>
      <c r="I1000" s="7"/>
      <c r="J1000" s="7" t="s">
        <v>111</v>
      </c>
      <c r="K1000" s="7" t="s">
        <v>204</v>
      </c>
      <c r="L1000" s="7" t="s">
        <v>3264</v>
      </c>
      <c r="M1000" s="7" t="s">
        <v>5566</v>
      </c>
      <c r="N1000" s="7" t="s">
        <v>4742</v>
      </c>
      <c r="O1000" s="7" t="s">
        <v>3756</v>
      </c>
      <c r="P1000" s="7">
        <v>26</v>
      </c>
      <c r="Q1000" s="7">
        <v>44731656</v>
      </c>
      <c r="R1000" s="7">
        <v>0.02</v>
      </c>
      <c r="S1000" s="7">
        <v>0.14000000000000001</v>
      </c>
      <c r="T1000" s="7">
        <v>49974206.079999998</v>
      </c>
      <c r="U1000" s="7">
        <v>42854471.030000001</v>
      </c>
      <c r="V1000" s="7">
        <v>0.31</v>
      </c>
      <c r="W1000" s="7">
        <v>0.11</v>
      </c>
      <c r="X1000" s="7" t="s">
        <v>3265</v>
      </c>
      <c r="Y1000" s="7">
        <v>36643304.859999999</v>
      </c>
      <c r="Z1000" s="7">
        <v>19083612.940000001</v>
      </c>
      <c r="AA1000" s="7">
        <v>30</v>
      </c>
      <c r="AB1000" s="7">
        <v>146</v>
      </c>
      <c r="AC1000" s="7" t="s">
        <v>329</v>
      </c>
      <c r="AD1000" s="7" t="s">
        <v>226</v>
      </c>
      <c r="AE1000" s="7">
        <v>0.67</v>
      </c>
      <c r="AF1000" s="7" t="s">
        <v>4312</v>
      </c>
      <c r="AG1000" s="7">
        <v>0.1</v>
      </c>
      <c r="AH1000" s="7">
        <v>0.08</v>
      </c>
      <c r="AI1000" s="7">
        <v>14</v>
      </c>
      <c r="AJ1000" s="7">
        <v>1380</v>
      </c>
      <c r="AK1000" s="7"/>
      <c r="AL1000" s="7">
        <v>5809614.1299999999</v>
      </c>
      <c r="AM1000" s="7" t="s">
        <v>355</v>
      </c>
      <c r="AN1000" s="7" t="s">
        <v>321</v>
      </c>
      <c r="AO1000" s="7">
        <v>84.2</v>
      </c>
      <c r="AP1000" s="7">
        <v>60</v>
      </c>
      <c r="AQ1000" s="7" t="s">
        <v>387</v>
      </c>
      <c r="AR1000" s="7" t="s">
        <v>192</v>
      </c>
      <c r="AS1000" s="7"/>
    </row>
    <row r="1001" spans="1:45" x14ac:dyDescent="0.3">
      <c r="A1001" s="6" t="s">
        <v>3266</v>
      </c>
      <c r="B1001" s="6" t="s">
        <v>3755</v>
      </c>
      <c r="C1001" s="6" t="s">
        <v>273</v>
      </c>
      <c r="D1001" s="6" t="s">
        <v>274</v>
      </c>
      <c r="E1001" s="6"/>
      <c r="F1001" s="6" t="s">
        <v>19</v>
      </c>
      <c r="G1001" s="6" t="s">
        <v>62</v>
      </c>
      <c r="H1001" s="6" t="s">
        <v>4280</v>
      </c>
      <c r="I1001" s="6" t="s">
        <v>183</v>
      </c>
      <c r="J1001" s="6" t="s">
        <v>130</v>
      </c>
      <c r="K1001" s="6" t="s">
        <v>204</v>
      </c>
      <c r="L1001" s="6" t="s">
        <v>3267</v>
      </c>
      <c r="M1001" s="6" t="s">
        <v>4212</v>
      </c>
      <c r="N1001" s="6"/>
      <c r="O1001" s="6" t="s">
        <v>4274</v>
      </c>
      <c r="P1001" s="6">
        <v>19</v>
      </c>
      <c r="Q1001" s="6">
        <v>46333952</v>
      </c>
      <c r="R1001" s="6">
        <v>0.23</v>
      </c>
      <c r="S1001" s="6">
        <v>0.11</v>
      </c>
      <c r="T1001" s="6">
        <v>39601628.770000003</v>
      </c>
      <c r="U1001" s="6">
        <v>34425237.670000002</v>
      </c>
      <c r="V1001" s="6">
        <v>7.0000000000000007E-2</v>
      </c>
      <c r="W1001" s="6">
        <v>7.0000000000000007E-2</v>
      </c>
      <c r="X1001" s="6" t="s">
        <v>3268</v>
      </c>
      <c r="Y1001" s="6">
        <v>5346094.47</v>
      </c>
      <c r="Z1001" s="6">
        <v>1737156.59</v>
      </c>
      <c r="AA1001" s="6">
        <v>45</v>
      </c>
      <c r="AB1001" s="6">
        <v>29</v>
      </c>
      <c r="AC1001" s="6"/>
      <c r="AD1001" s="6" t="s">
        <v>406</v>
      </c>
      <c r="AE1001" s="6">
        <v>0.85</v>
      </c>
      <c r="AF1001" s="6" t="s">
        <v>159</v>
      </c>
      <c r="AG1001" s="6">
        <v>0.1</v>
      </c>
      <c r="AH1001" s="6">
        <v>0.08</v>
      </c>
      <c r="AI1001" s="6">
        <v>9</v>
      </c>
      <c r="AJ1001" s="6">
        <v>2825</v>
      </c>
      <c r="AK1001" s="6"/>
      <c r="AL1001" s="6"/>
      <c r="AM1001" s="6" t="s">
        <v>321</v>
      </c>
      <c r="AN1001" s="6" t="s">
        <v>348</v>
      </c>
      <c r="AO1001" s="6">
        <v>92</v>
      </c>
      <c r="AP1001" s="6">
        <v>48</v>
      </c>
      <c r="AQ1001" s="6" t="s">
        <v>4275</v>
      </c>
      <c r="AR1001" s="6" t="s">
        <v>229</v>
      </c>
      <c r="AS1001" s="6" t="s">
        <v>324</v>
      </c>
    </row>
    <row r="1002" spans="1:45" x14ac:dyDescent="0.3">
      <c r="A1002" s="7" t="s">
        <v>3269</v>
      </c>
      <c r="B1002" s="7" t="s">
        <v>5448</v>
      </c>
      <c r="C1002" s="7" t="s">
        <v>241</v>
      </c>
      <c r="D1002" s="7" t="s">
        <v>180</v>
      </c>
      <c r="E1002" s="7" t="s">
        <v>41</v>
      </c>
      <c r="F1002" s="7" t="s">
        <v>228</v>
      </c>
      <c r="G1002" s="7" t="s">
        <v>38</v>
      </c>
      <c r="H1002" s="7" t="s">
        <v>4271</v>
      </c>
      <c r="I1002" s="7" t="s">
        <v>191</v>
      </c>
      <c r="J1002" s="7" t="s">
        <v>105</v>
      </c>
      <c r="K1002" s="7" t="s">
        <v>221</v>
      </c>
      <c r="L1002" s="7" t="s">
        <v>3270</v>
      </c>
      <c r="M1002" s="7" t="s">
        <v>3796</v>
      </c>
      <c r="N1002" s="7"/>
      <c r="O1002" s="7" t="s">
        <v>5109</v>
      </c>
      <c r="P1002" s="7">
        <v>32</v>
      </c>
      <c r="Q1002" s="7">
        <v>34881958</v>
      </c>
      <c r="R1002" s="7">
        <v>0.26</v>
      </c>
      <c r="S1002" s="7">
        <v>0.17</v>
      </c>
      <c r="T1002" s="7">
        <v>30200799.239999998</v>
      </c>
      <c r="U1002" s="7"/>
      <c r="V1002" s="7">
        <v>0.17</v>
      </c>
      <c r="W1002" s="7">
        <v>0.16</v>
      </c>
      <c r="X1002" s="7" t="s">
        <v>3271</v>
      </c>
      <c r="Y1002" s="7">
        <v>25005893.460000001</v>
      </c>
      <c r="Z1002" s="7">
        <v>14431632.57</v>
      </c>
      <c r="AA1002" s="7">
        <v>120</v>
      </c>
      <c r="AB1002" s="7">
        <v>173</v>
      </c>
      <c r="AC1002" s="7" t="s">
        <v>342</v>
      </c>
      <c r="AD1002" s="7" t="s">
        <v>336</v>
      </c>
      <c r="AE1002" s="7">
        <v>0.09</v>
      </c>
      <c r="AF1002" s="7" t="s">
        <v>4319</v>
      </c>
      <c r="AG1002" s="7">
        <v>0.05</v>
      </c>
      <c r="AH1002" s="7">
        <v>0.08</v>
      </c>
      <c r="AI1002" s="7">
        <v>9</v>
      </c>
      <c r="AJ1002" s="7">
        <v>924</v>
      </c>
      <c r="AK1002" s="7">
        <v>4543398.3600000003</v>
      </c>
      <c r="AL1002" s="7">
        <v>13043669.15</v>
      </c>
      <c r="AM1002" s="7" t="s">
        <v>73</v>
      </c>
      <c r="AN1002" s="7" t="s">
        <v>356</v>
      </c>
      <c r="AO1002" s="7">
        <v>50.6</v>
      </c>
      <c r="AP1002" s="7">
        <v>60</v>
      </c>
      <c r="AQ1002" s="7" t="s">
        <v>392</v>
      </c>
      <c r="AR1002" s="7" t="s">
        <v>192</v>
      </c>
      <c r="AS1002" s="7" t="s">
        <v>188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2F73-11E8-4E04-B2CB-987EA439FEA3}">
  <dimension ref="A1:R53"/>
  <sheetViews>
    <sheetView showGridLines="0" topLeftCell="C1" workbookViewId="0">
      <selection activeCell="C22" sqref="A22:XFD22"/>
    </sheetView>
  </sheetViews>
  <sheetFormatPr defaultRowHeight="14.4" x14ac:dyDescent="0.3"/>
  <cols>
    <col min="1" max="1" width="11.88671875" customWidth="1"/>
    <col min="2" max="2" width="17.6640625" customWidth="1"/>
    <col min="4" max="4" width="9" customWidth="1"/>
    <col min="5" max="5" width="10" customWidth="1"/>
    <col min="6" max="6" width="16.6640625" customWidth="1"/>
    <col min="7" max="7" width="12.21875" customWidth="1"/>
    <col min="8" max="8" width="17.109375" customWidth="1"/>
    <col min="9" max="9" width="15.44140625" customWidth="1"/>
    <col min="10" max="10" width="11.21875" customWidth="1"/>
    <col min="11" max="11" width="17.33203125" customWidth="1"/>
    <col min="12" max="12" width="12.21875" customWidth="1"/>
    <col min="13" max="13" width="14.77734375" customWidth="1"/>
    <col min="14" max="14" width="15.33203125" customWidth="1"/>
    <col min="15" max="15" width="18.44140625" customWidth="1"/>
    <col min="16" max="16" width="12.109375" customWidth="1"/>
    <col min="17" max="17" width="12" customWidth="1"/>
    <col min="18" max="18" width="18.77734375" customWidth="1"/>
  </cols>
  <sheetData>
    <row r="1" spans="1:18" ht="38.4" customHeight="1" x14ac:dyDescent="0.3"/>
    <row r="2" spans="1:18" ht="37.799999999999997" customHeight="1" x14ac:dyDescent="0.3">
      <c r="A2" s="5" t="s">
        <v>164</v>
      </c>
      <c r="B2" s="5" t="s">
        <v>165</v>
      </c>
      <c r="C2" s="5" t="s">
        <v>166</v>
      </c>
      <c r="D2" s="5" t="s">
        <v>4</v>
      </c>
      <c r="E2" s="5" t="s">
        <v>3</v>
      </c>
      <c r="F2" s="5" t="s">
        <v>167</v>
      </c>
      <c r="G2" s="5" t="s">
        <v>168</v>
      </c>
      <c r="H2" s="5" t="s">
        <v>169</v>
      </c>
      <c r="I2" s="5" t="s">
        <v>170</v>
      </c>
      <c r="J2" s="5" t="s">
        <v>171</v>
      </c>
      <c r="K2" s="5" t="s">
        <v>172</v>
      </c>
      <c r="L2" s="5" t="s">
        <v>173</v>
      </c>
      <c r="M2" s="5" t="s">
        <v>174</v>
      </c>
      <c r="N2" s="5" t="s">
        <v>175</v>
      </c>
      <c r="O2" s="5" t="s">
        <v>176</v>
      </c>
      <c r="P2" s="5" t="s">
        <v>177</v>
      </c>
      <c r="Q2" s="5" t="s">
        <v>178</v>
      </c>
      <c r="R2" s="5" t="s">
        <v>15</v>
      </c>
    </row>
    <row r="3" spans="1:18" x14ac:dyDescent="0.3">
      <c r="A3" s="6" t="s">
        <v>179</v>
      </c>
      <c r="B3" s="6" t="s">
        <v>180</v>
      </c>
      <c r="C3" s="6" t="s">
        <v>16</v>
      </c>
      <c r="D3" s="6" t="s">
        <v>113</v>
      </c>
      <c r="E3" s="6" t="s">
        <v>181</v>
      </c>
      <c r="F3" s="6" t="s">
        <v>182</v>
      </c>
      <c r="G3" s="6" t="s">
        <v>183</v>
      </c>
      <c r="H3" s="6" t="s">
        <v>184</v>
      </c>
      <c r="I3" s="6" t="s">
        <v>185</v>
      </c>
      <c r="J3" s="6" t="s">
        <v>3472</v>
      </c>
      <c r="K3" s="6" t="s">
        <v>5567</v>
      </c>
      <c r="L3" s="6">
        <v>30307278</v>
      </c>
      <c r="M3" s="6">
        <v>9826274</v>
      </c>
      <c r="N3" s="6">
        <v>16191074</v>
      </c>
      <c r="O3" s="6" t="s">
        <v>186</v>
      </c>
      <c r="P3" s="6" t="s">
        <v>187</v>
      </c>
      <c r="Q3" s="6"/>
      <c r="R3" s="6" t="s">
        <v>188</v>
      </c>
    </row>
    <row r="4" spans="1:18" x14ac:dyDescent="0.3">
      <c r="A4" s="7" t="s">
        <v>189</v>
      </c>
      <c r="B4" s="7" t="s">
        <v>190</v>
      </c>
      <c r="C4" s="7" t="s">
        <v>54</v>
      </c>
      <c r="D4" s="7" t="s">
        <v>4270</v>
      </c>
      <c r="E4" s="7"/>
      <c r="F4" s="7" t="s">
        <v>4280</v>
      </c>
      <c r="G4" s="7" t="s">
        <v>191</v>
      </c>
      <c r="H4" s="7" t="s">
        <v>184</v>
      </c>
      <c r="I4" s="7"/>
      <c r="J4" s="7" t="s">
        <v>4465</v>
      </c>
      <c r="K4" s="7" t="s">
        <v>5568</v>
      </c>
      <c r="L4" s="7">
        <v>99751876</v>
      </c>
      <c r="M4" s="7">
        <v>39045806</v>
      </c>
      <c r="N4" s="7">
        <v>32044169</v>
      </c>
      <c r="O4" s="7" t="s">
        <v>192</v>
      </c>
      <c r="P4" s="7" t="s">
        <v>193</v>
      </c>
      <c r="Q4" s="7" t="s">
        <v>194</v>
      </c>
      <c r="R4" s="7" t="s">
        <v>188</v>
      </c>
    </row>
    <row r="5" spans="1:18" x14ac:dyDescent="0.3">
      <c r="A5" s="6" t="s">
        <v>195</v>
      </c>
      <c r="B5" s="6" t="s">
        <v>180</v>
      </c>
      <c r="C5" s="6" t="s">
        <v>66</v>
      </c>
      <c r="D5" s="6" t="s">
        <v>4265</v>
      </c>
      <c r="E5" s="6" t="s">
        <v>196</v>
      </c>
      <c r="F5" s="6" t="s">
        <v>197</v>
      </c>
      <c r="G5" s="6" t="s">
        <v>198</v>
      </c>
      <c r="H5" s="6" t="s">
        <v>199</v>
      </c>
      <c r="I5" s="6" t="s">
        <v>200</v>
      </c>
      <c r="J5" s="6" t="s">
        <v>3418</v>
      </c>
      <c r="K5" s="6" t="s">
        <v>5569</v>
      </c>
      <c r="L5" s="6">
        <v>53401528</v>
      </c>
      <c r="M5" s="6" t="s">
        <v>4275</v>
      </c>
      <c r="N5" s="6">
        <v>61960599</v>
      </c>
      <c r="O5" s="6" t="s">
        <v>192</v>
      </c>
      <c r="P5" s="6"/>
      <c r="Q5" s="6" t="s">
        <v>187</v>
      </c>
      <c r="R5" s="6"/>
    </row>
    <row r="6" spans="1:18" x14ac:dyDescent="0.3">
      <c r="A6" s="7" t="s">
        <v>201</v>
      </c>
      <c r="B6" s="7" t="s">
        <v>202</v>
      </c>
      <c r="C6" s="7" t="s">
        <v>78</v>
      </c>
      <c r="D6" s="7"/>
      <c r="E6" s="7" t="s">
        <v>35</v>
      </c>
      <c r="F6" s="7" t="s">
        <v>4340</v>
      </c>
      <c r="G6" s="7" t="s">
        <v>203</v>
      </c>
      <c r="H6" s="7" t="s">
        <v>204</v>
      </c>
      <c r="I6" s="7" t="s">
        <v>205</v>
      </c>
      <c r="J6" s="7" t="s">
        <v>5200</v>
      </c>
      <c r="K6" s="7" t="s">
        <v>5570</v>
      </c>
      <c r="L6" s="7">
        <v>19625715</v>
      </c>
      <c r="M6" s="7">
        <v>58756861</v>
      </c>
      <c r="N6" s="7">
        <v>109953280</v>
      </c>
      <c r="O6" s="7" t="s">
        <v>206</v>
      </c>
      <c r="P6" s="7" t="s">
        <v>5571</v>
      </c>
      <c r="Q6" s="7" t="s">
        <v>194</v>
      </c>
      <c r="R6" s="7" t="s">
        <v>207</v>
      </c>
    </row>
    <row r="7" spans="1:18" x14ac:dyDescent="0.3">
      <c r="A7" s="6" t="s">
        <v>208</v>
      </c>
      <c r="B7" s="6" t="s">
        <v>209</v>
      </c>
      <c r="C7" s="6" t="s">
        <v>78</v>
      </c>
      <c r="D7" s="6" t="s">
        <v>113</v>
      </c>
      <c r="E7" s="6" t="s">
        <v>35</v>
      </c>
      <c r="F7" s="6" t="s">
        <v>4266</v>
      </c>
      <c r="G7" s="6" t="s">
        <v>183</v>
      </c>
      <c r="H7" s="6" t="s">
        <v>210</v>
      </c>
      <c r="I7" s="6"/>
      <c r="J7" s="6" t="s">
        <v>5201</v>
      </c>
      <c r="K7" s="6" t="s">
        <v>5333</v>
      </c>
      <c r="L7" s="6">
        <v>82318427</v>
      </c>
      <c r="M7" s="6">
        <v>19272004</v>
      </c>
      <c r="N7" s="6">
        <v>64610409</v>
      </c>
      <c r="O7" s="6" t="s">
        <v>186</v>
      </c>
      <c r="P7" s="6" t="s">
        <v>187</v>
      </c>
      <c r="Q7" s="6" t="s">
        <v>194</v>
      </c>
      <c r="R7" s="6" t="s">
        <v>207</v>
      </c>
    </row>
    <row r="8" spans="1:18" x14ac:dyDescent="0.3">
      <c r="A8" s="7" t="s">
        <v>211</v>
      </c>
      <c r="B8" s="7" t="s">
        <v>190</v>
      </c>
      <c r="C8" s="7" t="s">
        <v>46</v>
      </c>
      <c r="D8" s="7" t="s">
        <v>4376</v>
      </c>
      <c r="E8" s="7" t="s">
        <v>35</v>
      </c>
      <c r="F8" s="7" t="s">
        <v>212</v>
      </c>
      <c r="G8" s="7" t="s">
        <v>213</v>
      </c>
      <c r="H8" s="7" t="s">
        <v>199</v>
      </c>
      <c r="I8" s="7" t="s">
        <v>185</v>
      </c>
      <c r="J8" s="7" t="s">
        <v>5572</v>
      </c>
      <c r="K8" s="7" t="s">
        <v>5573</v>
      </c>
      <c r="L8" s="7">
        <v>16698289</v>
      </c>
      <c r="M8" s="7" t="s">
        <v>4275</v>
      </c>
      <c r="N8" s="7">
        <v>13944659</v>
      </c>
      <c r="O8" s="7" t="s">
        <v>206</v>
      </c>
      <c r="P8" s="7" t="s">
        <v>193</v>
      </c>
      <c r="Q8" s="7" t="s">
        <v>187</v>
      </c>
      <c r="R8" s="7"/>
    </row>
    <row r="9" spans="1:18" x14ac:dyDescent="0.3">
      <c r="A9" s="6" t="s">
        <v>214</v>
      </c>
      <c r="B9" s="6" t="s">
        <v>215</v>
      </c>
      <c r="C9" s="6" t="s">
        <v>73</v>
      </c>
      <c r="D9" s="6" t="s">
        <v>41</v>
      </c>
      <c r="E9" s="6" t="s">
        <v>196</v>
      </c>
      <c r="F9" s="6" t="s">
        <v>216</v>
      </c>
      <c r="G9" s="6" t="s">
        <v>4372</v>
      </c>
      <c r="H9" s="6" t="s">
        <v>199</v>
      </c>
      <c r="I9" s="6" t="s">
        <v>5574</v>
      </c>
      <c r="J9" s="6" t="s">
        <v>3322</v>
      </c>
      <c r="K9" s="6" t="s">
        <v>5575</v>
      </c>
      <c r="L9" s="6">
        <v>66008291</v>
      </c>
      <c r="M9" s="6">
        <v>36178763</v>
      </c>
      <c r="N9" s="6">
        <v>78205491</v>
      </c>
      <c r="O9" s="6" t="s">
        <v>192</v>
      </c>
      <c r="P9" s="6"/>
      <c r="Q9" s="6" t="s">
        <v>4275</v>
      </c>
      <c r="R9" s="6" t="s">
        <v>188</v>
      </c>
    </row>
    <row r="10" spans="1:18" x14ac:dyDescent="0.3">
      <c r="A10" s="7" t="s">
        <v>217</v>
      </c>
      <c r="B10" s="7" t="s">
        <v>180</v>
      </c>
      <c r="C10" s="7" t="s">
        <v>23</v>
      </c>
      <c r="D10" s="7" t="s">
        <v>4270</v>
      </c>
      <c r="E10" s="7"/>
      <c r="F10" s="7" t="s">
        <v>4326</v>
      </c>
      <c r="G10" s="7" t="s">
        <v>4289</v>
      </c>
      <c r="H10" s="7" t="s">
        <v>184</v>
      </c>
      <c r="I10" s="7" t="s">
        <v>5576</v>
      </c>
      <c r="J10" s="7" t="s">
        <v>4251</v>
      </c>
      <c r="K10" s="7" t="s">
        <v>5577</v>
      </c>
      <c r="L10" s="7">
        <v>55051201</v>
      </c>
      <c r="M10" s="7">
        <v>10022395</v>
      </c>
      <c r="N10" s="7">
        <v>97541178</v>
      </c>
      <c r="O10" s="7" t="s">
        <v>186</v>
      </c>
      <c r="P10" s="7" t="s">
        <v>5571</v>
      </c>
      <c r="Q10" s="7" t="s">
        <v>193</v>
      </c>
      <c r="R10" s="7" t="s">
        <v>218</v>
      </c>
    </row>
    <row r="11" spans="1:18" x14ac:dyDescent="0.3">
      <c r="A11" s="6" t="s">
        <v>219</v>
      </c>
      <c r="B11" s="6" t="s">
        <v>220</v>
      </c>
      <c r="C11" s="6" t="s">
        <v>54</v>
      </c>
      <c r="D11" s="6" t="s">
        <v>36</v>
      </c>
      <c r="E11" s="6"/>
      <c r="F11" s="6"/>
      <c r="G11" s="6" t="s">
        <v>183</v>
      </c>
      <c r="H11" s="6" t="s">
        <v>221</v>
      </c>
      <c r="I11" s="6" t="s">
        <v>185</v>
      </c>
      <c r="J11" s="6" t="s">
        <v>5578</v>
      </c>
      <c r="K11" s="6" t="s">
        <v>5579</v>
      </c>
      <c r="L11" s="6">
        <v>93064720</v>
      </c>
      <c r="M11" s="6">
        <v>39429337</v>
      </c>
      <c r="N11" s="6">
        <v>85205497</v>
      </c>
      <c r="O11" s="6" t="s">
        <v>206</v>
      </c>
      <c r="P11" s="6" t="s">
        <v>187</v>
      </c>
      <c r="Q11" s="6" t="s">
        <v>187</v>
      </c>
      <c r="R11" s="6"/>
    </row>
    <row r="12" spans="1:18" x14ac:dyDescent="0.3">
      <c r="A12" s="7" t="s">
        <v>222</v>
      </c>
      <c r="B12" s="7" t="s">
        <v>190</v>
      </c>
      <c r="C12" s="7" t="s">
        <v>54</v>
      </c>
      <c r="D12" s="7" t="s">
        <v>4325</v>
      </c>
      <c r="E12" s="7" t="s">
        <v>31</v>
      </c>
      <c r="F12" s="7" t="s">
        <v>4266</v>
      </c>
      <c r="G12" s="7" t="s">
        <v>198</v>
      </c>
      <c r="H12" s="7" t="s">
        <v>223</v>
      </c>
      <c r="I12" s="7" t="s">
        <v>205</v>
      </c>
      <c r="J12" s="7" t="s">
        <v>3980</v>
      </c>
      <c r="K12" s="7" t="s">
        <v>5580</v>
      </c>
      <c r="L12" s="7">
        <v>83584398</v>
      </c>
      <c r="M12" s="7">
        <v>55976999</v>
      </c>
      <c r="N12" s="7">
        <v>49003796</v>
      </c>
      <c r="O12" s="7" t="s">
        <v>224</v>
      </c>
      <c r="P12" s="7"/>
      <c r="Q12" s="7" t="s">
        <v>187</v>
      </c>
      <c r="R12" s="7"/>
    </row>
    <row r="13" spans="1:18" x14ac:dyDescent="0.3">
      <c r="A13" s="6" t="s">
        <v>225</v>
      </c>
      <c r="B13" s="6" t="s">
        <v>180</v>
      </c>
      <c r="C13" s="6" t="s">
        <v>16</v>
      </c>
      <c r="D13" s="6" t="s">
        <v>4270</v>
      </c>
      <c r="E13" s="6"/>
      <c r="F13" s="6" t="s">
        <v>212</v>
      </c>
      <c r="G13" s="6" t="s">
        <v>191</v>
      </c>
      <c r="H13" s="6" t="s">
        <v>221</v>
      </c>
      <c r="I13" s="6" t="s">
        <v>226</v>
      </c>
      <c r="J13" s="6" t="s">
        <v>5581</v>
      </c>
      <c r="K13" s="6" t="s">
        <v>5582</v>
      </c>
      <c r="L13" s="6">
        <v>55729135</v>
      </c>
      <c r="M13" s="6">
        <v>78448259</v>
      </c>
      <c r="N13" s="6">
        <v>87899314</v>
      </c>
      <c r="O13" s="6" t="s">
        <v>206</v>
      </c>
      <c r="P13" s="6" t="s">
        <v>194</v>
      </c>
      <c r="Q13" s="6" t="s">
        <v>187</v>
      </c>
      <c r="R13" s="6"/>
    </row>
    <row r="14" spans="1:18" x14ac:dyDescent="0.3">
      <c r="A14" s="7" t="s">
        <v>227</v>
      </c>
      <c r="B14" s="7" t="s">
        <v>202</v>
      </c>
      <c r="C14" s="7" t="s">
        <v>33</v>
      </c>
      <c r="D14" s="7" t="s">
        <v>36</v>
      </c>
      <c r="E14" s="7" t="s">
        <v>228</v>
      </c>
      <c r="F14" s="7" t="s">
        <v>212</v>
      </c>
      <c r="G14" s="7" t="s">
        <v>4272</v>
      </c>
      <c r="H14" s="7" t="s">
        <v>210</v>
      </c>
      <c r="I14" s="7" t="s">
        <v>205</v>
      </c>
      <c r="J14" s="7" t="s">
        <v>5583</v>
      </c>
      <c r="K14" s="7" t="s">
        <v>5584</v>
      </c>
      <c r="L14" s="7">
        <v>66998703</v>
      </c>
      <c r="M14" s="7">
        <v>13565876</v>
      </c>
      <c r="N14" s="7">
        <v>39793501</v>
      </c>
      <c r="O14" s="7" t="s">
        <v>229</v>
      </c>
      <c r="P14" s="7" t="s">
        <v>194</v>
      </c>
      <c r="Q14" s="7" t="s">
        <v>193</v>
      </c>
      <c r="R14" s="7" t="s">
        <v>207</v>
      </c>
    </row>
    <row r="15" spans="1:18" x14ac:dyDescent="0.3">
      <c r="A15" s="6" t="s">
        <v>230</v>
      </c>
      <c r="B15" s="6" t="s">
        <v>5585</v>
      </c>
      <c r="C15" s="6" t="s">
        <v>16</v>
      </c>
      <c r="D15" s="6" t="s">
        <v>4376</v>
      </c>
      <c r="E15" s="6" t="s">
        <v>196</v>
      </c>
      <c r="F15" s="6" t="s">
        <v>4266</v>
      </c>
      <c r="G15" s="6" t="s">
        <v>183</v>
      </c>
      <c r="H15" s="6" t="s">
        <v>184</v>
      </c>
      <c r="I15" s="6" t="s">
        <v>226</v>
      </c>
      <c r="J15" s="6" t="s">
        <v>3438</v>
      </c>
      <c r="K15" s="6" t="s">
        <v>4038</v>
      </c>
      <c r="L15" s="6">
        <v>32675618</v>
      </c>
      <c r="M15" s="6" t="s">
        <v>4275</v>
      </c>
      <c r="N15" s="6">
        <v>24372448</v>
      </c>
      <c r="O15" s="6" t="s">
        <v>229</v>
      </c>
      <c r="P15" s="6" t="s">
        <v>193</v>
      </c>
      <c r="Q15" s="6" t="s">
        <v>187</v>
      </c>
      <c r="R15" s="6" t="s">
        <v>207</v>
      </c>
    </row>
    <row r="16" spans="1:18" x14ac:dyDescent="0.3">
      <c r="A16" s="7" t="s">
        <v>231</v>
      </c>
      <c r="B16" s="7" t="s">
        <v>232</v>
      </c>
      <c r="C16" s="7" t="s">
        <v>66</v>
      </c>
      <c r="D16" s="7" t="s">
        <v>20</v>
      </c>
      <c r="E16" s="7" t="s">
        <v>181</v>
      </c>
      <c r="F16" s="7" t="s">
        <v>216</v>
      </c>
      <c r="G16" s="7" t="s">
        <v>233</v>
      </c>
      <c r="H16" s="7" t="s">
        <v>221</v>
      </c>
      <c r="I16" s="7" t="s">
        <v>205</v>
      </c>
      <c r="J16" s="7" t="s">
        <v>5277</v>
      </c>
      <c r="K16" s="7" t="s">
        <v>3660</v>
      </c>
      <c r="L16" s="7">
        <v>54193625</v>
      </c>
      <c r="M16" s="7" t="s">
        <v>4275</v>
      </c>
      <c r="N16" s="7">
        <v>33772870</v>
      </c>
      <c r="O16" s="7" t="s">
        <v>186</v>
      </c>
      <c r="P16" s="7" t="s">
        <v>187</v>
      </c>
      <c r="Q16" s="7" t="s">
        <v>194</v>
      </c>
      <c r="R16" s="7" t="s">
        <v>207</v>
      </c>
    </row>
    <row r="17" spans="1:18" x14ac:dyDescent="0.3">
      <c r="A17" s="6" t="s">
        <v>234</v>
      </c>
      <c r="B17" s="6" t="s">
        <v>180</v>
      </c>
      <c r="C17" s="6" t="s">
        <v>62</v>
      </c>
      <c r="D17" s="6" t="s">
        <v>36</v>
      </c>
      <c r="E17" s="6"/>
      <c r="F17" s="6" t="s">
        <v>212</v>
      </c>
      <c r="G17" s="6" t="s">
        <v>4372</v>
      </c>
      <c r="H17" s="6" t="s">
        <v>199</v>
      </c>
      <c r="I17" s="6" t="s">
        <v>200</v>
      </c>
      <c r="J17" s="6" t="s">
        <v>5586</v>
      </c>
      <c r="K17" s="6" t="s">
        <v>5587</v>
      </c>
      <c r="L17" s="6">
        <v>80954158</v>
      </c>
      <c r="M17" s="6">
        <v>49234397</v>
      </c>
      <c r="N17" s="6">
        <v>29991665</v>
      </c>
      <c r="O17" s="6" t="s">
        <v>206</v>
      </c>
      <c r="P17" s="6" t="s">
        <v>5588</v>
      </c>
      <c r="Q17" s="6" t="s">
        <v>187</v>
      </c>
      <c r="R17" s="6" t="s">
        <v>207</v>
      </c>
    </row>
    <row r="18" spans="1:18" x14ac:dyDescent="0.3">
      <c r="A18" s="7" t="s">
        <v>235</v>
      </c>
      <c r="B18" s="7" t="s">
        <v>209</v>
      </c>
      <c r="C18" s="7" t="s">
        <v>70</v>
      </c>
      <c r="D18" s="7" t="s">
        <v>52</v>
      </c>
      <c r="E18" s="7" t="s">
        <v>196</v>
      </c>
      <c r="F18" s="7" t="s">
        <v>236</v>
      </c>
      <c r="G18" s="7" t="s">
        <v>4272</v>
      </c>
      <c r="H18" s="7" t="s">
        <v>221</v>
      </c>
      <c r="I18" s="7" t="s">
        <v>200</v>
      </c>
      <c r="J18" s="7" t="s">
        <v>5077</v>
      </c>
      <c r="K18" s="7" t="s">
        <v>5589</v>
      </c>
      <c r="L18" s="7">
        <v>71042603</v>
      </c>
      <c r="M18" s="7">
        <v>86651321</v>
      </c>
      <c r="N18" s="7">
        <v>21805092</v>
      </c>
      <c r="O18" s="7" t="s">
        <v>229</v>
      </c>
      <c r="P18" s="7" t="s">
        <v>5588</v>
      </c>
      <c r="Q18" s="7"/>
      <c r="R18" s="7"/>
    </row>
    <row r="19" spans="1:18" x14ac:dyDescent="0.3">
      <c r="A19" s="6" t="s">
        <v>237</v>
      </c>
      <c r="B19" s="6" t="s">
        <v>238</v>
      </c>
      <c r="C19" s="6" t="s">
        <v>23</v>
      </c>
      <c r="D19" s="6" t="s">
        <v>4376</v>
      </c>
      <c r="E19" s="6" t="s">
        <v>31</v>
      </c>
      <c r="F19" s="6" t="s">
        <v>4280</v>
      </c>
      <c r="G19" s="6" t="s">
        <v>233</v>
      </c>
      <c r="H19" s="6" t="s">
        <v>221</v>
      </c>
      <c r="I19" s="6" t="s">
        <v>200</v>
      </c>
      <c r="J19" s="6" t="s">
        <v>3422</v>
      </c>
      <c r="K19" s="6" t="s">
        <v>5145</v>
      </c>
      <c r="L19" s="6">
        <v>87638787</v>
      </c>
      <c r="M19" s="6">
        <v>60508789</v>
      </c>
      <c r="N19" s="6">
        <v>47403247</v>
      </c>
      <c r="O19" s="6" t="s">
        <v>206</v>
      </c>
      <c r="P19" s="6" t="s">
        <v>193</v>
      </c>
      <c r="Q19" s="6" t="s">
        <v>193</v>
      </c>
      <c r="R19" s="6" t="s">
        <v>188</v>
      </c>
    </row>
    <row r="20" spans="1:18" x14ac:dyDescent="0.3">
      <c r="A20" s="7" t="s">
        <v>239</v>
      </c>
      <c r="B20" s="7" t="s">
        <v>180</v>
      </c>
      <c r="C20" s="7" t="s">
        <v>70</v>
      </c>
      <c r="D20" s="7" t="s">
        <v>113</v>
      </c>
      <c r="E20" s="7" t="s">
        <v>31</v>
      </c>
      <c r="F20" s="7" t="s">
        <v>4275</v>
      </c>
      <c r="G20" s="7" t="s">
        <v>240</v>
      </c>
      <c r="H20" s="7" t="s">
        <v>204</v>
      </c>
      <c r="I20" s="7" t="s">
        <v>200</v>
      </c>
      <c r="J20" s="7" t="s">
        <v>4860</v>
      </c>
      <c r="K20" s="7" t="s">
        <v>5590</v>
      </c>
      <c r="L20" s="7">
        <v>79526423</v>
      </c>
      <c r="M20" s="7">
        <v>61652813</v>
      </c>
      <c r="N20" s="7">
        <v>80889710</v>
      </c>
      <c r="O20" s="7" t="s">
        <v>192</v>
      </c>
      <c r="P20" s="7" t="s">
        <v>5588</v>
      </c>
      <c r="Q20" s="7"/>
      <c r="R20" s="7" t="s">
        <v>218</v>
      </c>
    </row>
    <row r="21" spans="1:18" x14ac:dyDescent="0.3">
      <c r="A21" s="6" t="s">
        <v>241</v>
      </c>
      <c r="B21" s="6" t="s">
        <v>242</v>
      </c>
      <c r="C21" s="6" t="s">
        <v>73</v>
      </c>
      <c r="D21" s="6"/>
      <c r="E21" s="6" t="s">
        <v>196</v>
      </c>
      <c r="F21" s="6" t="s">
        <v>216</v>
      </c>
      <c r="G21" s="6" t="s">
        <v>4307</v>
      </c>
      <c r="H21" s="6" t="s">
        <v>221</v>
      </c>
      <c r="I21" s="6" t="s">
        <v>5576</v>
      </c>
      <c r="J21" s="6" t="s">
        <v>5591</v>
      </c>
      <c r="K21" s="6" t="s">
        <v>4941</v>
      </c>
      <c r="L21" s="6">
        <v>5682741</v>
      </c>
      <c r="M21" s="6">
        <v>79522379</v>
      </c>
      <c r="N21" s="6">
        <v>71821766</v>
      </c>
      <c r="O21" s="6" t="s">
        <v>224</v>
      </c>
      <c r="P21" s="6" t="s">
        <v>194</v>
      </c>
      <c r="Q21" s="6" t="s">
        <v>194</v>
      </c>
      <c r="R21" s="6"/>
    </row>
    <row r="22" spans="1:18" x14ac:dyDescent="0.3">
      <c r="A22" s="7" t="s">
        <v>243</v>
      </c>
      <c r="B22" s="7" t="s">
        <v>202</v>
      </c>
      <c r="C22" s="7" t="s">
        <v>73</v>
      </c>
      <c r="D22" s="7" t="s">
        <v>36</v>
      </c>
      <c r="E22" s="7" t="s">
        <v>75</v>
      </c>
      <c r="F22" s="7" t="s">
        <v>4326</v>
      </c>
      <c r="G22" s="7" t="s">
        <v>213</v>
      </c>
      <c r="H22" s="7" t="s">
        <v>221</v>
      </c>
      <c r="I22" s="7" t="s">
        <v>200</v>
      </c>
      <c r="J22" s="7" t="s">
        <v>3984</v>
      </c>
      <c r="K22" s="7" t="s">
        <v>3617</v>
      </c>
      <c r="L22" s="7">
        <v>68093622</v>
      </c>
      <c r="M22" s="7">
        <v>74773039</v>
      </c>
      <c r="N22" s="7">
        <v>101778834</v>
      </c>
      <c r="O22" s="7" t="s">
        <v>192</v>
      </c>
      <c r="P22" s="7" t="s">
        <v>5588</v>
      </c>
      <c r="Q22" s="7"/>
      <c r="R22" s="7" t="s">
        <v>218</v>
      </c>
    </row>
    <row r="23" spans="1:18" x14ac:dyDescent="0.3">
      <c r="A23" s="6" t="s">
        <v>244</v>
      </c>
      <c r="B23" s="6" t="s">
        <v>245</v>
      </c>
      <c r="C23" s="6" t="s">
        <v>78</v>
      </c>
      <c r="D23" s="6" t="s">
        <v>4376</v>
      </c>
      <c r="E23" s="6" t="s">
        <v>181</v>
      </c>
      <c r="F23" s="6" t="s">
        <v>4340</v>
      </c>
      <c r="G23" s="6" t="s">
        <v>246</v>
      </c>
      <c r="H23" s="6" t="s">
        <v>210</v>
      </c>
      <c r="I23" s="6" t="s">
        <v>226</v>
      </c>
      <c r="J23" s="6" t="s">
        <v>3586</v>
      </c>
      <c r="K23" s="6" t="s">
        <v>5006</v>
      </c>
      <c r="L23" s="6">
        <v>92515875</v>
      </c>
      <c r="M23" s="6">
        <v>85956335</v>
      </c>
      <c r="N23" s="6">
        <v>84437486</v>
      </c>
      <c r="O23" s="6" t="s">
        <v>229</v>
      </c>
      <c r="P23" s="6" t="s">
        <v>194</v>
      </c>
      <c r="Q23" s="6" t="s">
        <v>187</v>
      </c>
      <c r="R23" s="6" t="s">
        <v>188</v>
      </c>
    </row>
    <row r="24" spans="1:18" x14ac:dyDescent="0.3">
      <c r="A24" s="7" t="s">
        <v>247</v>
      </c>
      <c r="B24" s="7" t="s">
        <v>248</v>
      </c>
      <c r="C24" s="7" t="s">
        <v>73</v>
      </c>
      <c r="D24" s="7" t="s">
        <v>59</v>
      </c>
      <c r="E24" s="7" t="s">
        <v>31</v>
      </c>
      <c r="F24" s="7" t="s">
        <v>4271</v>
      </c>
      <c r="G24" s="7" t="s">
        <v>240</v>
      </c>
      <c r="H24" s="7" t="s">
        <v>221</v>
      </c>
      <c r="I24" s="7" t="s">
        <v>5574</v>
      </c>
      <c r="J24" s="7" t="s">
        <v>4408</v>
      </c>
      <c r="K24" s="7" t="s">
        <v>5592</v>
      </c>
      <c r="L24" s="7">
        <v>79072932</v>
      </c>
      <c r="M24" s="7">
        <v>87299418</v>
      </c>
      <c r="N24" s="7">
        <v>54109310</v>
      </c>
      <c r="O24" s="7" t="s">
        <v>192</v>
      </c>
      <c r="P24" s="7" t="s">
        <v>5571</v>
      </c>
      <c r="Q24" s="7"/>
      <c r="R24" s="7" t="s">
        <v>218</v>
      </c>
    </row>
    <row r="25" spans="1:18" x14ac:dyDescent="0.3">
      <c r="A25" s="6" t="s">
        <v>249</v>
      </c>
      <c r="B25" s="6" t="s">
        <v>250</v>
      </c>
      <c r="C25" s="6" t="s">
        <v>57</v>
      </c>
      <c r="D25" s="6" t="s">
        <v>4265</v>
      </c>
      <c r="E25" s="6" t="s">
        <v>181</v>
      </c>
      <c r="F25" s="6" t="s">
        <v>236</v>
      </c>
      <c r="G25" s="6" t="s">
        <v>4307</v>
      </c>
      <c r="H25" s="6" t="s">
        <v>221</v>
      </c>
      <c r="I25" s="6" t="s">
        <v>5574</v>
      </c>
      <c r="J25" s="6" t="s">
        <v>4980</v>
      </c>
      <c r="K25" s="6" t="s">
        <v>5593</v>
      </c>
      <c r="L25" s="6">
        <v>98795598</v>
      </c>
      <c r="M25" s="6">
        <v>61191870</v>
      </c>
      <c r="N25" s="6">
        <v>111696631</v>
      </c>
      <c r="O25" s="6" t="s">
        <v>229</v>
      </c>
      <c r="P25" s="6" t="s">
        <v>194</v>
      </c>
      <c r="Q25" s="6" t="s">
        <v>4275</v>
      </c>
      <c r="R25" s="6" t="s">
        <v>207</v>
      </c>
    </row>
    <row r="26" spans="1:18" x14ac:dyDescent="0.3">
      <c r="A26" s="7" t="s">
        <v>251</v>
      </c>
      <c r="B26" s="7" t="s">
        <v>245</v>
      </c>
      <c r="C26" s="7" t="s">
        <v>46</v>
      </c>
      <c r="D26" s="7" t="s">
        <v>113</v>
      </c>
      <c r="E26" s="7" t="s">
        <v>228</v>
      </c>
      <c r="F26" s="7" t="s">
        <v>216</v>
      </c>
      <c r="G26" s="7" t="s">
        <v>233</v>
      </c>
      <c r="H26" s="7" t="s">
        <v>184</v>
      </c>
      <c r="I26" s="7" t="s">
        <v>185</v>
      </c>
      <c r="J26" s="7" t="s">
        <v>3303</v>
      </c>
      <c r="K26" s="7" t="s">
        <v>5049</v>
      </c>
      <c r="L26" s="7">
        <v>2000221</v>
      </c>
      <c r="M26" s="7">
        <v>87793581</v>
      </c>
      <c r="N26" s="7">
        <v>75613003</v>
      </c>
      <c r="O26" s="7" t="s">
        <v>186</v>
      </c>
      <c r="P26" s="7" t="s">
        <v>187</v>
      </c>
      <c r="Q26" s="7" t="s">
        <v>194</v>
      </c>
      <c r="R26" s="7" t="s">
        <v>218</v>
      </c>
    </row>
    <row r="27" spans="1:18" x14ac:dyDescent="0.3">
      <c r="A27" s="6" t="s">
        <v>252</v>
      </c>
      <c r="B27" s="6" t="s">
        <v>253</v>
      </c>
      <c r="C27" s="6" t="s">
        <v>23</v>
      </c>
      <c r="D27" s="6" t="s">
        <v>41</v>
      </c>
      <c r="E27" s="6" t="s">
        <v>228</v>
      </c>
      <c r="F27" s="6" t="s">
        <v>197</v>
      </c>
      <c r="G27" s="6" t="s">
        <v>191</v>
      </c>
      <c r="H27" s="6" t="s">
        <v>199</v>
      </c>
      <c r="I27" s="6" t="s">
        <v>5576</v>
      </c>
      <c r="J27" s="6" t="s">
        <v>4656</v>
      </c>
      <c r="K27" s="6" t="s">
        <v>5594</v>
      </c>
      <c r="L27" s="6">
        <v>80660664</v>
      </c>
      <c r="M27" s="6" t="s">
        <v>4275</v>
      </c>
      <c r="N27" s="6">
        <v>67343800</v>
      </c>
      <c r="O27" s="6" t="s">
        <v>229</v>
      </c>
      <c r="P27" s="6" t="s">
        <v>5588</v>
      </c>
      <c r="Q27" s="6" t="s">
        <v>4275</v>
      </c>
      <c r="R27" s="6" t="s">
        <v>207</v>
      </c>
    </row>
    <row r="28" spans="1:18" x14ac:dyDescent="0.3">
      <c r="A28" s="7" t="s">
        <v>254</v>
      </c>
      <c r="B28" s="7" t="s">
        <v>255</v>
      </c>
      <c r="C28" s="7" t="s">
        <v>28</v>
      </c>
      <c r="D28" s="7" t="s">
        <v>52</v>
      </c>
      <c r="E28" s="7" t="s">
        <v>228</v>
      </c>
      <c r="F28" s="7"/>
      <c r="G28" s="7" t="s">
        <v>203</v>
      </c>
      <c r="H28" s="7" t="s">
        <v>221</v>
      </c>
      <c r="I28" s="7" t="s">
        <v>205</v>
      </c>
      <c r="J28" s="7" t="s">
        <v>5595</v>
      </c>
      <c r="K28" s="7" t="s">
        <v>5596</v>
      </c>
      <c r="L28" s="7">
        <v>74624237</v>
      </c>
      <c r="M28" s="7">
        <v>17996470</v>
      </c>
      <c r="N28" s="7">
        <v>75894759</v>
      </c>
      <c r="O28" s="7" t="s">
        <v>192</v>
      </c>
      <c r="P28" s="7" t="s">
        <v>194</v>
      </c>
      <c r="Q28" s="7" t="s">
        <v>194</v>
      </c>
      <c r="R28" s="7" t="s">
        <v>218</v>
      </c>
    </row>
    <row r="29" spans="1:18" x14ac:dyDescent="0.3">
      <c r="A29" s="6" t="s">
        <v>256</v>
      </c>
      <c r="B29" s="6" t="s">
        <v>232</v>
      </c>
      <c r="C29" s="6" t="s">
        <v>50</v>
      </c>
      <c r="D29" s="6" t="s">
        <v>4538</v>
      </c>
      <c r="E29" s="6" t="s">
        <v>31</v>
      </c>
      <c r="F29" s="6"/>
      <c r="G29" s="6" t="s">
        <v>233</v>
      </c>
      <c r="H29" s="6" t="s">
        <v>204</v>
      </c>
      <c r="I29" s="6" t="s">
        <v>185</v>
      </c>
      <c r="J29" s="6" t="s">
        <v>5597</v>
      </c>
      <c r="K29" s="6" t="s">
        <v>5598</v>
      </c>
      <c r="L29" s="6">
        <v>53917728</v>
      </c>
      <c r="M29" s="6">
        <v>24984607</v>
      </c>
      <c r="N29" s="6">
        <v>114592394</v>
      </c>
      <c r="O29" s="6" t="s">
        <v>229</v>
      </c>
      <c r="P29" s="6" t="s">
        <v>193</v>
      </c>
      <c r="Q29" s="6"/>
      <c r="R29" s="6"/>
    </row>
    <row r="30" spans="1:18" x14ac:dyDescent="0.3">
      <c r="A30" s="7" t="s">
        <v>257</v>
      </c>
      <c r="B30" s="7" t="s">
        <v>232</v>
      </c>
      <c r="C30" s="7" t="s">
        <v>57</v>
      </c>
      <c r="D30" s="7" t="s">
        <v>4275</v>
      </c>
      <c r="E30" s="7" t="s">
        <v>181</v>
      </c>
      <c r="F30" s="7" t="s">
        <v>216</v>
      </c>
      <c r="G30" s="7" t="s">
        <v>183</v>
      </c>
      <c r="H30" s="7" t="s">
        <v>199</v>
      </c>
      <c r="I30" s="7" t="s">
        <v>200</v>
      </c>
      <c r="J30" s="7" t="s">
        <v>4444</v>
      </c>
      <c r="K30" s="7" t="s">
        <v>3333</v>
      </c>
      <c r="L30" s="7">
        <v>25631272</v>
      </c>
      <c r="M30" s="7">
        <v>80768212</v>
      </c>
      <c r="N30" s="7">
        <v>11026578</v>
      </c>
      <c r="O30" s="7" t="s">
        <v>229</v>
      </c>
      <c r="P30" s="7" t="s">
        <v>5571</v>
      </c>
      <c r="Q30" s="7" t="s">
        <v>187</v>
      </c>
      <c r="R30" s="7" t="s">
        <v>188</v>
      </c>
    </row>
    <row r="31" spans="1:18" x14ac:dyDescent="0.3">
      <c r="A31" s="6" t="s">
        <v>258</v>
      </c>
      <c r="B31" s="6" t="s">
        <v>242</v>
      </c>
      <c r="C31" s="6" t="s">
        <v>80</v>
      </c>
      <c r="D31" s="6" t="s">
        <v>20</v>
      </c>
      <c r="E31" s="6" t="s">
        <v>35</v>
      </c>
      <c r="F31" s="6" t="s">
        <v>4340</v>
      </c>
      <c r="G31" s="6" t="s">
        <v>183</v>
      </c>
      <c r="H31" s="6" t="s">
        <v>204</v>
      </c>
      <c r="I31" s="6" t="s">
        <v>5574</v>
      </c>
      <c r="J31" s="6" t="s">
        <v>5409</v>
      </c>
      <c r="K31" s="6" t="s">
        <v>259</v>
      </c>
      <c r="L31" s="6">
        <v>3967215</v>
      </c>
      <c r="M31" s="6">
        <v>43609887</v>
      </c>
      <c r="N31" s="6">
        <v>40860707</v>
      </c>
      <c r="O31" s="6" t="s">
        <v>229</v>
      </c>
      <c r="P31" s="6" t="s">
        <v>194</v>
      </c>
      <c r="Q31" s="6" t="s">
        <v>193</v>
      </c>
      <c r="R31" s="6" t="s">
        <v>218</v>
      </c>
    </row>
    <row r="32" spans="1:18" x14ac:dyDescent="0.3">
      <c r="A32" s="7" t="s">
        <v>260</v>
      </c>
      <c r="B32" s="7" t="s">
        <v>248</v>
      </c>
      <c r="C32" s="7" t="s">
        <v>78</v>
      </c>
      <c r="D32" s="7" t="s">
        <v>4538</v>
      </c>
      <c r="E32" s="7" t="s">
        <v>75</v>
      </c>
      <c r="F32" s="7" t="s">
        <v>197</v>
      </c>
      <c r="G32" s="7" t="s">
        <v>4289</v>
      </c>
      <c r="H32" s="7" t="s">
        <v>210</v>
      </c>
      <c r="I32" s="7" t="s">
        <v>5574</v>
      </c>
      <c r="J32" s="7" t="s">
        <v>5077</v>
      </c>
      <c r="K32" s="7" t="s">
        <v>5599</v>
      </c>
      <c r="L32" s="7">
        <v>63760279</v>
      </c>
      <c r="M32" s="7">
        <v>81493279</v>
      </c>
      <c r="N32" s="7">
        <v>113468565</v>
      </c>
      <c r="O32" s="7" t="s">
        <v>192</v>
      </c>
      <c r="P32" s="7" t="s">
        <v>5588</v>
      </c>
      <c r="Q32" s="7"/>
      <c r="R32" s="7" t="s">
        <v>207</v>
      </c>
    </row>
    <row r="33" spans="1:18" x14ac:dyDescent="0.3">
      <c r="A33" s="6" t="s">
        <v>261</v>
      </c>
      <c r="B33" s="6" t="s">
        <v>262</v>
      </c>
      <c r="C33" s="6"/>
      <c r="D33" s="6" t="s">
        <v>36</v>
      </c>
      <c r="E33" s="6" t="s">
        <v>75</v>
      </c>
      <c r="F33" s="6" t="s">
        <v>263</v>
      </c>
      <c r="G33" s="6" t="s">
        <v>4272</v>
      </c>
      <c r="H33" s="6" t="s">
        <v>184</v>
      </c>
      <c r="I33" s="6" t="s">
        <v>185</v>
      </c>
      <c r="J33" s="6" t="s">
        <v>4506</v>
      </c>
      <c r="K33" s="6" t="s">
        <v>5600</v>
      </c>
      <c r="L33" s="6">
        <v>63564826</v>
      </c>
      <c r="M33" s="6">
        <v>90131288</v>
      </c>
      <c r="N33" s="6">
        <v>6838667</v>
      </c>
      <c r="O33" s="6" t="s">
        <v>192</v>
      </c>
      <c r="P33" s="6" t="s">
        <v>194</v>
      </c>
      <c r="Q33" s="6" t="s">
        <v>194</v>
      </c>
      <c r="R33" s="6"/>
    </row>
    <row r="34" spans="1:18" x14ac:dyDescent="0.3">
      <c r="A34" s="7" t="s">
        <v>264</v>
      </c>
      <c r="B34" s="7" t="s">
        <v>265</v>
      </c>
      <c r="C34" s="7" t="s">
        <v>33</v>
      </c>
      <c r="D34" s="7" t="s">
        <v>4306</v>
      </c>
      <c r="E34" s="7" t="s">
        <v>75</v>
      </c>
      <c r="F34" s="7" t="s">
        <v>4280</v>
      </c>
      <c r="G34" s="7" t="s">
        <v>240</v>
      </c>
      <c r="H34" s="7" t="s">
        <v>210</v>
      </c>
      <c r="I34" s="7" t="s">
        <v>200</v>
      </c>
      <c r="J34" s="7" t="s">
        <v>3476</v>
      </c>
      <c r="K34" s="7" t="s">
        <v>5505</v>
      </c>
      <c r="L34" s="7">
        <v>46625088</v>
      </c>
      <c r="M34" s="7">
        <v>19326039</v>
      </c>
      <c r="N34" s="7">
        <v>4573468</v>
      </c>
      <c r="O34" s="7" t="s">
        <v>206</v>
      </c>
      <c r="P34" s="7" t="s">
        <v>193</v>
      </c>
      <c r="Q34" s="7" t="s">
        <v>193</v>
      </c>
      <c r="R34" s="7" t="s">
        <v>218</v>
      </c>
    </row>
    <row r="35" spans="1:18" x14ac:dyDescent="0.3">
      <c r="A35" s="6" t="s">
        <v>266</v>
      </c>
      <c r="B35" s="6" t="s">
        <v>180</v>
      </c>
      <c r="C35" s="6" t="s">
        <v>66</v>
      </c>
      <c r="D35" s="6" t="s">
        <v>4306</v>
      </c>
      <c r="E35" s="6" t="s">
        <v>228</v>
      </c>
      <c r="F35" s="6" t="s">
        <v>236</v>
      </c>
      <c r="G35" s="6" t="s">
        <v>4372</v>
      </c>
      <c r="H35" s="6" t="s">
        <v>223</v>
      </c>
      <c r="I35" s="6" t="s">
        <v>185</v>
      </c>
      <c r="J35" s="6" t="s">
        <v>5420</v>
      </c>
      <c r="K35" s="6" t="s">
        <v>4429</v>
      </c>
      <c r="L35" s="6">
        <v>35104683</v>
      </c>
      <c r="M35" s="6">
        <v>87199641</v>
      </c>
      <c r="N35" s="6">
        <v>110711386</v>
      </c>
      <c r="O35" s="6" t="s">
        <v>192</v>
      </c>
      <c r="P35" s="6"/>
      <c r="Q35" s="6" t="s">
        <v>187</v>
      </c>
      <c r="R35" s="6"/>
    </row>
    <row r="36" spans="1:18" x14ac:dyDescent="0.3">
      <c r="A36" s="7" t="s">
        <v>267</v>
      </c>
      <c r="B36" s="7" t="s">
        <v>238</v>
      </c>
      <c r="C36" s="7" t="s">
        <v>62</v>
      </c>
      <c r="D36" s="7" t="s">
        <v>4275</v>
      </c>
      <c r="E36" s="7" t="s">
        <v>228</v>
      </c>
      <c r="F36" s="7" t="s">
        <v>197</v>
      </c>
      <c r="G36" s="7" t="s">
        <v>240</v>
      </c>
      <c r="H36" s="7" t="s">
        <v>204</v>
      </c>
      <c r="I36" s="7" t="s">
        <v>200</v>
      </c>
      <c r="J36" s="7" t="s">
        <v>4839</v>
      </c>
      <c r="K36" s="7" t="s">
        <v>3312</v>
      </c>
      <c r="L36" s="7">
        <v>52775341</v>
      </c>
      <c r="M36" s="7">
        <v>96557719</v>
      </c>
      <c r="N36" s="7">
        <v>82935651</v>
      </c>
      <c r="O36" s="7" t="s">
        <v>206</v>
      </c>
      <c r="P36" s="7" t="s">
        <v>194</v>
      </c>
      <c r="Q36" s="7"/>
      <c r="R36" s="7" t="s">
        <v>188</v>
      </c>
    </row>
    <row r="37" spans="1:18" x14ac:dyDescent="0.3">
      <c r="A37" s="6" t="s">
        <v>268</v>
      </c>
      <c r="B37" s="6" t="s">
        <v>250</v>
      </c>
      <c r="C37" s="6" t="s">
        <v>16</v>
      </c>
      <c r="D37" s="6"/>
      <c r="E37" s="6" t="s">
        <v>181</v>
      </c>
      <c r="F37" s="6" t="s">
        <v>4326</v>
      </c>
      <c r="G37" s="6" t="s">
        <v>191</v>
      </c>
      <c r="H37" s="6" t="s">
        <v>221</v>
      </c>
      <c r="I37" s="6" t="s">
        <v>200</v>
      </c>
      <c r="J37" s="6" t="s">
        <v>5490</v>
      </c>
      <c r="K37" s="6" t="s">
        <v>5601</v>
      </c>
      <c r="L37" s="6">
        <v>20982789</v>
      </c>
      <c r="M37" s="6" t="s">
        <v>4275</v>
      </c>
      <c r="N37" s="6">
        <v>98487303</v>
      </c>
      <c r="O37" s="6" t="s">
        <v>224</v>
      </c>
      <c r="P37" s="6" t="s">
        <v>5588</v>
      </c>
      <c r="Q37" s="6" t="s">
        <v>193</v>
      </c>
      <c r="R37" s="6" t="s">
        <v>188</v>
      </c>
    </row>
    <row r="38" spans="1:18" x14ac:dyDescent="0.3">
      <c r="A38" s="7" t="s">
        <v>269</v>
      </c>
      <c r="B38" s="7" t="s">
        <v>220</v>
      </c>
      <c r="C38" s="7" t="s">
        <v>50</v>
      </c>
      <c r="D38" s="7" t="s">
        <v>41</v>
      </c>
      <c r="E38" s="7" t="s">
        <v>196</v>
      </c>
      <c r="F38" s="7" t="s">
        <v>216</v>
      </c>
      <c r="G38" s="7" t="s">
        <v>4289</v>
      </c>
      <c r="H38" s="7" t="s">
        <v>210</v>
      </c>
      <c r="I38" s="7" t="s">
        <v>5574</v>
      </c>
      <c r="J38" s="7" t="s">
        <v>4726</v>
      </c>
      <c r="K38" s="7" t="s">
        <v>5602</v>
      </c>
      <c r="L38" s="7">
        <v>61273772</v>
      </c>
      <c r="M38" s="7" t="s">
        <v>4275</v>
      </c>
      <c r="N38" s="7">
        <v>89042047</v>
      </c>
      <c r="O38" s="7" t="s">
        <v>206</v>
      </c>
      <c r="P38" s="7" t="s">
        <v>187</v>
      </c>
      <c r="Q38" s="7"/>
      <c r="R38" s="7"/>
    </row>
    <row r="39" spans="1:18" x14ac:dyDescent="0.3">
      <c r="A39" s="6" t="s">
        <v>270</v>
      </c>
      <c r="B39" s="6" t="s">
        <v>262</v>
      </c>
      <c r="C39" s="6" t="s">
        <v>33</v>
      </c>
      <c r="D39" s="6" t="s">
        <v>4275</v>
      </c>
      <c r="E39" s="6"/>
      <c r="F39" s="6" t="s">
        <v>4340</v>
      </c>
      <c r="G39" s="6" t="s">
        <v>203</v>
      </c>
      <c r="H39" s="6" t="s">
        <v>184</v>
      </c>
      <c r="I39" s="6" t="s">
        <v>226</v>
      </c>
      <c r="J39" s="6" t="s">
        <v>4296</v>
      </c>
      <c r="K39" s="6" t="s">
        <v>5603</v>
      </c>
      <c r="L39" s="6">
        <v>88662805</v>
      </c>
      <c r="M39" s="6">
        <v>88926885</v>
      </c>
      <c r="N39" s="6">
        <v>57268586</v>
      </c>
      <c r="O39" s="6" t="s">
        <v>186</v>
      </c>
      <c r="P39" s="6" t="s">
        <v>5571</v>
      </c>
      <c r="Q39" s="6" t="s">
        <v>4275</v>
      </c>
      <c r="R39" s="6"/>
    </row>
    <row r="40" spans="1:18" x14ac:dyDescent="0.3">
      <c r="A40" s="7" t="s">
        <v>271</v>
      </c>
      <c r="B40" s="7" t="s">
        <v>245</v>
      </c>
      <c r="C40" s="7" t="s">
        <v>80</v>
      </c>
      <c r="D40" s="7" t="s">
        <v>4270</v>
      </c>
      <c r="E40" s="7" t="s">
        <v>228</v>
      </c>
      <c r="F40" s="7" t="s">
        <v>4266</v>
      </c>
      <c r="G40" s="7" t="s">
        <v>213</v>
      </c>
      <c r="H40" s="7" t="s">
        <v>199</v>
      </c>
      <c r="I40" s="7" t="s">
        <v>185</v>
      </c>
      <c r="J40" s="7" t="s">
        <v>3662</v>
      </c>
      <c r="K40" s="7" t="s">
        <v>5604</v>
      </c>
      <c r="L40" s="7">
        <v>65454076</v>
      </c>
      <c r="M40" s="7">
        <v>5390530</v>
      </c>
      <c r="N40" s="7">
        <v>45743517</v>
      </c>
      <c r="O40" s="7" t="s">
        <v>224</v>
      </c>
      <c r="P40" s="7" t="s">
        <v>5588</v>
      </c>
      <c r="Q40" s="7" t="s">
        <v>4275</v>
      </c>
      <c r="R40" s="7" t="s">
        <v>207</v>
      </c>
    </row>
    <row r="41" spans="1:18" x14ac:dyDescent="0.3">
      <c r="A41" s="6" t="s">
        <v>272</v>
      </c>
      <c r="B41" s="6" t="s">
        <v>215</v>
      </c>
      <c r="C41" s="6" t="s">
        <v>70</v>
      </c>
      <c r="D41" s="6" t="s">
        <v>4270</v>
      </c>
      <c r="E41" s="6" t="s">
        <v>75</v>
      </c>
      <c r="F41" s="6" t="s">
        <v>212</v>
      </c>
      <c r="G41" s="6" t="s">
        <v>4307</v>
      </c>
      <c r="H41" s="6" t="s">
        <v>204</v>
      </c>
      <c r="I41" s="6" t="s">
        <v>200</v>
      </c>
      <c r="J41" s="6" t="s">
        <v>5605</v>
      </c>
      <c r="K41" s="6" t="s">
        <v>5606</v>
      </c>
      <c r="L41" s="6">
        <v>86585501</v>
      </c>
      <c r="M41" s="6">
        <v>31254825</v>
      </c>
      <c r="N41" s="6">
        <v>76885681</v>
      </c>
      <c r="O41" s="6" t="s">
        <v>229</v>
      </c>
      <c r="P41" s="6" t="s">
        <v>5588</v>
      </c>
      <c r="Q41" s="6"/>
      <c r="R41" s="6" t="s">
        <v>218</v>
      </c>
    </row>
    <row r="42" spans="1:18" x14ac:dyDescent="0.3">
      <c r="A42" s="7" t="s">
        <v>273</v>
      </c>
      <c r="B42" s="7" t="s">
        <v>274</v>
      </c>
      <c r="C42" s="7" t="s">
        <v>16</v>
      </c>
      <c r="D42" s="7"/>
      <c r="E42" s="7" t="s">
        <v>31</v>
      </c>
      <c r="F42" s="7" t="s">
        <v>212</v>
      </c>
      <c r="G42" s="7" t="s">
        <v>203</v>
      </c>
      <c r="H42" s="7" t="s">
        <v>204</v>
      </c>
      <c r="I42" s="7" t="s">
        <v>5576</v>
      </c>
      <c r="J42" s="7" t="s">
        <v>4332</v>
      </c>
      <c r="K42" s="7" t="s">
        <v>5607</v>
      </c>
      <c r="L42" s="7">
        <v>98322107</v>
      </c>
      <c r="M42" s="7">
        <v>82330639</v>
      </c>
      <c r="N42" s="7">
        <v>119626949</v>
      </c>
      <c r="O42" s="7" t="s">
        <v>186</v>
      </c>
      <c r="P42" s="7" t="s">
        <v>5588</v>
      </c>
      <c r="Q42" s="7" t="s">
        <v>187</v>
      </c>
      <c r="R42" s="7"/>
    </row>
    <row r="43" spans="1:18" x14ac:dyDescent="0.3">
      <c r="A43" s="6" t="s">
        <v>275</v>
      </c>
      <c r="B43" s="6" t="s">
        <v>5608</v>
      </c>
      <c r="C43" s="6" t="s">
        <v>73</v>
      </c>
      <c r="D43" s="6" t="s">
        <v>113</v>
      </c>
      <c r="E43" s="6" t="s">
        <v>35</v>
      </c>
      <c r="F43" s="6" t="s">
        <v>212</v>
      </c>
      <c r="G43" s="6" t="s">
        <v>191</v>
      </c>
      <c r="H43" s="6" t="s">
        <v>184</v>
      </c>
      <c r="I43" s="6" t="s">
        <v>185</v>
      </c>
      <c r="J43" s="6" t="s">
        <v>4218</v>
      </c>
      <c r="K43" s="6" t="s">
        <v>5609</v>
      </c>
      <c r="L43" s="6">
        <v>23862956</v>
      </c>
      <c r="M43" s="6">
        <v>93566196</v>
      </c>
      <c r="N43" s="6">
        <v>26097877</v>
      </c>
      <c r="O43" s="6" t="s">
        <v>224</v>
      </c>
      <c r="P43" s="6" t="s">
        <v>193</v>
      </c>
      <c r="Q43" s="6" t="s">
        <v>4275</v>
      </c>
      <c r="R43" s="6" t="s">
        <v>207</v>
      </c>
    </row>
    <row r="44" spans="1:18" x14ac:dyDescent="0.3">
      <c r="A44" s="7" t="s">
        <v>276</v>
      </c>
      <c r="B44" s="7" t="s">
        <v>253</v>
      </c>
      <c r="C44" s="7" t="s">
        <v>33</v>
      </c>
      <c r="D44" s="7" t="s">
        <v>20</v>
      </c>
      <c r="E44" s="7"/>
      <c r="F44" s="7" t="s">
        <v>236</v>
      </c>
      <c r="G44" s="7" t="s">
        <v>203</v>
      </c>
      <c r="H44" s="7" t="s">
        <v>184</v>
      </c>
      <c r="I44" s="7" t="s">
        <v>226</v>
      </c>
      <c r="J44" s="7" t="s">
        <v>5522</v>
      </c>
      <c r="K44" s="7" t="s">
        <v>5610</v>
      </c>
      <c r="L44" s="7">
        <v>42757818</v>
      </c>
      <c r="M44" s="7">
        <v>65675117</v>
      </c>
      <c r="N44" s="7">
        <v>30054983</v>
      </c>
      <c r="O44" s="7" t="s">
        <v>224</v>
      </c>
      <c r="P44" s="7" t="s">
        <v>5588</v>
      </c>
      <c r="Q44" s="7" t="s">
        <v>187</v>
      </c>
      <c r="R44" s="7"/>
    </row>
    <row r="45" spans="1:18" x14ac:dyDescent="0.3">
      <c r="A45" s="6" t="s">
        <v>277</v>
      </c>
      <c r="B45" s="6" t="s">
        <v>180</v>
      </c>
      <c r="C45" s="6" t="s">
        <v>80</v>
      </c>
      <c r="D45" s="6" t="s">
        <v>4538</v>
      </c>
      <c r="E45" s="6" t="s">
        <v>31</v>
      </c>
      <c r="F45" s="6" t="s">
        <v>4340</v>
      </c>
      <c r="G45" s="6" t="s">
        <v>183</v>
      </c>
      <c r="H45" s="6" t="s">
        <v>184</v>
      </c>
      <c r="I45" s="6" t="s">
        <v>200</v>
      </c>
      <c r="J45" s="6" t="s">
        <v>5611</v>
      </c>
      <c r="K45" s="6" t="s">
        <v>3276</v>
      </c>
      <c r="L45" s="6">
        <v>98383361</v>
      </c>
      <c r="M45" s="6">
        <v>77230303</v>
      </c>
      <c r="N45" s="6">
        <v>21248471</v>
      </c>
      <c r="O45" s="6" t="s">
        <v>186</v>
      </c>
      <c r="P45" s="6" t="s">
        <v>5571</v>
      </c>
      <c r="Q45" s="6"/>
      <c r="R45" s="6"/>
    </row>
    <row r="46" spans="1:18" x14ac:dyDescent="0.3">
      <c r="A46" s="7" t="s">
        <v>278</v>
      </c>
      <c r="B46" s="7" t="s">
        <v>242</v>
      </c>
      <c r="C46" s="7" t="s">
        <v>33</v>
      </c>
      <c r="D46" s="7" t="s">
        <v>52</v>
      </c>
      <c r="E46" s="7" t="s">
        <v>75</v>
      </c>
      <c r="F46" s="7"/>
      <c r="G46" s="7" t="s">
        <v>183</v>
      </c>
      <c r="H46" s="7" t="s">
        <v>223</v>
      </c>
      <c r="I46" s="7" t="s">
        <v>185</v>
      </c>
      <c r="J46" s="7" t="s">
        <v>5612</v>
      </c>
      <c r="K46" s="7" t="s">
        <v>5613</v>
      </c>
      <c r="L46" s="7">
        <v>70388853</v>
      </c>
      <c r="M46" s="7">
        <v>17014061</v>
      </c>
      <c r="N46" s="7">
        <v>115469236</v>
      </c>
      <c r="O46" s="7" t="s">
        <v>229</v>
      </c>
      <c r="P46" s="7" t="s">
        <v>194</v>
      </c>
      <c r="Q46" s="7"/>
      <c r="R46" s="7" t="s">
        <v>218</v>
      </c>
    </row>
    <row r="47" spans="1:18" x14ac:dyDescent="0.3">
      <c r="A47" s="6" t="s">
        <v>279</v>
      </c>
      <c r="B47" s="6" t="s">
        <v>180</v>
      </c>
      <c r="C47" s="6" t="s">
        <v>62</v>
      </c>
      <c r="D47" s="6"/>
      <c r="E47" s="6" t="s">
        <v>228</v>
      </c>
      <c r="F47" s="6" t="s">
        <v>4275</v>
      </c>
      <c r="G47" s="6" t="s">
        <v>213</v>
      </c>
      <c r="H47" s="6" t="s">
        <v>204</v>
      </c>
      <c r="I47" s="6" t="s">
        <v>185</v>
      </c>
      <c r="J47" s="6" t="s">
        <v>3574</v>
      </c>
      <c r="K47" s="6" t="s">
        <v>5614</v>
      </c>
      <c r="L47" s="6">
        <v>96922510</v>
      </c>
      <c r="M47" s="6">
        <v>90056827</v>
      </c>
      <c r="N47" s="6">
        <v>14398166</v>
      </c>
      <c r="O47" s="6" t="s">
        <v>186</v>
      </c>
      <c r="P47" s="6" t="s">
        <v>187</v>
      </c>
      <c r="Q47" s="6" t="s">
        <v>4275</v>
      </c>
      <c r="R47" s="6" t="s">
        <v>218</v>
      </c>
    </row>
    <row r="48" spans="1:18" x14ac:dyDescent="0.3">
      <c r="A48" s="7" t="s">
        <v>280</v>
      </c>
      <c r="B48" s="7" t="s">
        <v>281</v>
      </c>
      <c r="C48" s="7" t="s">
        <v>33</v>
      </c>
      <c r="D48" s="7" t="s">
        <v>59</v>
      </c>
      <c r="E48" s="7" t="s">
        <v>181</v>
      </c>
      <c r="F48" s="7" t="s">
        <v>236</v>
      </c>
      <c r="G48" s="7" t="s">
        <v>191</v>
      </c>
      <c r="H48" s="7" t="s">
        <v>184</v>
      </c>
      <c r="I48" s="7"/>
      <c r="J48" s="7" t="s">
        <v>5615</v>
      </c>
      <c r="K48" s="7" t="s">
        <v>5616</v>
      </c>
      <c r="L48" s="7">
        <v>4597975</v>
      </c>
      <c r="M48" s="7">
        <v>43604926</v>
      </c>
      <c r="N48" s="7">
        <v>106365932</v>
      </c>
      <c r="O48" s="7" t="s">
        <v>192</v>
      </c>
      <c r="P48" s="7" t="s">
        <v>194</v>
      </c>
      <c r="Q48" s="7" t="s">
        <v>4275</v>
      </c>
      <c r="R48" s="7" t="s">
        <v>207</v>
      </c>
    </row>
    <row r="49" spans="1:18" x14ac:dyDescent="0.3">
      <c r="A49" s="6" t="s">
        <v>282</v>
      </c>
      <c r="B49" s="6" t="s">
        <v>5608</v>
      </c>
      <c r="C49" s="6" t="s">
        <v>62</v>
      </c>
      <c r="D49" s="6" t="s">
        <v>20</v>
      </c>
      <c r="E49" s="6" t="s">
        <v>35</v>
      </c>
      <c r="F49" s="6" t="s">
        <v>182</v>
      </c>
      <c r="G49" s="6" t="s">
        <v>233</v>
      </c>
      <c r="H49" s="6" t="s">
        <v>210</v>
      </c>
      <c r="I49" s="6" t="s">
        <v>5574</v>
      </c>
      <c r="J49" s="6" t="s">
        <v>5617</v>
      </c>
      <c r="K49" s="6" t="s">
        <v>5618</v>
      </c>
      <c r="L49" s="6">
        <v>45460011</v>
      </c>
      <c r="M49" s="6">
        <v>77371056</v>
      </c>
      <c r="N49" s="6">
        <v>50146745</v>
      </c>
      <c r="O49" s="6" t="s">
        <v>192</v>
      </c>
      <c r="P49" s="6"/>
      <c r="Q49" s="6"/>
      <c r="R49" s="6" t="s">
        <v>218</v>
      </c>
    </row>
    <row r="50" spans="1:18" x14ac:dyDescent="0.3">
      <c r="A50" s="7" t="s">
        <v>283</v>
      </c>
      <c r="B50" s="7" t="s">
        <v>262</v>
      </c>
      <c r="C50" s="7" t="s">
        <v>46</v>
      </c>
      <c r="D50" s="7" t="s">
        <v>4270</v>
      </c>
      <c r="E50" s="7" t="s">
        <v>228</v>
      </c>
      <c r="F50" s="7" t="s">
        <v>4340</v>
      </c>
      <c r="G50" s="7" t="s">
        <v>4307</v>
      </c>
      <c r="H50" s="7" t="s">
        <v>223</v>
      </c>
      <c r="I50" s="7" t="s">
        <v>200</v>
      </c>
      <c r="J50" s="7" t="s">
        <v>3886</v>
      </c>
      <c r="K50" s="7" t="s">
        <v>5619</v>
      </c>
      <c r="L50" s="7">
        <v>87119895</v>
      </c>
      <c r="M50" s="7">
        <v>63864334</v>
      </c>
      <c r="N50" s="7">
        <v>69468188</v>
      </c>
      <c r="O50" s="7" t="s">
        <v>229</v>
      </c>
      <c r="P50" s="7" t="s">
        <v>194</v>
      </c>
      <c r="Q50" s="7" t="s">
        <v>187</v>
      </c>
      <c r="R50" s="7" t="s">
        <v>207</v>
      </c>
    </row>
    <row r="51" spans="1:18" x14ac:dyDescent="0.3">
      <c r="A51" s="6" t="s">
        <v>284</v>
      </c>
      <c r="B51" s="6" t="s">
        <v>248</v>
      </c>
      <c r="C51" s="6" t="s">
        <v>46</v>
      </c>
      <c r="D51" s="6" t="s">
        <v>4306</v>
      </c>
      <c r="E51" s="6" t="s">
        <v>228</v>
      </c>
      <c r="F51" s="6"/>
      <c r="G51" s="6" t="s">
        <v>203</v>
      </c>
      <c r="H51" s="6" t="s">
        <v>210</v>
      </c>
      <c r="I51" s="6" t="s">
        <v>5574</v>
      </c>
      <c r="J51" s="6" t="s">
        <v>5620</v>
      </c>
      <c r="K51" s="6" t="s">
        <v>5621</v>
      </c>
      <c r="L51" s="6">
        <v>43174149</v>
      </c>
      <c r="M51" s="6">
        <v>21597371</v>
      </c>
      <c r="N51" s="6">
        <v>119093331</v>
      </c>
      <c r="O51" s="6" t="s">
        <v>192</v>
      </c>
      <c r="P51" s="6" t="s">
        <v>187</v>
      </c>
      <c r="Q51" s="6" t="s">
        <v>193</v>
      </c>
      <c r="R51" s="6" t="s">
        <v>188</v>
      </c>
    </row>
    <row r="52" spans="1:18" x14ac:dyDescent="0.3">
      <c r="A52" s="7" t="s">
        <v>285</v>
      </c>
      <c r="B52" s="7" t="s">
        <v>220</v>
      </c>
      <c r="C52" s="7" t="s">
        <v>78</v>
      </c>
      <c r="D52" s="7" t="s">
        <v>41</v>
      </c>
      <c r="E52" s="7" t="s">
        <v>196</v>
      </c>
      <c r="F52" s="7" t="s">
        <v>4280</v>
      </c>
      <c r="G52" s="7" t="s">
        <v>4289</v>
      </c>
      <c r="H52" s="7" t="s">
        <v>221</v>
      </c>
      <c r="I52" s="7" t="s">
        <v>205</v>
      </c>
      <c r="J52" s="7" t="s">
        <v>4663</v>
      </c>
      <c r="K52" s="7" t="s">
        <v>5622</v>
      </c>
      <c r="L52" s="7">
        <v>14532975</v>
      </c>
      <c r="M52" s="7">
        <v>10152224</v>
      </c>
      <c r="N52" s="7">
        <v>15826084</v>
      </c>
      <c r="O52" s="7" t="s">
        <v>224</v>
      </c>
      <c r="P52" s="7"/>
      <c r="Q52" s="7" t="s">
        <v>194</v>
      </c>
      <c r="R52" s="7"/>
    </row>
    <row r="53" spans="1:18" x14ac:dyDescent="0.3">
      <c r="A53" s="6" t="s">
        <v>286</v>
      </c>
      <c r="B53" s="6" t="s">
        <v>5608</v>
      </c>
      <c r="C53" s="6" t="s">
        <v>78</v>
      </c>
      <c r="D53" s="6" t="s">
        <v>36</v>
      </c>
      <c r="E53" s="6" t="s">
        <v>181</v>
      </c>
      <c r="F53" s="6" t="s">
        <v>4326</v>
      </c>
      <c r="G53" s="6" t="s">
        <v>4372</v>
      </c>
      <c r="H53" s="6" t="s">
        <v>204</v>
      </c>
      <c r="I53" s="6" t="s">
        <v>5576</v>
      </c>
      <c r="J53" s="6" t="s">
        <v>5623</v>
      </c>
      <c r="K53" s="6" t="s">
        <v>5624</v>
      </c>
      <c r="L53" s="6">
        <v>43386267</v>
      </c>
      <c r="M53" s="6">
        <v>48408794</v>
      </c>
      <c r="N53" s="6">
        <v>39524039</v>
      </c>
      <c r="O53" s="6" t="s">
        <v>186</v>
      </c>
      <c r="P53" s="6" t="s">
        <v>187</v>
      </c>
      <c r="Q53" s="6" t="s">
        <v>4275</v>
      </c>
      <c r="R53" s="6" t="s">
        <v>188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B668-C3C4-4B55-8F3F-5056ADB7EE4D}">
  <dimension ref="A1:P17"/>
  <sheetViews>
    <sheetView showGridLines="0" workbookViewId="0">
      <selection activeCell="C8" sqref="C8"/>
    </sheetView>
  </sheetViews>
  <sheetFormatPr defaultRowHeight="14.4" x14ac:dyDescent="0.3"/>
  <cols>
    <col min="1" max="1" width="15.77734375" customWidth="1"/>
    <col min="2" max="2" width="9.6640625" customWidth="1"/>
    <col min="3" max="3" width="14.77734375" customWidth="1"/>
    <col min="4" max="4" width="15.44140625" customWidth="1"/>
    <col min="5" max="5" width="9" customWidth="1"/>
    <col min="6" max="6" width="17.44140625" customWidth="1"/>
    <col min="7" max="7" width="21.44140625" customWidth="1"/>
    <col min="8" max="8" width="16" customWidth="1"/>
    <col min="9" max="9" width="15.44140625" customWidth="1"/>
    <col min="10" max="10" width="15.88671875" customWidth="1"/>
    <col min="11" max="11" width="14.6640625" customWidth="1"/>
    <col min="12" max="12" width="15.88671875" customWidth="1"/>
    <col min="13" max="13" width="21" customWidth="1"/>
    <col min="14" max="14" width="19.6640625" customWidth="1"/>
    <col min="15" max="15" width="20.5546875" customWidth="1"/>
    <col min="16" max="16" width="15.6640625" customWidth="1"/>
  </cols>
  <sheetData>
    <row r="1" spans="1:16" ht="39" customHeight="1" x14ac:dyDescent="0.3"/>
    <row r="2" spans="1:16" ht="46.2" customHeight="1" x14ac:dyDescent="0.3">
      <c r="A2" s="5" t="s">
        <v>0</v>
      </c>
      <c r="B2" s="5" t="s">
        <v>1</v>
      </c>
      <c r="C2" s="5" t="s">
        <v>2</v>
      </c>
      <c r="D2" s="5" t="s">
        <v>3</v>
      </c>
      <c r="E2" s="5" t="s">
        <v>4</v>
      </c>
      <c r="F2" s="5" t="s">
        <v>5</v>
      </c>
      <c r="G2" s="5" t="s">
        <v>6</v>
      </c>
      <c r="H2" s="5" t="s">
        <v>7</v>
      </c>
      <c r="I2" s="5" t="s">
        <v>8</v>
      </c>
      <c r="J2" s="5" t="s">
        <v>9</v>
      </c>
      <c r="K2" s="5" t="s">
        <v>10</v>
      </c>
      <c r="L2" s="5" t="s">
        <v>11</v>
      </c>
      <c r="M2" s="5" t="s">
        <v>12</v>
      </c>
      <c r="N2" s="13" t="s">
        <v>13</v>
      </c>
      <c r="O2" s="13" t="s">
        <v>14</v>
      </c>
      <c r="P2" s="13" t="s">
        <v>15</v>
      </c>
    </row>
    <row r="3" spans="1:16" x14ac:dyDescent="0.3">
      <c r="A3" s="6" t="s">
        <v>16</v>
      </c>
      <c r="B3" s="6" t="s">
        <v>17</v>
      </c>
      <c r="C3" s="6" t="s">
        <v>18</v>
      </c>
      <c r="D3" s="6" t="s">
        <v>19</v>
      </c>
      <c r="E3" s="6" t="s">
        <v>20</v>
      </c>
      <c r="F3" s="6"/>
      <c r="G3" s="6" t="s">
        <v>4275</v>
      </c>
      <c r="H3" s="6" t="s">
        <v>4275</v>
      </c>
      <c r="I3" s="6">
        <v>47610168</v>
      </c>
      <c r="J3" s="6">
        <v>30</v>
      </c>
      <c r="K3" s="6" t="s">
        <v>21</v>
      </c>
      <c r="L3" s="6" t="s">
        <v>5625</v>
      </c>
      <c r="M3" s="6" t="s">
        <v>5626</v>
      </c>
      <c r="N3" s="6">
        <v>316129939</v>
      </c>
      <c r="O3" s="6">
        <v>15940198</v>
      </c>
      <c r="P3" s="6" t="s">
        <v>22</v>
      </c>
    </row>
    <row r="4" spans="1:16" x14ac:dyDescent="0.3">
      <c r="A4" s="7" t="s">
        <v>23</v>
      </c>
      <c r="B4" s="7" t="s">
        <v>24</v>
      </c>
      <c r="C4" s="7" t="s">
        <v>25</v>
      </c>
      <c r="D4" s="7" t="s">
        <v>19</v>
      </c>
      <c r="E4" s="7" t="s">
        <v>20</v>
      </c>
      <c r="F4" s="7"/>
      <c r="G4" s="7"/>
      <c r="H4" s="7"/>
      <c r="I4" s="7">
        <v>1073824</v>
      </c>
      <c r="J4" s="7">
        <v>90</v>
      </c>
      <c r="K4" s="7" t="s">
        <v>26</v>
      </c>
      <c r="L4" s="7" t="s">
        <v>5627</v>
      </c>
      <c r="M4" s="7" t="s">
        <v>5563</v>
      </c>
      <c r="N4" s="7">
        <v>311599050</v>
      </c>
      <c r="O4" s="7">
        <v>10317082</v>
      </c>
      <c r="P4" s="7" t="s">
        <v>27</v>
      </c>
    </row>
    <row r="5" spans="1:16" x14ac:dyDescent="0.3">
      <c r="A5" s="6" t="s">
        <v>28</v>
      </c>
      <c r="B5" s="6" t="s">
        <v>29</v>
      </c>
      <c r="C5" s="6" t="s">
        <v>30</v>
      </c>
      <c r="D5" s="6" t="s">
        <v>31</v>
      </c>
      <c r="E5" s="6" t="s">
        <v>20</v>
      </c>
      <c r="F5" s="6"/>
      <c r="G5" s="6" t="s">
        <v>4275</v>
      </c>
      <c r="H5" s="6" t="s">
        <v>32</v>
      </c>
      <c r="I5" s="6">
        <v>1059770</v>
      </c>
      <c r="J5" s="6">
        <v>90</v>
      </c>
      <c r="K5" s="6" t="s">
        <v>21</v>
      </c>
      <c r="L5" s="6" t="s">
        <v>5628</v>
      </c>
      <c r="M5" s="6" t="s">
        <v>4048</v>
      </c>
      <c r="N5" s="6">
        <v>182016108</v>
      </c>
      <c r="O5" s="6">
        <v>5462444</v>
      </c>
      <c r="P5" s="6" t="s">
        <v>22</v>
      </c>
    </row>
    <row r="6" spans="1:16" x14ac:dyDescent="0.3">
      <c r="A6" s="7" t="s">
        <v>33</v>
      </c>
      <c r="B6" s="7" t="s">
        <v>34</v>
      </c>
      <c r="C6" s="7" t="s">
        <v>30</v>
      </c>
      <c r="D6" s="7" t="s">
        <v>35</v>
      </c>
      <c r="E6" s="7" t="s">
        <v>36</v>
      </c>
      <c r="F6" s="7" t="s">
        <v>37</v>
      </c>
      <c r="G6" s="7"/>
      <c r="H6" s="7"/>
      <c r="I6" s="7">
        <v>10468385</v>
      </c>
      <c r="J6" s="7">
        <v>90</v>
      </c>
      <c r="K6" s="7"/>
      <c r="L6" s="7" t="s">
        <v>5629</v>
      </c>
      <c r="M6" s="7" t="s">
        <v>4483</v>
      </c>
      <c r="N6" s="7">
        <v>59292162</v>
      </c>
      <c r="O6" s="7">
        <v>4838865</v>
      </c>
      <c r="P6" s="7"/>
    </row>
    <row r="7" spans="1:16" x14ac:dyDescent="0.3">
      <c r="A7" s="6" t="s">
        <v>38</v>
      </c>
      <c r="B7" s="6" t="s">
        <v>39</v>
      </c>
      <c r="C7" s="6" t="s">
        <v>40</v>
      </c>
      <c r="D7" s="6" t="s">
        <v>35</v>
      </c>
      <c r="E7" s="6" t="s">
        <v>41</v>
      </c>
      <c r="F7" s="6" t="s">
        <v>42</v>
      </c>
      <c r="G7" s="6" t="s">
        <v>43</v>
      </c>
      <c r="H7" s="6" t="s">
        <v>44</v>
      </c>
      <c r="I7" s="6">
        <v>48160775</v>
      </c>
      <c r="J7" s="6">
        <v>60</v>
      </c>
      <c r="K7" s="6"/>
      <c r="L7" s="6" t="s">
        <v>5630</v>
      </c>
      <c r="M7" s="6" t="s">
        <v>5051</v>
      </c>
      <c r="N7" s="6">
        <v>168117408</v>
      </c>
      <c r="O7" s="6">
        <v>14174624</v>
      </c>
      <c r="P7" s="6" t="s">
        <v>45</v>
      </c>
    </row>
    <row r="8" spans="1:16" x14ac:dyDescent="0.3">
      <c r="A8" s="7" t="s">
        <v>46</v>
      </c>
      <c r="B8" s="7" t="s">
        <v>47</v>
      </c>
      <c r="C8" s="7" t="s">
        <v>18</v>
      </c>
      <c r="D8" s="7" t="s">
        <v>35</v>
      </c>
      <c r="E8" s="7" t="s">
        <v>41</v>
      </c>
      <c r="F8" s="7" t="s">
        <v>42</v>
      </c>
      <c r="G8" s="7" t="s">
        <v>48</v>
      </c>
      <c r="H8" s="7" t="s">
        <v>49</v>
      </c>
      <c r="I8" s="7">
        <v>22881047</v>
      </c>
      <c r="J8" s="7">
        <v>60</v>
      </c>
      <c r="K8" s="7"/>
      <c r="L8" s="7" t="s">
        <v>5631</v>
      </c>
      <c r="M8" s="7" t="s">
        <v>5632</v>
      </c>
      <c r="N8" s="7">
        <v>13257608</v>
      </c>
      <c r="O8" s="7">
        <v>10021482</v>
      </c>
      <c r="P8" s="7"/>
    </row>
    <row r="9" spans="1:16" x14ac:dyDescent="0.3">
      <c r="A9" s="6" t="s">
        <v>50</v>
      </c>
      <c r="B9" s="6" t="s">
        <v>51</v>
      </c>
      <c r="C9" s="6" t="s">
        <v>40</v>
      </c>
      <c r="D9" s="6" t="s">
        <v>31</v>
      </c>
      <c r="E9" s="6" t="s">
        <v>52</v>
      </c>
      <c r="F9" s="6"/>
      <c r="G9" s="6"/>
      <c r="H9" s="6" t="s">
        <v>53</v>
      </c>
      <c r="I9" s="6">
        <v>1237042</v>
      </c>
      <c r="J9" s="6">
        <v>90</v>
      </c>
      <c r="K9" s="6" t="s">
        <v>26</v>
      </c>
      <c r="L9" s="6" t="s">
        <v>5633</v>
      </c>
      <c r="M9" s="6" t="s">
        <v>5634</v>
      </c>
      <c r="N9" s="6">
        <v>129272141</v>
      </c>
      <c r="O9" s="6" t="s">
        <v>4275</v>
      </c>
      <c r="P9" s="6" t="s">
        <v>22</v>
      </c>
    </row>
    <row r="10" spans="1:16" x14ac:dyDescent="0.3">
      <c r="A10" s="7" t="s">
        <v>54</v>
      </c>
      <c r="B10" s="7" t="s">
        <v>55</v>
      </c>
      <c r="C10" s="7" t="s">
        <v>18</v>
      </c>
      <c r="D10" s="7" t="s">
        <v>31</v>
      </c>
      <c r="E10" s="7" t="s">
        <v>52</v>
      </c>
      <c r="F10" s="7"/>
      <c r="G10" s="7" t="s">
        <v>4275</v>
      </c>
      <c r="H10" s="7" t="s">
        <v>56</v>
      </c>
      <c r="I10" s="7">
        <v>30987997</v>
      </c>
      <c r="J10" s="7">
        <v>45</v>
      </c>
      <c r="K10" s="7" t="s">
        <v>21</v>
      </c>
      <c r="L10" s="7" t="s">
        <v>5635</v>
      </c>
      <c r="M10" s="7" t="s">
        <v>5279</v>
      </c>
      <c r="N10" s="7">
        <v>135637673</v>
      </c>
      <c r="O10" s="7">
        <v>10011138</v>
      </c>
      <c r="P10" s="7" t="s">
        <v>27</v>
      </c>
    </row>
    <row r="11" spans="1:16" x14ac:dyDescent="0.3">
      <c r="A11" s="6" t="s">
        <v>57</v>
      </c>
      <c r="B11" s="6" t="s">
        <v>58</v>
      </c>
      <c r="C11" s="6" t="s">
        <v>18</v>
      </c>
      <c r="D11" s="6" t="s">
        <v>31</v>
      </c>
      <c r="E11" s="6" t="s">
        <v>59</v>
      </c>
      <c r="F11" s="6" t="s">
        <v>37</v>
      </c>
      <c r="G11" s="6" t="s">
        <v>60</v>
      </c>
      <c r="H11" s="6" t="s">
        <v>4275</v>
      </c>
      <c r="I11" s="6">
        <v>23980180</v>
      </c>
      <c r="J11" s="6">
        <v>90</v>
      </c>
      <c r="K11" s="6"/>
      <c r="L11" s="6" t="s">
        <v>5636</v>
      </c>
      <c r="M11" s="6" t="s">
        <v>5637</v>
      </c>
      <c r="N11" s="6">
        <v>112365959</v>
      </c>
      <c r="O11" s="6">
        <v>9190376</v>
      </c>
      <c r="P11" s="6" t="s">
        <v>61</v>
      </c>
    </row>
    <row r="12" spans="1:16" x14ac:dyDescent="0.3">
      <c r="A12" s="7" t="s">
        <v>62</v>
      </c>
      <c r="B12" s="7" t="s">
        <v>63</v>
      </c>
      <c r="C12" s="7" t="s">
        <v>40</v>
      </c>
      <c r="D12" s="7" t="s">
        <v>31</v>
      </c>
      <c r="E12" s="7" t="s">
        <v>41</v>
      </c>
      <c r="F12" s="7"/>
      <c r="G12" s="7" t="s">
        <v>64</v>
      </c>
      <c r="H12" s="7" t="s">
        <v>65</v>
      </c>
      <c r="I12" s="7">
        <v>6564584</v>
      </c>
      <c r="J12" s="7">
        <v>45</v>
      </c>
      <c r="K12" s="7"/>
      <c r="L12" s="7" t="s">
        <v>5638</v>
      </c>
      <c r="M12" s="7" t="s">
        <v>4383</v>
      </c>
      <c r="N12" s="7">
        <v>240487985</v>
      </c>
      <c r="O12" s="7">
        <v>9846877</v>
      </c>
      <c r="P12" s="7"/>
    </row>
    <row r="13" spans="1:16" x14ac:dyDescent="0.3">
      <c r="A13" s="6" t="s">
        <v>66</v>
      </c>
      <c r="B13" s="6" t="s">
        <v>67</v>
      </c>
      <c r="C13" s="6" t="s">
        <v>25</v>
      </c>
      <c r="D13" s="6" t="s">
        <v>35</v>
      </c>
      <c r="E13" s="6" t="s">
        <v>36</v>
      </c>
      <c r="F13" s="6" t="s">
        <v>37</v>
      </c>
      <c r="G13" s="6" t="s">
        <v>68</v>
      </c>
      <c r="H13" s="6" t="s">
        <v>69</v>
      </c>
      <c r="I13" s="6">
        <v>39158659</v>
      </c>
      <c r="J13" s="6">
        <v>60</v>
      </c>
      <c r="K13" s="6"/>
      <c r="L13" s="6" t="s">
        <v>5639</v>
      </c>
      <c r="M13" s="6" t="s">
        <v>5640</v>
      </c>
      <c r="N13" s="6">
        <v>107325416</v>
      </c>
      <c r="O13" s="6" t="s">
        <v>4275</v>
      </c>
      <c r="P13" s="6" t="s">
        <v>22</v>
      </c>
    </row>
    <row r="14" spans="1:16" x14ac:dyDescent="0.3">
      <c r="A14" s="7" t="s">
        <v>70</v>
      </c>
      <c r="B14" s="7" t="s">
        <v>71</v>
      </c>
      <c r="C14" s="7" t="s">
        <v>25</v>
      </c>
      <c r="D14" s="7" t="s">
        <v>31</v>
      </c>
      <c r="E14" s="7" t="s">
        <v>52</v>
      </c>
      <c r="F14" s="7"/>
      <c r="G14" s="7"/>
      <c r="H14" s="7" t="s">
        <v>72</v>
      </c>
      <c r="I14" s="7">
        <v>21422380</v>
      </c>
      <c r="J14" s="7">
        <v>90</v>
      </c>
      <c r="K14" s="7" t="s">
        <v>26</v>
      </c>
      <c r="L14" s="7" t="s">
        <v>5641</v>
      </c>
      <c r="M14" s="7" t="s">
        <v>3697</v>
      </c>
      <c r="N14" s="7">
        <v>260751314</v>
      </c>
      <c r="O14" s="7">
        <v>7664695</v>
      </c>
      <c r="P14" s="7" t="s">
        <v>22</v>
      </c>
    </row>
    <row r="15" spans="1:16" x14ac:dyDescent="0.3">
      <c r="A15" s="6" t="s">
        <v>73</v>
      </c>
      <c r="B15" s="6" t="s">
        <v>74</v>
      </c>
      <c r="C15" s="6" t="s">
        <v>18</v>
      </c>
      <c r="D15" s="6" t="s">
        <v>75</v>
      </c>
      <c r="E15" s="6" t="s">
        <v>36</v>
      </c>
      <c r="F15" s="6" t="s">
        <v>37</v>
      </c>
      <c r="G15" s="6" t="s">
        <v>76</v>
      </c>
      <c r="H15" s="6"/>
      <c r="I15" s="6">
        <v>47293002</v>
      </c>
      <c r="J15" s="6">
        <v>90</v>
      </c>
      <c r="K15" s="6" t="s">
        <v>77</v>
      </c>
      <c r="L15" s="6" t="s">
        <v>5642</v>
      </c>
      <c r="M15" s="6" t="s">
        <v>5643</v>
      </c>
      <c r="N15" s="6">
        <v>277820719</v>
      </c>
      <c r="O15" s="6">
        <v>5897264</v>
      </c>
      <c r="P15" s="6" t="s">
        <v>45</v>
      </c>
    </row>
    <row r="16" spans="1:16" x14ac:dyDescent="0.3">
      <c r="A16" s="7" t="s">
        <v>78</v>
      </c>
      <c r="B16" s="7" t="s">
        <v>79</v>
      </c>
      <c r="C16" s="7" t="s">
        <v>18</v>
      </c>
      <c r="D16" s="7" t="s">
        <v>35</v>
      </c>
      <c r="E16" s="7" t="s">
        <v>20</v>
      </c>
      <c r="F16" s="7"/>
      <c r="G16" s="7" t="s">
        <v>4275</v>
      </c>
      <c r="H16" s="7" t="s">
        <v>4275</v>
      </c>
      <c r="I16" s="7">
        <v>49486949</v>
      </c>
      <c r="J16" s="7">
        <v>60</v>
      </c>
      <c r="K16" s="7"/>
      <c r="L16" s="7" t="s">
        <v>5644</v>
      </c>
      <c r="M16" s="7" t="s">
        <v>5379</v>
      </c>
      <c r="N16" s="7">
        <v>119336157</v>
      </c>
      <c r="O16" s="7">
        <v>8359241</v>
      </c>
      <c r="P16" s="7"/>
    </row>
    <row r="17" spans="1:16" x14ac:dyDescent="0.3">
      <c r="A17" s="6" t="s">
        <v>80</v>
      </c>
      <c r="B17" s="6" t="s">
        <v>81</v>
      </c>
      <c r="C17" s="6" t="s">
        <v>18</v>
      </c>
      <c r="D17" s="6" t="s">
        <v>19</v>
      </c>
      <c r="E17" s="6" t="s">
        <v>52</v>
      </c>
      <c r="F17" s="6" t="s">
        <v>37</v>
      </c>
      <c r="G17" s="6" t="s">
        <v>4275</v>
      </c>
      <c r="H17" s="6" t="s">
        <v>4275</v>
      </c>
      <c r="I17" s="6">
        <v>6821247</v>
      </c>
      <c r="J17" s="6">
        <v>45</v>
      </c>
      <c r="K17" s="6" t="s">
        <v>82</v>
      </c>
      <c r="L17" s="6" t="s">
        <v>5645</v>
      </c>
      <c r="M17" s="6" t="s">
        <v>5646</v>
      </c>
      <c r="N17" s="6">
        <v>43611069</v>
      </c>
      <c r="O17" s="6">
        <v>9683342</v>
      </c>
      <c r="P17" s="6"/>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016D-3922-480A-A8B3-E1A89C9C0ED1}">
  <dimension ref="A1:S12"/>
  <sheetViews>
    <sheetView showGridLines="0" topLeftCell="J1" workbookViewId="0">
      <selection activeCell="R2" sqref="R2"/>
    </sheetView>
  </sheetViews>
  <sheetFormatPr defaultRowHeight="14.4" x14ac:dyDescent="0.3"/>
  <cols>
    <col min="1" max="1" width="18" customWidth="1"/>
    <col min="2" max="2" width="16.77734375" customWidth="1"/>
    <col min="3" max="3" width="15" customWidth="1"/>
    <col min="4" max="4" width="15.5546875" customWidth="1"/>
    <col min="5" max="5" width="9" customWidth="1"/>
    <col min="6" max="6" width="16" customWidth="1"/>
    <col min="7" max="7" width="17.77734375" customWidth="1"/>
    <col min="8" max="9" width="19.21875" customWidth="1"/>
    <col min="10" max="10" width="19.33203125" customWidth="1"/>
    <col min="11" max="12" width="19.21875" customWidth="1"/>
    <col min="13" max="13" width="10.33203125" customWidth="1"/>
    <col min="14" max="14" width="17" customWidth="1"/>
    <col min="15" max="15" width="13.44140625" customWidth="1"/>
    <col min="16" max="16" width="10.88671875" customWidth="1"/>
    <col min="17" max="17" width="22.5546875" customWidth="1"/>
    <col min="18" max="18" width="12.33203125" customWidth="1"/>
    <col min="19" max="19" width="16.5546875" customWidth="1"/>
  </cols>
  <sheetData>
    <row r="1" spans="1:19" ht="38.4" customHeight="1" x14ac:dyDescent="0.3"/>
    <row r="2" spans="1:19" ht="22.2" customHeight="1" x14ac:dyDescent="0.3">
      <c r="A2" s="5" t="s">
        <v>83</v>
      </c>
      <c r="B2" s="5" t="s">
        <v>84</v>
      </c>
      <c r="C2" s="5" t="s">
        <v>85</v>
      </c>
      <c r="D2" s="5" t="s">
        <v>86</v>
      </c>
      <c r="E2" s="5" t="s">
        <v>4</v>
      </c>
      <c r="F2" s="13" t="s">
        <v>87</v>
      </c>
      <c r="G2" s="5" t="s">
        <v>88</v>
      </c>
      <c r="H2" s="5" t="s">
        <v>89</v>
      </c>
      <c r="I2" s="5" t="s">
        <v>90</v>
      </c>
      <c r="J2" s="5" t="s">
        <v>91</v>
      </c>
      <c r="K2" s="5" t="s">
        <v>92</v>
      </c>
      <c r="L2" s="5" t="s">
        <v>93</v>
      </c>
      <c r="M2" s="5" t="s">
        <v>94</v>
      </c>
      <c r="N2" s="5" t="s">
        <v>95</v>
      </c>
      <c r="O2" s="5" t="s">
        <v>96</v>
      </c>
      <c r="P2" s="5" t="s">
        <v>97</v>
      </c>
      <c r="Q2" s="5" t="s">
        <v>6</v>
      </c>
      <c r="R2" s="5" t="s">
        <v>98</v>
      </c>
      <c r="S2" s="5" t="s">
        <v>15</v>
      </c>
    </row>
    <row r="3" spans="1:19" x14ac:dyDescent="0.3">
      <c r="A3" s="6" t="s">
        <v>99</v>
      </c>
      <c r="B3" s="6" t="s">
        <v>100</v>
      </c>
      <c r="C3" s="6" t="s">
        <v>101</v>
      </c>
      <c r="D3" s="6" t="s">
        <v>102</v>
      </c>
      <c r="E3" s="6" t="s">
        <v>59</v>
      </c>
      <c r="F3" s="6" t="s">
        <v>5647</v>
      </c>
      <c r="G3" s="6">
        <v>21930988</v>
      </c>
      <c r="H3" s="6">
        <v>952812</v>
      </c>
      <c r="I3" s="6">
        <v>12603221</v>
      </c>
      <c r="J3" s="6">
        <v>10862230</v>
      </c>
      <c r="K3" s="6">
        <v>9288625</v>
      </c>
      <c r="L3" s="6">
        <v>1900333</v>
      </c>
      <c r="M3" s="6">
        <v>0.73</v>
      </c>
      <c r="N3" s="6">
        <v>4179875</v>
      </c>
      <c r="O3" s="6">
        <v>30</v>
      </c>
      <c r="P3" s="6">
        <v>19</v>
      </c>
      <c r="Q3" s="6" t="s">
        <v>103</v>
      </c>
      <c r="R3" s="6">
        <v>10313</v>
      </c>
      <c r="S3" s="6" t="s">
        <v>104</v>
      </c>
    </row>
    <row r="4" spans="1:19" x14ac:dyDescent="0.3">
      <c r="A4" s="7" t="s">
        <v>105</v>
      </c>
      <c r="B4" s="7" t="s">
        <v>106</v>
      </c>
      <c r="C4" s="7" t="s">
        <v>107</v>
      </c>
      <c r="D4" s="7" t="s">
        <v>108</v>
      </c>
      <c r="E4" s="7" t="s">
        <v>41</v>
      </c>
      <c r="F4" s="7" t="s">
        <v>5648</v>
      </c>
      <c r="G4" s="7">
        <v>16356579</v>
      </c>
      <c r="H4" s="7" t="s">
        <v>4275</v>
      </c>
      <c r="I4" s="7">
        <v>8474639</v>
      </c>
      <c r="J4" s="7">
        <v>5528606</v>
      </c>
      <c r="K4" s="7">
        <v>1478019</v>
      </c>
      <c r="L4" s="7">
        <v>4968576</v>
      </c>
      <c r="M4" s="7">
        <v>0.28999999999999998</v>
      </c>
      <c r="N4" s="7">
        <v>14975211</v>
      </c>
      <c r="O4" s="7">
        <v>45</v>
      </c>
      <c r="P4" s="7">
        <v>26</v>
      </c>
      <c r="Q4" s="7" t="s">
        <v>109</v>
      </c>
      <c r="R4" s="7">
        <v>10304</v>
      </c>
      <c r="S4" s="7" t="s">
        <v>110</v>
      </c>
    </row>
    <row r="5" spans="1:19" x14ac:dyDescent="0.3">
      <c r="A5" s="6" t="s">
        <v>111</v>
      </c>
      <c r="B5" s="6" t="s">
        <v>112</v>
      </c>
      <c r="C5" s="6" t="s">
        <v>101</v>
      </c>
      <c r="D5" s="6" t="s">
        <v>102</v>
      </c>
      <c r="E5" s="6" t="s">
        <v>113</v>
      </c>
      <c r="F5" s="6" t="s">
        <v>5649</v>
      </c>
      <c r="G5" s="6">
        <v>6816611</v>
      </c>
      <c r="H5" s="6">
        <v>5626720</v>
      </c>
      <c r="I5" s="6">
        <v>7100172</v>
      </c>
      <c r="J5" s="6">
        <v>12068195</v>
      </c>
      <c r="K5" s="6" t="s">
        <v>4274</v>
      </c>
      <c r="L5" s="6">
        <v>13508738</v>
      </c>
      <c r="M5" s="6">
        <v>0.24</v>
      </c>
      <c r="N5" s="6">
        <v>8307501</v>
      </c>
      <c r="O5" s="6">
        <v>66</v>
      </c>
      <c r="P5" s="6">
        <v>35</v>
      </c>
      <c r="Q5" s="6" t="s">
        <v>114</v>
      </c>
      <c r="R5" s="6">
        <v>17302</v>
      </c>
      <c r="S5" s="6" t="s">
        <v>110</v>
      </c>
    </row>
    <row r="6" spans="1:19" x14ac:dyDescent="0.3">
      <c r="A6" s="7" t="s">
        <v>115</v>
      </c>
      <c r="B6" s="7" t="s">
        <v>116</v>
      </c>
      <c r="C6" s="7" t="s">
        <v>101</v>
      </c>
      <c r="D6" s="7" t="s">
        <v>117</v>
      </c>
      <c r="E6" s="7" t="s">
        <v>36</v>
      </c>
      <c r="F6" s="7" t="s">
        <v>5650</v>
      </c>
      <c r="G6" s="7">
        <v>17444428</v>
      </c>
      <c r="H6" s="7">
        <v>13004203</v>
      </c>
      <c r="I6" s="7">
        <v>4810548</v>
      </c>
      <c r="J6" s="7">
        <v>9055587</v>
      </c>
      <c r="K6" s="7">
        <v>12106635</v>
      </c>
      <c r="L6" s="7"/>
      <c r="M6" s="7">
        <v>0.6</v>
      </c>
      <c r="N6" s="7">
        <v>14831913</v>
      </c>
      <c r="O6" s="7">
        <v>18</v>
      </c>
      <c r="P6" s="7">
        <v>10</v>
      </c>
      <c r="Q6" s="7" t="s">
        <v>118</v>
      </c>
      <c r="R6" s="7">
        <v>24536</v>
      </c>
      <c r="S6" s="7" t="s">
        <v>104</v>
      </c>
    </row>
    <row r="7" spans="1:19" x14ac:dyDescent="0.3">
      <c r="A7" s="6" t="s">
        <v>119</v>
      </c>
      <c r="B7" s="6" t="s">
        <v>120</v>
      </c>
      <c r="C7" s="6" t="s">
        <v>121</v>
      </c>
      <c r="D7" s="6" t="s">
        <v>117</v>
      </c>
      <c r="E7" s="6" t="s">
        <v>52</v>
      </c>
      <c r="F7" s="6" t="s">
        <v>5651</v>
      </c>
      <c r="G7" s="6">
        <v>35084521</v>
      </c>
      <c r="H7" s="6">
        <v>10571467</v>
      </c>
      <c r="I7" s="6">
        <v>11551513</v>
      </c>
      <c r="J7" s="6">
        <v>14613900</v>
      </c>
      <c r="K7" s="6">
        <v>10278236</v>
      </c>
      <c r="L7" s="6">
        <v>14828884</v>
      </c>
      <c r="M7" s="6" t="s">
        <v>4275</v>
      </c>
      <c r="N7" s="6">
        <v>19502837</v>
      </c>
      <c r="O7" s="6">
        <v>20</v>
      </c>
      <c r="P7" s="6">
        <v>13</v>
      </c>
      <c r="Q7" s="6" t="s">
        <v>122</v>
      </c>
      <c r="R7" s="6">
        <v>19370</v>
      </c>
      <c r="S7" s="6" t="s">
        <v>110</v>
      </c>
    </row>
    <row r="8" spans="1:19" x14ac:dyDescent="0.3">
      <c r="A8" s="7" t="s">
        <v>123</v>
      </c>
      <c r="B8" s="7" t="s">
        <v>124</v>
      </c>
      <c r="C8" s="7" t="s">
        <v>107</v>
      </c>
      <c r="D8" s="7" t="s">
        <v>108</v>
      </c>
      <c r="E8" s="7" t="s">
        <v>113</v>
      </c>
      <c r="F8" s="7" t="s">
        <v>5652</v>
      </c>
      <c r="G8" s="7">
        <v>36688908</v>
      </c>
      <c r="H8" s="7">
        <v>3647873</v>
      </c>
      <c r="I8" s="7">
        <v>13773770</v>
      </c>
      <c r="J8" s="7">
        <v>7089369</v>
      </c>
      <c r="K8" s="7">
        <v>4964828</v>
      </c>
      <c r="L8" s="7">
        <v>1006670</v>
      </c>
      <c r="M8" s="7">
        <v>0.3</v>
      </c>
      <c r="N8" s="7">
        <v>16439916</v>
      </c>
      <c r="O8" s="7">
        <v>14</v>
      </c>
      <c r="P8" s="7">
        <v>26</v>
      </c>
      <c r="Q8" s="7" t="s">
        <v>125</v>
      </c>
      <c r="R8" s="7">
        <v>20833</v>
      </c>
      <c r="S8" s="7" t="s">
        <v>126</v>
      </c>
    </row>
    <row r="9" spans="1:19" x14ac:dyDescent="0.3">
      <c r="A9" s="6" t="s">
        <v>127</v>
      </c>
      <c r="B9" s="6" t="s">
        <v>128</v>
      </c>
      <c r="C9" s="6" t="s">
        <v>107</v>
      </c>
      <c r="D9" s="6" t="s">
        <v>102</v>
      </c>
      <c r="E9" s="6" t="s">
        <v>113</v>
      </c>
      <c r="F9" s="6" t="s">
        <v>5653</v>
      </c>
      <c r="G9" s="6">
        <v>6718952</v>
      </c>
      <c r="H9" s="6">
        <v>2359697</v>
      </c>
      <c r="I9" s="6">
        <v>2660610</v>
      </c>
      <c r="J9" s="6">
        <v>12734715</v>
      </c>
      <c r="K9" s="6">
        <v>7564627</v>
      </c>
      <c r="L9" s="6">
        <v>5522839</v>
      </c>
      <c r="M9" s="6">
        <v>0.49</v>
      </c>
      <c r="N9" s="6">
        <v>4811314</v>
      </c>
      <c r="O9" s="6">
        <v>58</v>
      </c>
      <c r="P9" s="6">
        <v>39</v>
      </c>
      <c r="Q9" s="6" t="s">
        <v>129</v>
      </c>
      <c r="R9" s="6">
        <v>12538</v>
      </c>
      <c r="S9" s="6"/>
    </row>
    <row r="10" spans="1:19" x14ac:dyDescent="0.3">
      <c r="A10" s="7" t="s">
        <v>130</v>
      </c>
      <c r="B10" s="7" t="s">
        <v>131</v>
      </c>
      <c r="C10" s="7" t="s">
        <v>107</v>
      </c>
      <c r="D10" s="7" t="s">
        <v>117</v>
      </c>
      <c r="E10" s="7" t="s">
        <v>41</v>
      </c>
      <c r="F10" s="7" t="s">
        <v>5654</v>
      </c>
      <c r="G10" s="7">
        <v>37989285</v>
      </c>
      <c r="H10" s="7">
        <v>7211316</v>
      </c>
      <c r="I10" s="7">
        <v>4595555</v>
      </c>
      <c r="J10" s="7">
        <v>1710599</v>
      </c>
      <c r="K10" s="7">
        <v>8422606</v>
      </c>
      <c r="L10" s="7">
        <v>6054130</v>
      </c>
      <c r="M10" s="7">
        <v>0.61</v>
      </c>
      <c r="N10" s="7">
        <v>7766756</v>
      </c>
      <c r="O10" s="7">
        <v>46</v>
      </c>
      <c r="P10" s="7">
        <v>20</v>
      </c>
      <c r="Q10" s="7" t="s">
        <v>132</v>
      </c>
      <c r="R10" s="7">
        <v>19974</v>
      </c>
      <c r="S10" s="7"/>
    </row>
    <row r="11" spans="1:19" x14ac:dyDescent="0.3">
      <c r="A11" s="6" t="s">
        <v>133</v>
      </c>
      <c r="B11" s="6" t="s">
        <v>134</v>
      </c>
      <c r="C11" s="6" t="s">
        <v>107</v>
      </c>
      <c r="D11" s="6" t="s">
        <v>108</v>
      </c>
      <c r="E11" s="6" t="s">
        <v>52</v>
      </c>
      <c r="F11" s="6" t="s">
        <v>5655</v>
      </c>
      <c r="G11" s="6">
        <v>19700661</v>
      </c>
      <c r="H11" s="6">
        <v>6439459</v>
      </c>
      <c r="I11" s="6">
        <v>6604993</v>
      </c>
      <c r="J11" s="6">
        <v>14206809</v>
      </c>
      <c r="K11" s="6">
        <v>6196574</v>
      </c>
      <c r="L11" s="6">
        <v>1459194</v>
      </c>
      <c r="M11" s="6">
        <v>0.39</v>
      </c>
      <c r="N11" s="6">
        <v>3941217</v>
      </c>
      <c r="O11" s="6">
        <v>7</v>
      </c>
      <c r="P11" s="6">
        <v>27</v>
      </c>
      <c r="Q11" s="6" t="s">
        <v>135</v>
      </c>
      <c r="R11" s="6">
        <v>21350</v>
      </c>
      <c r="S11" s="6"/>
    </row>
    <row r="12" spans="1:19" x14ac:dyDescent="0.3">
      <c r="A12" s="7" t="s">
        <v>136</v>
      </c>
      <c r="B12" s="7" t="s">
        <v>137</v>
      </c>
      <c r="C12" s="7" t="s">
        <v>107</v>
      </c>
      <c r="D12" s="7" t="s">
        <v>108</v>
      </c>
      <c r="E12" s="7" t="s">
        <v>20</v>
      </c>
      <c r="F12" s="7" t="s">
        <v>5656</v>
      </c>
      <c r="G12" s="7">
        <v>48038301</v>
      </c>
      <c r="H12" s="7">
        <v>10217122</v>
      </c>
      <c r="I12" s="7">
        <v>11454640</v>
      </c>
      <c r="J12" s="7">
        <v>6151960</v>
      </c>
      <c r="K12" s="7">
        <v>11002622</v>
      </c>
      <c r="L12" s="7">
        <v>3235944</v>
      </c>
      <c r="M12" s="7">
        <v>0.42</v>
      </c>
      <c r="N12" s="7">
        <v>17411912</v>
      </c>
      <c r="O12" s="7">
        <v>12</v>
      </c>
      <c r="P12" s="7">
        <v>12</v>
      </c>
      <c r="Q12" s="7" t="s">
        <v>138</v>
      </c>
      <c r="R12" s="7">
        <v>21490</v>
      </c>
      <c r="S12" s="7" t="s">
        <v>126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1333-E1F0-42AD-B75B-854DEEBCA314}">
  <dimension ref="A1:O86"/>
  <sheetViews>
    <sheetView showGridLines="0" topLeftCell="B2" workbookViewId="0">
      <selection activeCell="G20" sqref="G20"/>
    </sheetView>
  </sheetViews>
  <sheetFormatPr defaultRowHeight="14.4" x14ac:dyDescent="0.3"/>
  <cols>
    <col min="1" max="1" width="16.21875" customWidth="1"/>
    <col min="2" max="2" width="13.44140625" customWidth="1"/>
    <col min="3" max="3" width="17.44140625" customWidth="1"/>
    <col min="4" max="4" width="14.109375" customWidth="1"/>
    <col min="5" max="5" width="15.21875" customWidth="1"/>
    <col min="6" max="6" width="16.5546875" customWidth="1"/>
    <col min="7" max="7" width="19.6640625" customWidth="1"/>
    <col min="8" max="8" width="15.6640625" customWidth="1"/>
    <col min="9" max="9" width="10.88671875" customWidth="1"/>
    <col min="10" max="10" width="17.44140625" customWidth="1"/>
    <col min="11" max="11" width="18.77734375" customWidth="1"/>
    <col min="12" max="12" width="14.5546875" customWidth="1"/>
    <col min="13" max="13" width="11" customWidth="1"/>
    <col min="14" max="14" width="18.44140625" customWidth="1"/>
    <col min="15" max="15" width="15.88671875" customWidth="1"/>
  </cols>
  <sheetData>
    <row r="1" spans="1:15" ht="39" customHeight="1" x14ac:dyDescent="0.3"/>
    <row r="2" spans="1:15" ht="17.399999999999999" customHeight="1" x14ac:dyDescent="0.3">
      <c r="A2" s="5" t="s">
        <v>139</v>
      </c>
      <c r="B2" s="5" t="s">
        <v>4</v>
      </c>
      <c r="C2" s="5" t="s">
        <v>140</v>
      </c>
      <c r="D2" s="5" t="s">
        <v>141</v>
      </c>
      <c r="E2" s="5" t="s">
        <v>142</v>
      </c>
      <c r="F2" s="5" t="s">
        <v>143</v>
      </c>
      <c r="G2" s="5" t="s">
        <v>144</v>
      </c>
      <c r="H2" s="5" t="s">
        <v>145</v>
      </c>
      <c r="I2" s="5" t="s">
        <v>146</v>
      </c>
      <c r="J2" s="5" t="s">
        <v>147</v>
      </c>
      <c r="K2" s="5" t="s">
        <v>148</v>
      </c>
      <c r="L2" s="5" t="s">
        <v>149</v>
      </c>
      <c r="M2" s="5" t="s">
        <v>150</v>
      </c>
      <c r="N2" s="5" t="s">
        <v>151</v>
      </c>
      <c r="O2" s="5" t="s">
        <v>15</v>
      </c>
    </row>
    <row r="3" spans="1:15" x14ac:dyDescent="0.3">
      <c r="A3" s="6" t="s">
        <v>5657</v>
      </c>
      <c r="B3" s="6" t="s">
        <v>59</v>
      </c>
      <c r="C3" s="6">
        <v>72719</v>
      </c>
      <c r="D3" s="6">
        <v>1230286</v>
      </c>
      <c r="E3" s="6">
        <v>1726267</v>
      </c>
      <c r="F3" s="6">
        <v>943577</v>
      </c>
      <c r="G3" s="6" t="s">
        <v>4275</v>
      </c>
      <c r="H3" s="6">
        <v>85551</v>
      </c>
      <c r="I3" s="6">
        <v>26811</v>
      </c>
      <c r="J3" s="6">
        <v>3434870</v>
      </c>
      <c r="K3" s="6">
        <v>1985394</v>
      </c>
      <c r="L3" s="6">
        <v>-7.0000000000000001E-3</v>
      </c>
      <c r="M3" s="6" t="s">
        <v>152</v>
      </c>
      <c r="N3" s="6"/>
      <c r="O3" s="6" t="s">
        <v>22</v>
      </c>
    </row>
    <row r="4" spans="1:15" x14ac:dyDescent="0.3">
      <c r="A4" s="7" t="s">
        <v>5657</v>
      </c>
      <c r="B4" s="7" t="s">
        <v>41</v>
      </c>
      <c r="C4" s="7">
        <v>251287</v>
      </c>
      <c r="D4" s="7">
        <v>1652677</v>
      </c>
      <c r="E4" s="7">
        <v>778338</v>
      </c>
      <c r="F4" s="7">
        <v>634812</v>
      </c>
      <c r="G4" s="7">
        <v>1584827</v>
      </c>
      <c r="H4" s="7">
        <v>55937</v>
      </c>
      <c r="I4" s="7">
        <v>21028</v>
      </c>
      <c r="J4" s="7">
        <v>2889972</v>
      </c>
      <c r="K4" s="7">
        <v>5143599</v>
      </c>
      <c r="L4" s="7">
        <v>-8.6999999999999994E-2</v>
      </c>
      <c r="M4" s="7" t="s">
        <v>153</v>
      </c>
      <c r="N4" s="7" t="s">
        <v>154</v>
      </c>
      <c r="O4" s="7" t="s">
        <v>22</v>
      </c>
    </row>
    <row r="5" spans="1:15" x14ac:dyDescent="0.3">
      <c r="A5" s="6" t="s">
        <v>5657</v>
      </c>
      <c r="B5" s="6" t="s">
        <v>113</v>
      </c>
      <c r="C5" s="6">
        <v>336916</v>
      </c>
      <c r="D5" s="6">
        <v>662545</v>
      </c>
      <c r="E5" s="6">
        <v>3061935</v>
      </c>
      <c r="F5" s="6">
        <v>505338</v>
      </c>
      <c r="G5" s="6">
        <v>270639</v>
      </c>
      <c r="H5" s="6">
        <v>19277</v>
      </c>
      <c r="I5" s="6">
        <v>23945</v>
      </c>
      <c r="J5" s="6">
        <v>3846625</v>
      </c>
      <c r="K5" s="6">
        <v>1693828</v>
      </c>
      <c r="L5" s="6">
        <v>0.16800000000000001</v>
      </c>
      <c r="M5" s="6" t="s">
        <v>4312</v>
      </c>
      <c r="N5" s="6" t="s">
        <v>4275</v>
      </c>
      <c r="O5" s="6" t="s">
        <v>22</v>
      </c>
    </row>
    <row r="6" spans="1:15" x14ac:dyDescent="0.3">
      <c r="A6" s="7" t="s">
        <v>5657</v>
      </c>
      <c r="B6" s="7" t="s">
        <v>36</v>
      </c>
      <c r="C6" s="7">
        <v>495290</v>
      </c>
      <c r="D6" s="7">
        <v>157597</v>
      </c>
      <c r="E6" s="7">
        <v>838704</v>
      </c>
      <c r="F6" s="7">
        <v>621351</v>
      </c>
      <c r="G6" s="7">
        <v>2612005</v>
      </c>
      <c r="H6" s="7">
        <v>54920</v>
      </c>
      <c r="I6" s="7">
        <v>19629</v>
      </c>
      <c r="J6" s="7">
        <v>6783062</v>
      </c>
      <c r="K6" s="7">
        <v>4217169</v>
      </c>
      <c r="L6" s="7" t="s">
        <v>4374</v>
      </c>
      <c r="M6" s="7" t="s">
        <v>155</v>
      </c>
      <c r="N6" s="7" t="s">
        <v>156</v>
      </c>
      <c r="O6" s="7"/>
    </row>
    <row r="7" spans="1:15" x14ac:dyDescent="0.3">
      <c r="A7" s="6" t="s">
        <v>5657</v>
      </c>
      <c r="B7" s="6" t="s">
        <v>20</v>
      </c>
      <c r="C7" s="6">
        <v>416931</v>
      </c>
      <c r="D7" s="6">
        <v>1992689</v>
      </c>
      <c r="E7" s="6">
        <v>4362612</v>
      </c>
      <c r="F7" s="6">
        <v>167259</v>
      </c>
      <c r="G7" s="6">
        <v>2576190</v>
      </c>
      <c r="H7" s="6">
        <v>61012</v>
      </c>
      <c r="I7" s="6">
        <v>39317</v>
      </c>
      <c r="J7" s="6">
        <v>3056691</v>
      </c>
      <c r="K7" s="6">
        <v>6657167</v>
      </c>
      <c r="L7" s="6">
        <v>0.122</v>
      </c>
      <c r="M7" s="6" t="s">
        <v>152</v>
      </c>
      <c r="N7" s="6" t="s">
        <v>4275</v>
      </c>
      <c r="O7" s="6" t="s">
        <v>22</v>
      </c>
    </row>
    <row r="8" spans="1:15" x14ac:dyDescent="0.3">
      <c r="A8" s="7" t="s">
        <v>5657</v>
      </c>
      <c r="B8" s="7" t="s">
        <v>52</v>
      </c>
      <c r="C8" s="7">
        <v>355150</v>
      </c>
      <c r="D8" s="7">
        <v>1245242</v>
      </c>
      <c r="E8" s="7">
        <v>4692931</v>
      </c>
      <c r="F8" s="7">
        <v>892050</v>
      </c>
      <c r="G8" s="7">
        <v>2357357</v>
      </c>
      <c r="H8" s="7">
        <v>43776</v>
      </c>
      <c r="I8" s="7">
        <v>15833</v>
      </c>
      <c r="J8" s="7">
        <v>6276418</v>
      </c>
      <c r="K8" s="7">
        <v>6972700</v>
      </c>
      <c r="L8" s="7">
        <v>-9.0999999999999998E-2</v>
      </c>
      <c r="M8" s="7" t="s">
        <v>155</v>
      </c>
      <c r="N8" s="7"/>
      <c r="O8" s="7" t="s">
        <v>157</v>
      </c>
    </row>
    <row r="9" spans="1:15" x14ac:dyDescent="0.3">
      <c r="A9" s="6" t="s">
        <v>5658</v>
      </c>
      <c r="B9" s="6" t="s">
        <v>59</v>
      </c>
      <c r="C9" s="6">
        <v>436134</v>
      </c>
      <c r="D9" s="6">
        <v>1613559</v>
      </c>
      <c r="E9" s="6">
        <v>4012522</v>
      </c>
      <c r="F9" s="6">
        <v>956687</v>
      </c>
      <c r="G9" s="6" t="s">
        <v>4275</v>
      </c>
      <c r="H9" s="6">
        <v>88002</v>
      </c>
      <c r="I9" s="6">
        <v>30621</v>
      </c>
      <c r="J9" s="6">
        <v>5349582</v>
      </c>
      <c r="K9" s="6">
        <v>8265507</v>
      </c>
      <c r="L9" s="6">
        <v>1.2E-2</v>
      </c>
      <c r="M9" s="6" t="s">
        <v>4276</v>
      </c>
      <c r="N9" s="6" t="s">
        <v>4275</v>
      </c>
      <c r="O9" s="6"/>
    </row>
    <row r="10" spans="1:15" x14ac:dyDescent="0.3">
      <c r="A10" s="7" t="s">
        <v>5658</v>
      </c>
      <c r="B10" s="7" t="s">
        <v>5659</v>
      </c>
      <c r="C10" s="7">
        <v>378788</v>
      </c>
      <c r="D10" s="7">
        <v>437935</v>
      </c>
      <c r="E10" s="7">
        <v>4235397</v>
      </c>
      <c r="F10" s="7">
        <v>472267</v>
      </c>
      <c r="G10" s="7">
        <v>378685</v>
      </c>
      <c r="H10" s="7">
        <v>56680</v>
      </c>
      <c r="I10" s="7">
        <v>41598</v>
      </c>
      <c r="J10" s="7">
        <v>2882888</v>
      </c>
      <c r="K10" s="7">
        <v>8777761</v>
      </c>
      <c r="L10" s="7">
        <v>0.108</v>
      </c>
      <c r="M10" s="7" t="s">
        <v>4312</v>
      </c>
      <c r="N10" s="7" t="s">
        <v>4275</v>
      </c>
      <c r="O10" s="7" t="s">
        <v>157</v>
      </c>
    </row>
    <row r="11" spans="1:15" x14ac:dyDescent="0.3">
      <c r="A11" s="6" t="s">
        <v>5658</v>
      </c>
      <c r="B11" s="6" t="s">
        <v>113</v>
      </c>
      <c r="C11" s="6">
        <v>355831</v>
      </c>
      <c r="D11" s="6">
        <v>719688</v>
      </c>
      <c r="E11" s="6">
        <v>4390243</v>
      </c>
      <c r="F11" s="6">
        <v>878660</v>
      </c>
      <c r="G11" s="6">
        <v>2827974</v>
      </c>
      <c r="H11" s="6">
        <v>68222</v>
      </c>
      <c r="I11" s="6">
        <v>15875</v>
      </c>
      <c r="J11" s="6">
        <v>2733108</v>
      </c>
      <c r="K11" s="6" t="s">
        <v>158</v>
      </c>
      <c r="L11" s="6">
        <v>0.19400000000000001</v>
      </c>
      <c r="M11" s="6" t="s">
        <v>4312</v>
      </c>
      <c r="N11" s="6" t="s">
        <v>156</v>
      </c>
      <c r="O11" s="6" t="s">
        <v>157</v>
      </c>
    </row>
    <row r="12" spans="1:15" x14ac:dyDescent="0.3">
      <c r="A12" s="7" t="s">
        <v>5658</v>
      </c>
      <c r="B12" s="7" t="s">
        <v>36</v>
      </c>
      <c r="C12" s="7">
        <v>471209</v>
      </c>
      <c r="D12" s="7">
        <v>979067</v>
      </c>
      <c r="E12" s="7">
        <v>2029994</v>
      </c>
      <c r="F12" s="7">
        <v>346902</v>
      </c>
      <c r="G12" s="7">
        <v>245182</v>
      </c>
      <c r="H12" s="7">
        <v>59061</v>
      </c>
      <c r="I12" s="7"/>
      <c r="J12" s="7">
        <v>1489051</v>
      </c>
      <c r="K12" s="7" t="s">
        <v>158</v>
      </c>
      <c r="L12" s="7">
        <v>-4.7E-2</v>
      </c>
      <c r="M12" s="7" t="s">
        <v>159</v>
      </c>
      <c r="N12" s="7" t="s">
        <v>4275</v>
      </c>
      <c r="O12" s="7" t="s">
        <v>160</v>
      </c>
    </row>
    <row r="13" spans="1:15" x14ac:dyDescent="0.3">
      <c r="A13" s="6" t="s">
        <v>5658</v>
      </c>
      <c r="B13" s="6" t="s">
        <v>20</v>
      </c>
      <c r="C13" s="6">
        <v>135227</v>
      </c>
      <c r="D13" s="6">
        <v>1054072</v>
      </c>
      <c r="E13" s="6">
        <v>4430637</v>
      </c>
      <c r="F13" s="6">
        <v>923278</v>
      </c>
      <c r="G13" s="6">
        <v>900463</v>
      </c>
      <c r="H13" s="6">
        <v>27950</v>
      </c>
      <c r="I13" s="6">
        <v>12648</v>
      </c>
      <c r="J13" s="6">
        <v>3681638</v>
      </c>
      <c r="K13" s="6">
        <v>8656566</v>
      </c>
      <c r="L13" s="6">
        <v>2.5999999999999999E-2</v>
      </c>
      <c r="M13" s="6" t="s">
        <v>4319</v>
      </c>
      <c r="N13" s="6" t="s">
        <v>154</v>
      </c>
      <c r="O13" s="6" t="s">
        <v>22</v>
      </c>
    </row>
    <row r="14" spans="1:15" x14ac:dyDescent="0.3">
      <c r="A14" s="7" t="s">
        <v>5658</v>
      </c>
      <c r="B14" s="7" t="s">
        <v>52</v>
      </c>
      <c r="C14" s="7">
        <v>445509</v>
      </c>
      <c r="D14" s="7">
        <v>196785</v>
      </c>
      <c r="E14" s="7">
        <v>574831</v>
      </c>
      <c r="F14" s="7">
        <v>633357</v>
      </c>
      <c r="G14" s="7">
        <v>1882174</v>
      </c>
      <c r="H14" s="7">
        <v>25703</v>
      </c>
      <c r="I14" s="7">
        <v>8903</v>
      </c>
      <c r="J14" s="7">
        <v>3607661</v>
      </c>
      <c r="K14" s="7">
        <v>1847555</v>
      </c>
      <c r="L14" s="7">
        <v>0.09</v>
      </c>
      <c r="M14" s="7" t="s">
        <v>4294</v>
      </c>
      <c r="N14" s="7" t="s">
        <v>161</v>
      </c>
      <c r="O14" s="7"/>
    </row>
    <row r="15" spans="1:15" x14ac:dyDescent="0.3">
      <c r="A15" s="6" t="s">
        <v>5660</v>
      </c>
      <c r="B15" s="6" t="s">
        <v>59</v>
      </c>
      <c r="C15" s="6">
        <v>404165</v>
      </c>
      <c r="D15" s="6">
        <v>1669132</v>
      </c>
      <c r="E15" s="6">
        <v>2343596</v>
      </c>
      <c r="F15" s="6">
        <v>356890</v>
      </c>
      <c r="G15" s="6" t="s">
        <v>4275</v>
      </c>
      <c r="H15" s="6">
        <v>55051</v>
      </c>
      <c r="I15" s="6">
        <v>2786</v>
      </c>
      <c r="J15" s="6">
        <v>4589194</v>
      </c>
      <c r="K15" s="6">
        <v>6292074</v>
      </c>
      <c r="L15" s="6" t="s">
        <v>4374</v>
      </c>
      <c r="M15" s="6" t="s">
        <v>4303</v>
      </c>
      <c r="N15" s="6" t="s">
        <v>4275</v>
      </c>
      <c r="O15" s="6" t="s">
        <v>22</v>
      </c>
    </row>
    <row r="16" spans="1:15" x14ac:dyDescent="0.3">
      <c r="A16" s="7" t="s">
        <v>5660</v>
      </c>
      <c r="B16" s="7" t="s">
        <v>41</v>
      </c>
      <c r="C16" s="7">
        <v>76255</v>
      </c>
      <c r="D16" s="7"/>
      <c r="E16" s="7">
        <v>2949648</v>
      </c>
      <c r="F16" s="7">
        <v>778684</v>
      </c>
      <c r="G16" s="7">
        <v>1678045</v>
      </c>
      <c r="H16" s="7">
        <v>74988</v>
      </c>
      <c r="I16" s="7">
        <v>22992</v>
      </c>
      <c r="J16" s="7">
        <v>5688849</v>
      </c>
      <c r="K16" s="7">
        <v>2941974</v>
      </c>
      <c r="L16" s="7">
        <v>0.14599999999999999</v>
      </c>
      <c r="M16" s="7" t="s">
        <v>153</v>
      </c>
      <c r="N16" s="7" t="s">
        <v>161</v>
      </c>
      <c r="O16" s="7" t="s">
        <v>157</v>
      </c>
    </row>
    <row r="17" spans="1:15" x14ac:dyDescent="0.3">
      <c r="A17" s="6" t="s">
        <v>5660</v>
      </c>
      <c r="B17" s="6" t="s">
        <v>113</v>
      </c>
      <c r="C17" s="6">
        <v>300777</v>
      </c>
      <c r="D17" s="6">
        <v>741290</v>
      </c>
      <c r="E17" s="6">
        <v>1167553</v>
      </c>
      <c r="F17" s="6">
        <v>192111</v>
      </c>
      <c r="G17" s="6">
        <v>348013</v>
      </c>
      <c r="H17" s="6">
        <v>71532</v>
      </c>
      <c r="I17" s="6">
        <v>1164</v>
      </c>
      <c r="J17" s="6">
        <v>2269021</v>
      </c>
      <c r="K17" s="6">
        <v>2814645</v>
      </c>
      <c r="L17" s="6" t="s">
        <v>4374</v>
      </c>
      <c r="M17" s="6" t="s">
        <v>4303</v>
      </c>
      <c r="N17" s="6" t="s">
        <v>156</v>
      </c>
      <c r="O17" s="6" t="s">
        <v>157</v>
      </c>
    </row>
    <row r="18" spans="1:15" x14ac:dyDescent="0.3">
      <c r="A18" s="7" t="s">
        <v>5660</v>
      </c>
      <c r="B18" s="7" t="s">
        <v>36</v>
      </c>
      <c r="C18" s="7">
        <v>64389</v>
      </c>
      <c r="D18" s="7">
        <v>1619250</v>
      </c>
      <c r="E18" s="7">
        <v>3799182</v>
      </c>
      <c r="F18" s="7">
        <v>545560</v>
      </c>
      <c r="G18" s="7">
        <v>115448</v>
      </c>
      <c r="H18" s="7">
        <v>91762</v>
      </c>
      <c r="I18" s="7">
        <v>44945</v>
      </c>
      <c r="J18" s="7">
        <v>5181135</v>
      </c>
      <c r="K18" s="7">
        <v>8603105</v>
      </c>
      <c r="L18" s="7">
        <v>-0.14299999999999999</v>
      </c>
      <c r="M18" s="7" t="s">
        <v>152</v>
      </c>
      <c r="N18" s="7" t="s">
        <v>4275</v>
      </c>
      <c r="O18" s="7" t="s">
        <v>157</v>
      </c>
    </row>
    <row r="19" spans="1:15" x14ac:dyDescent="0.3">
      <c r="A19" s="6" t="s">
        <v>5660</v>
      </c>
      <c r="B19" s="6" t="s">
        <v>20</v>
      </c>
      <c r="C19" s="6">
        <v>415150</v>
      </c>
      <c r="D19" s="6">
        <v>573874</v>
      </c>
      <c r="E19" s="6">
        <v>3532323</v>
      </c>
      <c r="F19" s="6">
        <v>683203</v>
      </c>
      <c r="G19" s="6">
        <v>9476</v>
      </c>
      <c r="H19" s="6">
        <v>93388</v>
      </c>
      <c r="I19" s="6">
        <v>7294</v>
      </c>
      <c r="J19" s="6">
        <v>3908891</v>
      </c>
      <c r="K19" s="6">
        <v>6405661</v>
      </c>
      <c r="L19" s="6">
        <v>7.3999999999999996E-2</v>
      </c>
      <c r="M19" s="6" t="s">
        <v>162</v>
      </c>
      <c r="N19" s="6" t="s">
        <v>4275</v>
      </c>
      <c r="O19" s="6" t="s">
        <v>157</v>
      </c>
    </row>
    <row r="20" spans="1:15" x14ac:dyDescent="0.3">
      <c r="A20" s="7" t="s">
        <v>5660</v>
      </c>
      <c r="B20" s="7" t="s">
        <v>52</v>
      </c>
      <c r="C20" s="7">
        <v>488690</v>
      </c>
      <c r="D20" s="7"/>
      <c r="E20" s="7">
        <v>3355404</v>
      </c>
      <c r="F20" s="7">
        <v>768124</v>
      </c>
      <c r="G20" s="7" t="s">
        <v>4275</v>
      </c>
      <c r="H20" s="7">
        <v>18169</v>
      </c>
      <c r="I20" s="7">
        <v>2370</v>
      </c>
      <c r="J20" s="7">
        <v>6448361</v>
      </c>
      <c r="K20" s="7">
        <v>810939</v>
      </c>
      <c r="L20" s="7">
        <v>0.17100000000000001</v>
      </c>
      <c r="M20" s="7" t="s">
        <v>162</v>
      </c>
      <c r="N20" s="7" t="s">
        <v>156</v>
      </c>
      <c r="O20" s="7" t="s">
        <v>160</v>
      </c>
    </row>
    <row r="21" spans="1:15" x14ac:dyDescent="0.3">
      <c r="A21" s="6" t="s">
        <v>5661</v>
      </c>
      <c r="B21" s="6" t="s">
        <v>59</v>
      </c>
      <c r="C21" s="6">
        <v>327697</v>
      </c>
      <c r="D21" s="6">
        <v>1557635</v>
      </c>
      <c r="E21" s="6">
        <v>2432213</v>
      </c>
      <c r="F21" s="6">
        <v>843986</v>
      </c>
      <c r="G21" s="6">
        <v>2342598</v>
      </c>
      <c r="H21" s="6">
        <v>24064</v>
      </c>
      <c r="I21" s="6">
        <v>30092</v>
      </c>
      <c r="J21" s="6">
        <v>3033264</v>
      </c>
      <c r="K21" s="6" t="s">
        <v>158</v>
      </c>
      <c r="L21" s="6">
        <v>2.7E-2</v>
      </c>
      <c r="M21" s="6" t="s">
        <v>155</v>
      </c>
      <c r="N21" s="6" t="s">
        <v>154</v>
      </c>
      <c r="O21" s="6" t="s">
        <v>22</v>
      </c>
    </row>
    <row r="22" spans="1:15" x14ac:dyDescent="0.3">
      <c r="A22" s="7" t="s">
        <v>5661</v>
      </c>
      <c r="B22" s="7" t="s">
        <v>41</v>
      </c>
      <c r="C22" s="7">
        <v>294893</v>
      </c>
      <c r="D22" s="7">
        <v>889832</v>
      </c>
      <c r="E22" s="7">
        <v>3800757</v>
      </c>
      <c r="F22" s="7">
        <v>143678</v>
      </c>
      <c r="G22" s="7">
        <v>2518277</v>
      </c>
      <c r="H22" s="7">
        <v>57223</v>
      </c>
      <c r="I22" s="7">
        <v>15582</v>
      </c>
      <c r="J22" s="7">
        <v>1928129</v>
      </c>
      <c r="K22" s="7">
        <v>4356542</v>
      </c>
      <c r="L22" s="7">
        <v>-0.128</v>
      </c>
      <c r="M22" s="7" t="s">
        <v>4276</v>
      </c>
      <c r="N22" s="7" t="s">
        <v>161</v>
      </c>
      <c r="O22" s="7"/>
    </row>
    <row r="23" spans="1:15" x14ac:dyDescent="0.3">
      <c r="A23" s="6" t="s">
        <v>5661</v>
      </c>
      <c r="B23" s="6" t="s">
        <v>113</v>
      </c>
      <c r="C23" s="6">
        <v>474654</v>
      </c>
      <c r="D23" s="6">
        <v>183586</v>
      </c>
      <c r="E23" s="6">
        <v>1830060</v>
      </c>
      <c r="F23" s="6">
        <v>157321</v>
      </c>
      <c r="G23" s="6">
        <v>2106722</v>
      </c>
      <c r="H23" s="6">
        <v>97589</v>
      </c>
      <c r="I23" s="6"/>
      <c r="J23" s="6">
        <v>5165866</v>
      </c>
      <c r="K23" s="6">
        <v>6749961</v>
      </c>
      <c r="L23" s="6">
        <v>7.0999999999999994E-2</v>
      </c>
      <c r="M23" s="6"/>
      <c r="N23" s="6"/>
      <c r="O23" s="6"/>
    </row>
    <row r="24" spans="1:15" x14ac:dyDescent="0.3">
      <c r="A24" s="7" t="s">
        <v>5661</v>
      </c>
      <c r="B24" s="7" t="s">
        <v>36</v>
      </c>
      <c r="C24" s="7">
        <v>330576</v>
      </c>
      <c r="D24" s="7">
        <v>1525075</v>
      </c>
      <c r="E24" s="7">
        <v>718543</v>
      </c>
      <c r="F24" s="7">
        <v>333731</v>
      </c>
      <c r="G24" s="7">
        <v>2141546</v>
      </c>
      <c r="H24" s="7">
        <v>16470</v>
      </c>
      <c r="I24" s="7">
        <v>31809</v>
      </c>
      <c r="J24" s="7">
        <v>7526508</v>
      </c>
      <c r="K24" s="7">
        <v>1783336</v>
      </c>
      <c r="L24" s="7">
        <v>-0.10299999999999999</v>
      </c>
      <c r="M24" s="7" t="s">
        <v>155</v>
      </c>
      <c r="N24" s="7" t="s">
        <v>154</v>
      </c>
      <c r="O24" s="7"/>
    </row>
    <row r="25" spans="1:15" x14ac:dyDescent="0.3">
      <c r="A25" s="6" t="s">
        <v>5661</v>
      </c>
      <c r="B25" s="6" t="s">
        <v>20</v>
      </c>
      <c r="C25" s="6">
        <v>454664</v>
      </c>
      <c r="D25" s="6">
        <v>1102709</v>
      </c>
      <c r="E25" s="6">
        <v>2106456</v>
      </c>
      <c r="F25" s="6">
        <v>852140</v>
      </c>
      <c r="G25" s="6">
        <v>1650747</v>
      </c>
      <c r="H25" s="6">
        <v>51016</v>
      </c>
      <c r="I25" s="6">
        <v>33196</v>
      </c>
      <c r="J25" s="6">
        <v>2057634</v>
      </c>
      <c r="K25" s="6">
        <v>2203085</v>
      </c>
      <c r="L25" s="6">
        <v>-4.3999999999999997E-2</v>
      </c>
      <c r="M25" s="6" t="s">
        <v>4276</v>
      </c>
      <c r="N25" s="6" t="s">
        <v>161</v>
      </c>
      <c r="O25" s="6" t="s">
        <v>163</v>
      </c>
    </row>
    <row r="26" spans="1:15" x14ac:dyDescent="0.3">
      <c r="A26" s="7" t="s">
        <v>5661</v>
      </c>
      <c r="B26" s="7" t="s">
        <v>52</v>
      </c>
      <c r="C26" s="7">
        <v>100298</v>
      </c>
      <c r="D26" s="7">
        <v>1289030</v>
      </c>
      <c r="E26" s="7">
        <v>3169040</v>
      </c>
      <c r="F26" s="7">
        <v>659205</v>
      </c>
      <c r="G26" s="7">
        <v>2635718</v>
      </c>
      <c r="H26" s="7">
        <v>98248</v>
      </c>
      <c r="I26" s="7">
        <v>12882</v>
      </c>
      <c r="J26" s="7">
        <v>2719545</v>
      </c>
      <c r="K26" s="7">
        <v>4952453</v>
      </c>
      <c r="L26" s="7">
        <v>0.14299999999999999</v>
      </c>
      <c r="M26" s="7" t="s">
        <v>153</v>
      </c>
      <c r="N26" s="7" t="s">
        <v>4275</v>
      </c>
      <c r="O26" s="7" t="s">
        <v>157</v>
      </c>
    </row>
    <row r="27" spans="1:15" x14ac:dyDescent="0.3">
      <c r="A27" s="6" t="s">
        <v>5662</v>
      </c>
      <c r="B27" s="6" t="s">
        <v>59</v>
      </c>
      <c r="C27" s="6">
        <v>350756</v>
      </c>
      <c r="D27" s="6">
        <v>1554217</v>
      </c>
      <c r="E27" s="6">
        <v>1273396</v>
      </c>
      <c r="F27" s="6">
        <v>968234</v>
      </c>
      <c r="G27" s="6">
        <v>1614608</v>
      </c>
      <c r="H27" s="6">
        <v>96877</v>
      </c>
      <c r="I27" s="6">
        <v>36414</v>
      </c>
      <c r="J27" s="6">
        <v>3743501</v>
      </c>
      <c r="K27" s="6" t="s">
        <v>158</v>
      </c>
      <c r="L27" s="6">
        <v>0.17499999999999999</v>
      </c>
      <c r="M27" s="6" t="s">
        <v>159</v>
      </c>
      <c r="N27" s="6"/>
      <c r="O27" s="6" t="s">
        <v>22</v>
      </c>
    </row>
    <row r="28" spans="1:15" x14ac:dyDescent="0.3">
      <c r="A28" s="7" t="s">
        <v>5662</v>
      </c>
      <c r="B28" s="7" t="s">
        <v>41</v>
      </c>
      <c r="C28" s="7">
        <v>472104</v>
      </c>
      <c r="D28" s="7">
        <v>339846</v>
      </c>
      <c r="E28" s="7">
        <v>4248729</v>
      </c>
      <c r="F28" s="7">
        <v>417054</v>
      </c>
      <c r="G28" s="7">
        <v>254239</v>
      </c>
      <c r="H28" s="7">
        <v>50097</v>
      </c>
      <c r="I28" s="7">
        <v>12460</v>
      </c>
      <c r="J28" s="7">
        <v>965183</v>
      </c>
      <c r="K28" s="7">
        <v>1041882</v>
      </c>
      <c r="L28" s="7">
        <v>-0.154</v>
      </c>
      <c r="M28" s="7" t="s">
        <v>4294</v>
      </c>
      <c r="N28" s="7" t="s">
        <v>156</v>
      </c>
      <c r="O28" s="7"/>
    </row>
    <row r="29" spans="1:15" x14ac:dyDescent="0.3">
      <c r="A29" s="6" t="s">
        <v>5662</v>
      </c>
      <c r="B29" s="6" t="s">
        <v>113</v>
      </c>
      <c r="C29" s="6">
        <v>167419</v>
      </c>
      <c r="D29" s="6">
        <v>1606758</v>
      </c>
      <c r="E29" s="6">
        <v>2774665</v>
      </c>
      <c r="F29" s="6">
        <v>255782</v>
      </c>
      <c r="G29" s="6">
        <v>1112067</v>
      </c>
      <c r="H29" s="6">
        <v>25313</v>
      </c>
      <c r="I29" s="6">
        <v>46282</v>
      </c>
      <c r="J29" s="6">
        <v>3502942</v>
      </c>
      <c r="K29" s="6">
        <v>4145930</v>
      </c>
      <c r="L29" s="6">
        <v>2.7E-2</v>
      </c>
      <c r="M29" s="6" t="s">
        <v>4276</v>
      </c>
      <c r="N29" s="6" t="s">
        <v>156</v>
      </c>
      <c r="O29" s="6" t="s">
        <v>163</v>
      </c>
    </row>
    <row r="30" spans="1:15" x14ac:dyDescent="0.3">
      <c r="A30" s="7" t="s">
        <v>5662</v>
      </c>
      <c r="B30" s="7" t="s">
        <v>4325</v>
      </c>
      <c r="C30" s="7">
        <v>463916</v>
      </c>
      <c r="D30" s="7">
        <v>1865950</v>
      </c>
      <c r="E30" s="7">
        <v>1518115</v>
      </c>
      <c r="F30" s="7">
        <v>783709</v>
      </c>
      <c r="G30" s="7">
        <v>1805491</v>
      </c>
      <c r="H30" s="7">
        <v>80509</v>
      </c>
      <c r="I30" s="7">
        <v>41325</v>
      </c>
      <c r="J30" s="7">
        <v>5013662</v>
      </c>
      <c r="K30" s="7">
        <v>1607248</v>
      </c>
      <c r="L30" s="7">
        <v>0.155</v>
      </c>
      <c r="M30" s="7" t="s">
        <v>152</v>
      </c>
      <c r="N30" s="7" t="s">
        <v>4275</v>
      </c>
      <c r="O30" s="7" t="s">
        <v>163</v>
      </c>
    </row>
    <row r="31" spans="1:15" x14ac:dyDescent="0.3">
      <c r="A31" s="6" t="s">
        <v>5662</v>
      </c>
      <c r="B31" s="6" t="s">
        <v>20</v>
      </c>
      <c r="C31" s="6">
        <v>76840</v>
      </c>
      <c r="D31" s="6">
        <v>1004135</v>
      </c>
      <c r="E31" s="6">
        <v>798345</v>
      </c>
      <c r="F31" s="6">
        <v>146837</v>
      </c>
      <c r="G31" s="6">
        <v>2895465</v>
      </c>
      <c r="H31" s="6">
        <v>67264</v>
      </c>
      <c r="I31" s="6">
        <v>33607</v>
      </c>
      <c r="J31" s="6">
        <v>948654</v>
      </c>
      <c r="K31" s="6">
        <v>5306836</v>
      </c>
      <c r="L31" s="6" t="s">
        <v>4374</v>
      </c>
      <c r="M31" s="6" t="s">
        <v>159</v>
      </c>
      <c r="N31" s="6" t="s">
        <v>4275</v>
      </c>
      <c r="O31" s="6" t="s">
        <v>163</v>
      </c>
    </row>
    <row r="32" spans="1:15" x14ac:dyDescent="0.3">
      <c r="A32" s="7" t="s">
        <v>5662</v>
      </c>
      <c r="B32" s="7" t="s">
        <v>52</v>
      </c>
      <c r="C32" s="7" t="s">
        <v>4275</v>
      </c>
      <c r="D32" s="7">
        <v>491423</v>
      </c>
      <c r="E32" s="7">
        <v>356807</v>
      </c>
      <c r="F32" s="7">
        <v>656810</v>
      </c>
      <c r="G32" s="7" t="s">
        <v>4275</v>
      </c>
      <c r="H32" s="7">
        <v>97986</v>
      </c>
      <c r="I32" s="7">
        <v>9002</v>
      </c>
      <c r="J32" s="7">
        <v>7523207</v>
      </c>
      <c r="K32" s="7">
        <v>4681614</v>
      </c>
      <c r="L32" s="7">
        <v>0.113</v>
      </c>
      <c r="M32" s="7" t="s">
        <v>162</v>
      </c>
      <c r="N32" s="7" t="s">
        <v>161</v>
      </c>
      <c r="O32" s="7"/>
    </row>
    <row r="33" spans="1:15" x14ac:dyDescent="0.3">
      <c r="A33" s="6" t="s">
        <v>5663</v>
      </c>
      <c r="B33" s="6" t="s">
        <v>59</v>
      </c>
      <c r="C33" s="6">
        <v>78156</v>
      </c>
      <c r="D33" s="6">
        <v>584893</v>
      </c>
      <c r="E33" s="6">
        <v>868348</v>
      </c>
      <c r="F33" s="6">
        <v>535127</v>
      </c>
      <c r="G33" s="6">
        <v>2268968</v>
      </c>
      <c r="H33" s="6">
        <v>73089</v>
      </c>
      <c r="I33" s="6">
        <v>12769</v>
      </c>
      <c r="J33" s="6">
        <v>4938675</v>
      </c>
      <c r="K33" s="6">
        <v>8139560</v>
      </c>
      <c r="L33" s="6" t="s">
        <v>4374</v>
      </c>
      <c r="M33" s="6"/>
      <c r="N33" s="6" t="s">
        <v>161</v>
      </c>
      <c r="O33" s="6" t="s">
        <v>22</v>
      </c>
    </row>
    <row r="34" spans="1:15" x14ac:dyDescent="0.3">
      <c r="A34" s="7" t="s">
        <v>5663</v>
      </c>
      <c r="B34" s="7" t="s">
        <v>41</v>
      </c>
      <c r="C34" s="7">
        <v>259252</v>
      </c>
      <c r="D34" s="7">
        <v>147184</v>
      </c>
      <c r="E34" s="7">
        <v>257713</v>
      </c>
      <c r="F34" s="7"/>
      <c r="G34" s="7">
        <v>2827186</v>
      </c>
      <c r="H34" s="7">
        <v>65148</v>
      </c>
      <c r="I34" s="7">
        <v>19462</v>
      </c>
      <c r="J34" s="7">
        <v>1819350</v>
      </c>
      <c r="K34" s="7">
        <v>8062907</v>
      </c>
      <c r="L34" s="7">
        <v>4.2999999999999997E-2</v>
      </c>
      <c r="M34" s="7" t="s">
        <v>4294</v>
      </c>
      <c r="N34" s="7" t="s">
        <v>156</v>
      </c>
      <c r="O34" s="7" t="s">
        <v>22</v>
      </c>
    </row>
    <row r="35" spans="1:15" x14ac:dyDescent="0.3">
      <c r="A35" s="6" t="s">
        <v>5663</v>
      </c>
      <c r="B35" s="6" t="s">
        <v>113</v>
      </c>
      <c r="C35" s="6">
        <v>357745</v>
      </c>
      <c r="D35" s="6">
        <v>237654</v>
      </c>
      <c r="E35" s="6">
        <v>1778949</v>
      </c>
      <c r="F35" s="6">
        <v>388318</v>
      </c>
      <c r="G35" s="6">
        <v>285642</v>
      </c>
      <c r="H35" s="6">
        <v>34594</v>
      </c>
      <c r="I35" s="6">
        <v>47860</v>
      </c>
      <c r="J35" s="6">
        <v>4363388</v>
      </c>
      <c r="K35" s="6">
        <v>4781432</v>
      </c>
      <c r="L35" s="6">
        <v>6.9000000000000006E-2</v>
      </c>
      <c r="M35" s="6" t="s">
        <v>4276</v>
      </c>
      <c r="N35" s="6" t="s">
        <v>161</v>
      </c>
      <c r="O35" s="6" t="s">
        <v>160</v>
      </c>
    </row>
    <row r="36" spans="1:15" x14ac:dyDescent="0.3">
      <c r="A36" s="7" t="s">
        <v>5663</v>
      </c>
      <c r="B36" s="7" t="s">
        <v>36</v>
      </c>
      <c r="C36" s="7">
        <v>166872</v>
      </c>
      <c r="D36" s="7">
        <v>635844</v>
      </c>
      <c r="E36" s="7">
        <v>547700</v>
      </c>
      <c r="F36" s="7">
        <v>802542</v>
      </c>
      <c r="G36" s="7">
        <v>2123435</v>
      </c>
      <c r="H36" s="7">
        <v>52522</v>
      </c>
      <c r="I36" s="7">
        <v>5165</v>
      </c>
      <c r="J36" s="7">
        <v>577997</v>
      </c>
      <c r="K36" s="7">
        <v>2954033</v>
      </c>
      <c r="L36" s="7">
        <v>-0.159</v>
      </c>
      <c r="M36" s="7" t="s">
        <v>152</v>
      </c>
      <c r="N36" s="7" t="s">
        <v>161</v>
      </c>
      <c r="O36" s="7" t="s">
        <v>160</v>
      </c>
    </row>
    <row r="37" spans="1:15" x14ac:dyDescent="0.3">
      <c r="A37" s="6" t="s">
        <v>5663</v>
      </c>
      <c r="B37" s="6" t="s">
        <v>20</v>
      </c>
      <c r="C37" s="6">
        <v>92044</v>
      </c>
      <c r="D37" s="6">
        <v>1851363</v>
      </c>
      <c r="E37" s="6">
        <v>3835239</v>
      </c>
      <c r="F37" s="6">
        <v>913960</v>
      </c>
      <c r="G37" s="6">
        <v>46623</v>
      </c>
      <c r="H37" s="6">
        <v>78284</v>
      </c>
      <c r="I37" s="6">
        <v>45594</v>
      </c>
      <c r="J37" s="6">
        <v>1630199</v>
      </c>
      <c r="K37" s="6">
        <v>6082594</v>
      </c>
      <c r="L37" s="6">
        <v>0.14599999999999999</v>
      </c>
      <c r="M37" s="6" t="s">
        <v>4294</v>
      </c>
      <c r="N37" s="6"/>
      <c r="O37" s="6" t="s">
        <v>163</v>
      </c>
    </row>
    <row r="38" spans="1:15" x14ac:dyDescent="0.3">
      <c r="A38" s="7" t="s">
        <v>5663</v>
      </c>
      <c r="B38" s="7" t="s">
        <v>52</v>
      </c>
      <c r="C38" s="7">
        <v>440423</v>
      </c>
      <c r="D38" s="7">
        <v>1011997</v>
      </c>
      <c r="E38" s="7">
        <v>4703910</v>
      </c>
      <c r="F38" s="7">
        <v>249099</v>
      </c>
      <c r="G38" s="7">
        <v>1977920</v>
      </c>
      <c r="H38" s="7">
        <v>73687</v>
      </c>
      <c r="I38" s="7">
        <v>47952</v>
      </c>
      <c r="J38" s="7">
        <v>1439274</v>
      </c>
      <c r="K38" s="7" t="s">
        <v>158</v>
      </c>
      <c r="L38" s="7">
        <v>0.17399999999999999</v>
      </c>
      <c r="M38" s="7" t="s">
        <v>4303</v>
      </c>
      <c r="N38" s="7" t="s">
        <v>154</v>
      </c>
      <c r="O38" s="7"/>
    </row>
    <row r="39" spans="1:15" x14ac:dyDescent="0.3">
      <c r="A39" s="6" t="s">
        <v>5664</v>
      </c>
      <c r="B39" s="6" t="s">
        <v>59</v>
      </c>
      <c r="C39" s="6">
        <v>301835</v>
      </c>
      <c r="D39" s="6">
        <v>697606</v>
      </c>
      <c r="E39" s="6">
        <v>3735011</v>
      </c>
      <c r="F39" s="6">
        <v>261321</v>
      </c>
      <c r="G39" s="6" t="s">
        <v>4275</v>
      </c>
      <c r="H39" s="6">
        <v>78373</v>
      </c>
      <c r="I39" s="6">
        <v>46602</v>
      </c>
      <c r="J39" s="6">
        <v>3393717</v>
      </c>
      <c r="K39" s="6">
        <v>1629359</v>
      </c>
      <c r="L39" s="6">
        <v>4.5999999999999999E-2</v>
      </c>
      <c r="M39" s="6"/>
      <c r="N39" s="6" t="s">
        <v>156</v>
      </c>
      <c r="O39" s="6"/>
    </row>
    <row r="40" spans="1:15" x14ac:dyDescent="0.3">
      <c r="A40" s="7" t="s">
        <v>5664</v>
      </c>
      <c r="B40" s="7" t="s">
        <v>41</v>
      </c>
      <c r="C40" s="7">
        <v>228883</v>
      </c>
      <c r="D40" s="7">
        <v>1549169</v>
      </c>
      <c r="E40" s="7">
        <v>3360234</v>
      </c>
      <c r="F40" s="7">
        <v>653900</v>
      </c>
      <c r="G40" s="7">
        <v>1001373</v>
      </c>
      <c r="H40" s="7">
        <v>8273</v>
      </c>
      <c r="I40" s="7">
        <v>28903</v>
      </c>
      <c r="J40" s="7">
        <v>1046944</v>
      </c>
      <c r="K40" s="7">
        <v>629433</v>
      </c>
      <c r="L40" s="7">
        <v>6.0999999999999999E-2</v>
      </c>
      <c r="M40" s="7" t="s">
        <v>4319</v>
      </c>
      <c r="N40" s="7"/>
      <c r="O40" s="7" t="s">
        <v>163</v>
      </c>
    </row>
    <row r="41" spans="1:15" x14ac:dyDescent="0.3">
      <c r="A41" s="6" t="s">
        <v>5664</v>
      </c>
      <c r="B41" s="6" t="s">
        <v>113</v>
      </c>
      <c r="C41" s="6">
        <v>492132</v>
      </c>
      <c r="D41" s="6">
        <v>1073160</v>
      </c>
      <c r="E41" s="6">
        <v>1201141</v>
      </c>
      <c r="F41" s="6">
        <v>115338</v>
      </c>
      <c r="G41" s="6">
        <v>2729252</v>
      </c>
      <c r="H41" s="6">
        <v>43854</v>
      </c>
      <c r="I41" s="6">
        <v>32955</v>
      </c>
      <c r="J41" s="6">
        <v>2167441</v>
      </c>
      <c r="K41" s="6">
        <v>810547</v>
      </c>
      <c r="L41" s="6">
        <v>-8.0000000000000002E-3</v>
      </c>
      <c r="M41" s="6" t="s">
        <v>162</v>
      </c>
      <c r="N41" s="6"/>
      <c r="O41" s="6" t="s">
        <v>160</v>
      </c>
    </row>
    <row r="42" spans="1:15" x14ac:dyDescent="0.3">
      <c r="A42" s="7" t="s">
        <v>5664</v>
      </c>
      <c r="B42" s="7" t="s">
        <v>36</v>
      </c>
      <c r="C42" s="7">
        <v>193254</v>
      </c>
      <c r="D42" s="7">
        <v>790846</v>
      </c>
      <c r="E42" s="7">
        <v>3230924</v>
      </c>
      <c r="F42" s="7">
        <v>168960</v>
      </c>
      <c r="G42" s="7">
        <v>949709</v>
      </c>
      <c r="H42" s="7">
        <v>14067</v>
      </c>
      <c r="I42" s="7">
        <v>27769</v>
      </c>
      <c r="J42" s="7">
        <v>6731195</v>
      </c>
      <c r="K42" s="7">
        <v>4903079</v>
      </c>
      <c r="L42" s="7">
        <v>-0.10199999999999999</v>
      </c>
      <c r="M42" s="7" t="s">
        <v>155</v>
      </c>
      <c r="N42" s="7" t="s">
        <v>4275</v>
      </c>
      <c r="O42" s="7" t="s">
        <v>160</v>
      </c>
    </row>
    <row r="43" spans="1:15" x14ac:dyDescent="0.3">
      <c r="A43" s="6" t="s">
        <v>5664</v>
      </c>
      <c r="B43" s="6" t="s">
        <v>20</v>
      </c>
      <c r="C43" s="6">
        <v>310194</v>
      </c>
      <c r="D43" s="6">
        <v>1761052</v>
      </c>
      <c r="E43" s="6">
        <v>1836909</v>
      </c>
      <c r="F43" s="6">
        <v>570912</v>
      </c>
      <c r="G43" s="6">
        <v>1986286</v>
      </c>
      <c r="H43" s="6">
        <v>68165</v>
      </c>
      <c r="I43" s="6">
        <v>4508</v>
      </c>
      <c r="J43" s="6">
        <v>3083846</v>
      </c>
      <c r="K43" s="6">
        <v>8750158</v>
      </c>
      <c r="L43" s="6">
        <v>1E-3</v>
      </c>
      <c r="M43" s="6" t="s">
        <v>4319</v>
      </c>
      <c r="N43" s="6"/>
      <c r="O43" s="6" t="s">
        <v>163</v>
      </c>
    </row>
    <row r="44" spans="1:15" x14ac:dyDescent="0.3">
      <c r="A44" s="7" t="s">
        <v>5664</v>
      </c>
      <c r="B44" s="7" t="s">
        <v>52</v>
      </c>
      <c r="C44" s="7">
        <v>377446</v>
      </c>
      <c r="D44" s="7">
        <v>972951</v>
      </c>
      <c r="E44" s="7">
        <v>2564406</v>
      </c>
      <c r="F44" s="7">
        <v>426832</v>
      </c>
      <c r="G44" s="7">
        <v>2512845</v>
      </c>
      <c r="H44" s="7">
        <v>26276</v>
      </c>
      <c r="I44" s="7">
        <v>2212</v>
      </c>
      <c r="J44" s="7">
        <v>7827152</v>
      </c>
      <c r="K44" s="7">
        <v>4868465</v>
      </c>
      <c r="L44" s="7">
        <v>0.17399999999999999</v>
      </c>
      <c r="M44" s="7" t="s">
        <v>4303</v>
      </c>
      <c r="N44" s="7"/>
      <c r="O44" s="7" t="s">
        <v>22</v>
      </c>
    </row>
    <row r="45" spans="1:15" x14ac:dyDescent="0.3">
      <c r="A45" s="6" t="s">
        <v>5665</v>
      </c>
      <c r="B45" s="6" t="s">
        <v>59</v>
      </c>
      <c r="C45" s="6">
        <v>269059</v>
      </c>
      <c r="D45" s="6">
        <v>1345791</v>
      </c>
      <c r="E45" s="6">
        <v>2715149</v>
      </c>
      <c r="F45" s="6">
        <v>277302</v>
      </c>
      <c r="G45" s="6">
        <v>791981</v>
      </c>
      <c r="H45" s="6">
        <v>57020</v>
      </c>
      <c r="I45" s="6">
        <v>1356</v>
      </c>
      <c r="J45" s="6">
        <v>7784230</v>
      </c>
      <c r="K45" s="6">
        <v>904930</v>
      </c>
      <c r="L45" s="6" t="s">
        <v>4374</v>
      </c>
      <c r="M45" s="6" t="s">
        <v>4361</v>
      </c>
      <c r="N45" s="6" t="s">
        <v>156</v>
      </c>
      <c r="O45" s="6" t="s">
        <v>157</v>
      </c>
    </row>
    <row r="46" spans="1:15" x14ac:dyDescent="0.3">
      <c r="A46" s="7" t="s">
        <v>5665</v>
      </c>
      <c r="B46" s="7" t="s">
        <v>41</v>
      </c>
      <c r="C46" s="7">
        <v>431118</v>
      </c>
      <c r="D46" s="7">
        <v>135830</v>
      </c>
      <c r="E46" s="7">
        <v>1579273</v>
      </c>
      <c r="F46" s="7"/>
      <c r="G46" s="7" t="s">
        <v>4275</v>
      </c>
      <c r="H46" s="7">
        <v>51382</v>
      </c>
      <c r="I46" s="7">
        <v>42099</v>
      </c>
      <c r="J46" s="7">
        <v>5925397</v>
      </c>
      <c r="K46" s="7">
        <v>3157814</v>
      </c>
      <c r="L46" s="7">
        <v>1.4999999999999999E-2</v>
      </c>
      <c r="M46" s="7" t="s">
        <v>4361</v>
      </c>
      <c r="N46" s="7" t="s">
        <v>161</v>
      </c>
      <c r="O46" s="7" t="s">
        <v>157</v>
      </c>
    </row>
    <row r="47" spans="1:15" x14ac:dyDescent="0.3">
      <c r="A47" s="6" t="s">
        <v>5665</v>
      </c>
      <c r="B47" s="6" t="s">
        <v>113</v>
      </c>
      <c r="C47" s="6">
        <v>86630</v>
      </c>
      <c r="D47" s="6">
        <v>1954426</v>
      </c>
      <c r="E47" s="6">
        <v>2246079</v>
      </c>
      <c r="F47" s="6">
        <v>855704</v>
      </c>
      <c r="G47" s="6">
        <v>1808530</v>
      </c>
      <c r="H47" s="6">
        <v>93763</v>
      </c>
      <c r="I47" s="6">
        <v>4880</v>
      </c>
      <c r="J47" s="6">
        <v>6290268</v>
      </c>
      <c r="K47" s="6">
        <v>5980558</v>
      </c>
      <c r="L47" s="6">
        <v>-0.187</v>
      </c>
      <c r="M47" s="6" t="s">
        <v>4276</v>
      </c>
      <c r="N47" s="6" t="s">
        <v>161</v>
      </c>
      <c r="O47" s="6" t="s">
        <v>160</v>
      </c>
    </row>
    <row r="48" spans="1:15" x14ac:dyDescent="0.3">
      <c r="A48" s="7" t="s">
        <v>5665</v>
      </c>
      <c r="B48" s="7" t="s">
        <v>4325</v>
      </c>
      <c r="C48" s="7">
        <v>305749</v>
      </c>
      <c r="D48" s="7">
        <v>175119</v>
      </c>
      <c r="E48" s="7">
        <v>2175980</v>
      </c>
      <c r="F48" s="7">
        <v>587492</v>
      </c>
      <c r="G48" s="7">
        <v>1266641</v>
      </c>
      <c r="H48" s="7">
        <v>81964</v>
      </c>
      <c r="I48" s="7">
        <v>20220</v>
      </c>
      <c r="J48" s="7">
        <v>1036459</v>
      </c>
      <c r="K48" s="7">
        <v>3462599</v>
      </c>
      <c r="L48" s="7">
        <v>1.0999999999999999E-2</v>
      </c>
      <c r="M48" s="7" t="s">
        <v>4276</v>
      </c>
      <c r="N48" s="7" t="s">
        <v>4275</v>
      </c>
      <c r="O48" s="7" t="s">
        <v>163</v>
      </c>
    </row>
    <row r="49" spans="1:15" x14ac:dyDescent="0.3">
      <c r="A49" s="6" t="s">
        <v>5665</v>
      </c>
      <c r="B49" s="6" t="s">
        <v>20</v>
      </c>
      <c r="C49" s="6">
        <v>494791</v>
      </c>
      <c r="D49" s="6">
        <v>110263</v>
      </c>
      <c r="E49" s="6">
        <v>1741548</v>
      </c>
      <c r="F49" s="6">
        <v>203939</v>
      </c>
      <c r="G49" s="6">
        <v>389013</v>
      </c>
      <c r="H49" s="6">
        <v>70250</v>
      </c>
      <c r="I49" s="6">
        <v>44097</v>
      </c>
      <c r="J49" s="6">
        <v>1622650</v>
      </c>
      <c r="K49" s="6">
        <v>2171940</v>
      </c>
      <c r="L49" s="6">
        <v>2.3E-2</v>
      </c>
      <c r="M49" s="6" t="s">
        <v>4319</v>
      </c>
      <c r="N49" s="6" t="s">
        <v>156</v>
      </c>
      <c r="O49" s="6"/>
    </row>
    <row r="50" spans="1:15" x14ac:dyDescent="0.3">
      <c r="A50" s="7" t="s">
        <v>5665</v>
      </c>
      <c r="B50" s="7" t="s">
        <v>52</v>
      </c>
      <c r="C50" s="7">
        <v>60630</v>
      </c>
      <c r="D50" s="7">
        <v>280098</v>
      </c>
      <c r="E50" s="7">
        <v>347991</v>
      </c>
      <c r="F50" s="7">
        <v>722195</v>
      </c>
      <c r="G50" s="7">
        <v>1112526</v>
      </c>
      <c r="H50" s="7">
        <v>65260</v>
      </c>
      <c r="I50" s="7">
        <v>41971</v>
      </c>
      <c r="J50" s="7">
        <v>5322596</v>
      </c>
      <c r="K50" s="7">
        <v>1260349</v>
      </c>
      <c r="L50" s="7">
        <v>-4.9000000000000002E-2</v>
      </c>
      <c r="M50" s="7" t="s">
        <v>162</v>
      </c>
      <c r="N50" s="7" t="s">
        <v>154</v>
      </c>
      <c r="O50" s="7"/>
    </row>
    <row r="51" spans="1:15" x14ac:dyDescent="0.3">
      <c r="A51" s="6" t="s">
        <v>5666</v>
      </c>
      <c r="B51" s="6" t="s">
        <v>59</v>
      </c>
      <c r="C51" s="6">
        <v>421096</v>
      </c>
      <c r="D51" s="6">
        <v>947198</v>
      </c>
      <c r="E51" s="6">
        <v>4522227</v>
      </c>
      <c r="F51" s="6">
        <v>811393</v>
      </c>
      <c r="G51" s="6">
        <v>1095152</v>
      </c>
      <c r="H51" s="6">
        <v>89302</v>
      </c>
      <c r="I51" s="6">
        <v>18944</v>
      </c>
      <c r="J51" s="6">
        <v>3225068</v>
      </c>
      <c r="K51" s="6">
        <v>5839195</v>
      </c>
      <c r="L51" s="6">
        <v>0.13600000000000001</v>
      </c>
      <c r="M51" s="6" t="s">
        <v>4294</v>
      </c>
      <c r="N51" s="6" t="s">
        <v>154</v>
      </c>
      <c r="O51" s="6" t="s">
        <v>163</v>
      </c>
    </row>
    <row r="52" spans="1:15" x14ac:dyDescent="0.3">
      <c r="A52" s="7" t="s">
        <v>5666</v>
      </c>
      <c r="B52" s="7" t="s">
        <v>5659</v>
      </c>
      <c r="C52" s="7">
        <v>53615</v>
      </c>
      <c r="D52" s="7">
        <v>307816</v>
      </c>
      <c r="E52" s="7">
        <v>3397270</v>
      </c>
      <c r="F52" s="7">
        <v>901671</v>
      </c>
      <c r="G52" s="7">
        <v>988046</v>
      </c>
      <c r="H52" s="7">
        <v>42280</v>
      </c>
      <c r="I52" s="7">
        <v>12573</v>
      </c>
      <c r="J52" s="7">
        <v>3569990</v>
      </c>
      <c r="K52" s="7">
        <v>1183783</v>
      </c>
      <c r="L52" s="7">
        <v>0.16400000000000001</v>
      </c>
      <c r="M52" s="7" t="s">
        <v>4361</v>
      </c>
      <c r="N52" s="7" t="s">
        <v>156</v>
      </c>
      <c r="O52" s="7"/>
    </row>
    <row r="53" spans="1:15" x14ac:dyDescent="0.3">
      <c r="A53" s="6" t="s">
        <v>5666</v>
      </c>
      <c r="B53" s="6" t="s">
        <v>5667</v>
      </c>
      <c r="C53" s="6" t="s">
        <v>4275</v>
      </c>
      <c r="D53" s="6">
        <v>1332444</v>
      </c>
      <c r="E53" s="6">
        <v>3085312</v>
      </c>
      <c r="F53" s="6">
        <v>561812</v>
      </c>
      <c r="G53" s="6">
        <v>2108412</v>
      </c>
      <c r="H53" s="6">
        <v>18383</v>
      </c>
      <c r="I53" s="6">
        <v>49089</v>
      </c>
      <c r="J53" s="6">
        <v>6007874</v>
      </c>
      <c r="K53" s="6">
        <v>5489455</v>
      </c>
      <c r="L53" s="6">
        <v>-3.4000000000000002E-2</v>
      </c>
      <c r="M53" s="6" t="s">
        <v>4303</v>
      </c>
      <c r="N53" s="6" t="s">
        <v>154</v>
      </c>
      <c r="O53" s="6" t="s">
        <v>157</v>
      </c>
    </row>
    <row r="54" spans="1:15" x14ac:dyDescent="0.3">
      <c r="A54" s="7" t="s">
        <v>5668</v>
      </c>
      <c r="B54" s="7" t="s">
        <v>4325</v>
      </c>
      <c r="C54" s="7">
        <v>411901</v>
      </c>
      <c r="D54" s="7">
        <v>1483310</v>
      </c>
      <c r="E54" s="7">
        <v>4183191</v>
      </c>
      <c r="F54" s="7">
        <v>528087</v>
      </c>
      <c r="G54" s="7">
        <v>340049</v>
      </c>
      <c r="H54" s="7">
        <v>38453</v>
      </c>
      <c r="I54" s="7">
        <v>16689</v>
      </c>
      <c r="J54" s="7">
        <v>7714569</v>
      </c>
      <c r="K54" s="7">
        <v>4808070</v>
      </c>
      <c r="L54" s="7">
        <v>-0.13400000000000001</v>
      </c>
      <c r="M54" s="7" t="s">
        <v>159</v>
      </c>
      <c r="N54" s="7" t="s">
        <v>156</v>
      </c>
      <c r="O54" s="7" t="s">
        <v>22</v>
      </c>
    </row>
    <row r="55" spans="1:15" x14ac:dyDescent="0.3">
      <c r="A55" s="6" t="s">
        <v>5666</v>
      </c>
      <c r="B55" s="6" t="s">
        <v>20</v>
      </c>
      <c r="C55" s="6">
        <v>79565</v>
      </c>
      <c r="D55" s="6">
        <v>743558</v>
      </c>
      <c r="E55" s="6">
        <v>212198</v>
      </c>
      <c r="F55" s="6">
        <v>145660</v>
      </c>
      <c r="G55" s="6">
        <v>1596355</v>
      </c>
      <c r="H55" s="6">
        <v>19138</v>
      </c>
      <c r="I55" s="6">
        <v>25479</v>
      </c>
      <c r="J55" s="6">
        <v>5154696</v>
      </c>
      <c r="K55" s="6">
        <v>2098350</v>
      </c>
      <c r="L55" s="6">
        <v>1.7999999999999999E-2</v>
      </c>
      <c r="M55" s="6" t="s">
        <v>4276</v>
      </c>
      <c r="N55" s="6" t="s">
        <v>156</v>
      </c>
      <c r="O55" s="6" t="s">
        <v>22</v>
      </c>
    </row>
    <row r="56" spans="1:15" x14ac:dyDescent="0.3">
      <c r="A56" s="7" t="s">
        <v>5666</v>
      </c>
      <c r="B56" s="7" t="s">
        <v>52</v>
      </c>
      <c r="C56" s="7">
        <v>367423</v>
      </c>
      <c r="D56" s="7">
        <v>802869</v>
      </c>
      <c r="E56" s="7">
        <v>3846785</v>
      </c>
      <c r="F56" s="7"/>
      <c r="G56" s="7">
        <v>2362149</v>
      </c>
      <c r="H56" s="7">
        <v>53358</v>
      </c>
      <c r="I56" s="7">
        <v>18834</v>
      </c>
      <c r="J56" s="7">
        <v>5512455</v>
      </c>
      <c r="K56" s="7">
        <v>6739004</v>
      </c>
      <c r="L56" s="7">
        <v>0.16200000000000001</v>
      </c>
      <c r="M56" s="7" t="s">
        <v>4294</v>
      </c>
      <c r="N56" s="7" t="s">
        <v>4275</v>
      </c>
      <c r="O56" s="7" t="s">
        <v>22</v>
      </c>
    </row>
    <row r="57" spans="1:15" x14ac:dyDescent="0.3">
      <c r="A57" s="6" t="s">
        <v>5669</v>
      </c>
      <c r="B57" s="6" t="s">
        <v>59</v>
      </c>
      <c r="C57" s="6">
        <v>134116</v>
      </c>
      <c r="D57" s="6">
        <v>136231</v>
      </c>
      <c r="E57" s="6">
        <v>580841</v>
      </c>
      <c r="F57" s="6">
        <v>841460</v>
      </c>
      <c r="G57" s="6">
        <v>559954</v>
      </c>
      <c r="H57" s="6">
        <v>28428</v>
      </c>
      <c r="I57" s="6">
        <v>20250</v>
      </c>
      <c r="J57" s="6">
        <v>712697</v>
      </c>
      <c r="K57" s="6">
        <v>6394748</v>
      </c>
      <c r="L57" s="6" t="s">
        <v>4374</v>
      </c>
      <c r="M57" s="6" t="s">
        <v>4303</v>
      </c>
      <c r="N57" s="6" t="s">
        <v>154</v>
      </c>
      <c r="O57" s="6" t="s">
        <v>160</v>
      </c>
    </row>
    <row r="58" spans="1:15" x14ac:dyDescent="0.3">
      <c r="A58" s="7" t="s">
        <v>5669</v>
      </c>
      <c r="B58" s="7" t="s">
        <v>41</v>
      </c>
      <c r="C58" s="7" t="s">
        <v>4275</v>
      </c>
      <c r="D58" s="7">
        <v>329064</v>
      </c>
      <c r="E58" s="7">
        <v>4050478</v>
      </c>
      <c r="F58" s="7">
        <v>244464</v>
      </c>
      <c r="G58" s="7" t="s">
        <v>4275</v>
      </c>
      <c r="H58" s="7">
        <v>44394</v>
      </c>
      <c r="I58" s="7">
        <v>12407</v>
      </c>
      <c r="J58" s="7">
        <v>2072273</v>
      </c>
      <c r="K58" s="7" t="s">
        <v>158</v>
      </c>
      <c r="L58" s="7">
        <v>-8.1000000000000003E-2</v>
      </c>
      <c r="M58" s="7" t="s">
        <v>152</v>
      </c>
      <c r="N58" s="7" t="s">
        <v>156</v>
      </c>
      <c r="O58" s="7" t="s">
        <v>160</v>
      </c>
    </row>
    <row r="59" spans="1:15" x14ac:dyDescent="0.3">
      <c r="A59" s="6" t="s">
        <v>5669</v>
      </c>
      <c r="B59" s="6" t="s">
        <v>113</v>
      </c>
      <c r="C59" s="6">
        <v>298845</v>
      </c>
      <c r="D59" s="6">
        <v>331492</v>
      </c>
      <c r="E59" s="6">
        <v>2208648</v>
      </c>
      <c r="F59" s="6">
        <v>206291</v>
      </c>
      <c r="G59" s="6">
        <v>2948081</v>
      </c>
      <c r="H59" s="6">
        <v>64894</v>
      </c>
      <c r="I59" s="6">
        <v>33310</v>
      </c>
      <c r="J59" s="6">
        <v>1335145</v>
      </c>
      <c r="K59" s="6">
        <v>6946378</v>
      </c>
      <c r="L59" s="6">
        <v>0</v>
      </c>
      <c r="M59" s="6" t="s">
        <v>4294</v>
      </c>
      <c r="N59" s="6"/>
      <c r="O59" s="6" t="s">
        <v>160</v>
      </c>
    </row>
    <row r="60" spans="1:15" x14ac:dyDescent="0.3">
      <c r="A60" s="7" t="s">
        <v>5669</v>
      </c>
      <c r="B60" s="7" t="s">
        <v>36</v>
      </c>
      <c r="C60" s="7">
        <v>159504</v>
      </c>
      <c r="D60" s="7">
        <v>1923125</v>
      </c>
      <c r="E60" s="7">
        <v>3249217</v>
      </c>
      <c r="F60" s="7">
        <v>220978</v>
      </c>
      <c r="G60" s="7">
        <v>1337083</v>
      </c>
      <c r="H60" s="7">
        <v>37355</v>
      </c>
      <c r="I60" s="7">
        <v>22208</v>
      </c>
      <c r="J60" s="7">
        <v>5830168</v>
      </c>
      <c r="K60" s="7">
        <v>6113841</v>
      </c>
      <c r="L60" s="7">
        <v>-9.1999999999999998E-2</v>
      </c>
      <c r="M60" s="7" t="s">
        <v>155</v>
      </c>
      <c r="N60" s="7" t="s">
        <v>154</v>
      </c>
      <c r="O60" s="7" t="s">
        <v>157</v>
      </c>
    </row>
    <row r="61" spans="1:15" x14ac:dyDescent="0.3">
      <c r="A61" s="6" t="s">
        <v>5669</v>
      </c>
      <c r="B61" s="6" t="s">
        <v>20</v>
      </c>
      <c r="C61" s="6">
        <v>116665</v>
      </c>
      <c r="D61" s="6">
        <v>593425</v>
      </c>
      <c r="E61" s="6">
        <v>219105</v>
      </c>
      <c r="F61" s="6">
        <v>587566</v>
      </c>
      <c r="G61" s="6">
        <v>1696107</v>
      </c>
      <c r="H61" s="6">
        <v>9270</v>
      </c>
      <c r="I61" s="6">
        <v>18245</v>
      </c>
      <c r="J61" s="6">
        <v>5955369</v>
      </c>
      <c r="K61" s="6">
        <v>5406503</v>
      </c>
      <c r="L61" s="6">
        <v>-0.13800000000000001</v>
      </c>
      <c r="M61" s="6"/>
      <c r="N61" s="6" t="s">
        <v>161</v>
      </c>
      <c r="O61" s="6" t="s">
        <v>160</v>
      </c>
    </row>
    <row r="62" spans="1:15" x14ac:dyDescent="0.3">
      <c r="A62" s="7" t="s">
        <v>5669</v>
      </c>
      <c r="B62" s="7" t="s">
        <v>52</v>
      </c>
      <c r="C62" s="7">
        <v>459572</v>
      </c>
      <c r="D62" s="7">
        <v>1567027</v>
      </c>
      <c r="E62" s="7">
        <v>4275017</v>
      </c>
      <c r="F62" s="7">
        <v>101127</v>
      </c>
      <c r="G62" s="7">
        <v>1490988</v>
      </c>
      <c r="H62" s="7">
        <v>7192</v>
      </c>
      <c r="I62" s="7">
        <v>1065</v>
      </c>
      <c r="J62" s="7">
        <v>7780679</v>
      </c>
      <c r="K62" s="7">
        <v>6100187</v>
      </c>
      <c r="L62" s="7">
        <v>-6.7000000000000004E-2</v>
      </c>
      <c r="M62" s="7" t="s">
        <v>4276</v>
      </c>
      <c r="N62" s="7" t="s">
        <v>161</v>
      </c>
      <c r="O62" s="7" t="s">
        <v>22</v>
      </c>
    </row>
    <row r="63" spans="1:15" x14ac:dyDescent="0.3">
      <c r="A63" s="6" t="s">
        <v>5670</v>
      </c>
      <c r="B63" s="6" t="s">
        <v>59</v>
      </c>
      <c r="C63" s="6">
        <v>366175</v>
      </c>
      <c r="D63" s="6">
        <v>601077</v>
      </c>
      <c r="E63" s="6">
        <v>4248706</v>
      </c>
      <c r="F63" s="6"/>
      <c r="G63" s="6">
        <v>1066347</v>
      </c>
      <c r="H63" s="6">
        <v>67142</v>
      </c>
      <c r="I63" s="6">
        <v>33922</v>
      </c>
      <c r="J63" s="6">
        <v>7937232</v>
      </c>
      <c r="K63" s="6" t="s">
        <v>158</v>
      </c>
      <c r="L63" s="6">
        <v>0.17899999999999999</v>
      </c>
      <c r="M63" s="6" t="s">
        <v>4303</v>
      </c>
      <c r="N63" s="6" t="s">
        <v>156</v>
      </c>
      <c r="O63" s="6" t="s">
        <v>163</v>
      </c>
    </row>
    <row r="64" spans="1:15" x14ac:dyDescent="0.3">
      <c r="A64" s="7" t="s">
        <v>5670</v>
      </c>
      <c r="B64" s="7" t="s">
        <v>41</v>
      </c>
      <c r="C64" s="7">
        <v>325694</v>
      </c>
      <c r="D64" s="7">
        <v>745868</v>
      </c>
      <c r="E64" s="7">
        <v>453007</v>
      </c>
      <c r="F64" s="7">
        <v>430000</v>
      </c>
      <c r="G64" s="7">
        <v>2661142</v>
      </c>
      <c r="H64" s="7">
        <v>69274</v>
      </c>
      <c r="I64" s="7">
        <v>9157</v>
      </c>
      <c r="J64" s="7">
        <v>2814677</v>
      </c>
      <c r="K64" s="7">
        <v>6096901</v>
      </c>
      <c r="L64" s="7" t="s">
        <v>4374</v>
      </c>
      <c r="M64" s="7" t="s">
        <v>4361</v>
      </c>
      <c r="N64" s="7" t="s">
        <v>154</v>
      </c>
      <c r="O64" s="7" t="s">
        <v>157</v>
      </c>
    </row>
    <row r="65" spans="1:15" x14ac:dyDescent="0.3">
      <c r="A65" s="6" t="s">
        <v>5670</v>
      </c>
      <c r="B65" s="6" t="s">
        <v>113</v>
      </c>
      <c r="C65" s="6">
        <v>68614</v>
      </c>
      <c r="D65" s="6">
        <v>315205</v>
      </c>
      <c r="E65" s="6">
        <v>1233668</v>
      </c>
      <c r="F65" s="6"/>
      <c r="G65" s="6">
        <v>2393203</v>
      </c>
      <c r="H65" s="6">
        <v>73098</v>
      </c>
      <c r="I65" s="6"/>
      <c r="J65" s="6">
        <v>5757777</v>
      </c>
      <c r="K65" s="6">
        <v>5227041</v>
      </c>
      <c r="L65" s="6">
        <v>-4.2000000000000003E-2</v>
      </c>
      <c r="M65" s="6" t="s">
        <v>162</v>
      </c>
      <c r="N65" s="6"/>
      <c r="O65" s="6" t="s">
        <v>160</v>
      </c>
    </row>
    <row r="66" spans="1:15" x14ac:dyDescent="0.3">
      <c r="A66" s="7" t="s">
        <v>5670</v>
      </c>
      <c r="B66" s="7" t="s">
        <v>36</v>
      </c>
      <c r="C66" s="7">
        <v>279125</v>
      </c>
      <c r="D66" s="7">
        <v>513866</v>
      </c>
      <c r="E66" s="7">
        <v>2799622</v>
      </c>
      <c r="F66" s="7">
        <v>485428</v>
      </c>
      <c r="G66" s="7">
        <v>225919</v>
      </c>
      <c r="H66" s="7">
        <v>53993</v>
      </c>
      <c r="I66" s="7">
        <v>33307</v>
      </c>
      <c r="J66" s="7">
        <v>4271726</v>
      </c>
      <c r="K66" s="7">
        <v>1069818</v>
      </c>
      <c r="L66" s="7">
        <v>-6.5000000000000002E-2</v>
      </c>
      <c r="M66" s="7" t="s">
        <v>155</v>
      </c>
      <c r="N66" s="7" t="s">
        <v>154</v>
      </c>
      <c r="O66" s="7" t="s">
        <v>157</v>
      </c>
    </row>
    <row r="67" spans="1:15" x14ac:dyDescent="0.3">
      <c r="A67" s="6" t="s">
        <v>5670</v>
      </c>
      <c r="B67" s="6" t="s">
        <v>20</v>
      </c>
      <c r="C67" s="6">
        <v>364857</v>
      </c>
      <c r="D67" s="6">
        <v>1744370</v>
      </c>
      <c r="E67" s="6">
        <v>1975132</v>
      </c>
      <c r="F67" s="6">
        <v>213083</v>
      </c>
      <c r="G67" s="6">
        <v>196524</v>
      </c>
      <c r="H67" s="6">
        <v>77786</v>
      </c>
      <c r="I67" s="6">
        <v>45692</v>
      </c>
      <c r="J67" s="6">
        <v>841350</v>
      </c>
      <c r="K67" s="6">
        <v>8605669</v>
      </c>
      <c r="L67" s="6">
        <v>0.17100000000000001</v>
      </c>
      <c r="M67" s="6" t="s">
        <v>4319</v>
      </c>
      <c r="N67" s="6" t="s">
        <v>161</v>
      </c>
      <c r="O67" s="6"/>
    </row>
    <row r="68" spans="1:15" x14ac:dyDescent="0.3">
      <c r="A68" s="7" t="s">
        <v>5670</v>
      </c>
      <c r="B68" s="7" t="s">
        <v>52</v>
      </c>
      <c r="C68" s="7">
        <v>343092</v>
      </c>
      <c r="D68" s="7">
        <v>1823378</v>
      </c>
      <c r="E68" s="7">
        <v>4532884</v>
      </c>
      <c r="F68" s="7">
        <v>649120</v>
      </c>
      <c r="G68" s="7">
        <v>2315178</v>
      </c>
      <c r="H68" s="7">
        <v>64360</v>
      </c>
      <c r="I68" s="7">
        <v>46454</v>
      </c>
      <c r="J68" s="7">
        <v>3992287</v>
      </c>
      <c r="K68" s="7">
        <v>7611998</v>
      </c>
      <c r="L68" s="7">
        <v>3.0000000000000001E-3</v>
      </c>
      <c r="M68" s="7" t="s">
        <v>162</v>
      </c>
      <c r="N68" s="7" t="s">
        <v>154</v>
      </c>
      <c r="O68" s="7"/>
    </row>
    <row r="69" spans="1:15" x14ac:dyDescent="0.3">
      <c r="A69" s="6" t="s">
        <v>5671</v>
      </c>
      <c r="B69" s="6" t="s">
        <v>4538</v>
      </c>
      <c r="C69" s="6">
        <v>168046</v>
      </c>
      <c r="D69" s="6">
        <v>238468</v>
      </c>
      <c r="E69" s="6">
        <v>1709347</v>
      </c>
      <c r="F69" s="6">
        <v>876791</v>
      </c>
      <c r="G69" s="6">
        <v>187022</v>
      </c>
      <c r="H69" s="6">
        <v>19166</v>
      </c>
      <c r="I69" s="6">
        <v>18658</v>
      </c>
      <c r="J69" s="6">
        <v>956888</v>
      </c>
      <c r="K69" s="6">
        <v>3742702</v>
      </c>
      <c r="L69" s="6">
        <v>-0.108</v>
      </c>
      <c r="M69" s="6" t="s">
        <v>4303</v>
      </c>
      <c r="N69" s="6" t="s">
        <v>156</v>
      </c>
      <c r="O69" s="6" t="s">
        <v>160</v>
      </c>
    </row>
    <row r="70" spans="1:15" x14ac:dyDescent="0.3">
      <c r="A70" s="7" t="s">
        <v>5671</v>
      </c>
      <c r="B70" s="7" t="s">
        <v>41</v>
      </c>
      <c r="C70" s="7">
        <v>320141</v>
      </c>
      <c r="D70" s="7">
        <v>620384</v>
      </c>
      <c r="E70" s="7">
        <v>2855491</v>
      </c>
      <c r="F70" s="7">
        <v>949008</v>
      </c>
      <c r="G70" s="7">
        <v>1541490</v>
      </c>
      <c r="H70" s="7">
        <v>99589</v>
      </c>
      <c r="I70" s="7">
        <v>6922</v>
      </c>
      <c r="J70" s="7">
        <v>7371598</v>
      </c>
      <c r="K70" s="7">
        <v>4295221</v>
      </c>
      <c r="L70" s="7">
        <v>-5.2999999999999999E-2</v>
      </c>
      <c r="M70" s="7" t="s">
        <v>155</v>
      </c>
      <c r="N70" s="7" t="s">
        <v>156</v>
      </c>
      <c r="O70" s="7" t="s">
        <v>157</v>
      </c>
    </row>
    <row r="71" spans="1:15" x14ac:dyDescent="0.3">
      <c r="A71" s="6" t="s">
        <v>5671</v>
      </c>
      <c r="B71" s="6" t="s">
        <v>5667</v>
      </c>
      <c r="C71" s="6">
        <v>490369</v>
      </c>
      <c r="D71" s="6">
        <v>440568</v>
      </c>
      <c r="E71" s="6">
        <v>291531</v>
      </c>
      <c r="F71" s="6">
        <v>805509</v>
      </c>
      <c r="G71" s="6">
        <v>1592264</v>
      </c>
      <c r="H71" s="6">
        <v>91035</v>
      </c>
      <c r="I71" s="6">
        <v>27125</v>
      </c>
      <c r="J71" s="6">
        <v>1007856</v>
      </c>
      <c r="K71" s="6">
        <v>8640986</v>
      </c>
      <c r="L71" s="6">
        <v>-5.8000000000000003E-2</v>
      </c>
      <c r="M71" s="6"/>
      <c r="N71" s="6"/>
      <c r="O71" s="6" t="s">
        <v>22</v>
      </c>
    </row>
    <row r="72" spans="1:15" x14ac:dyDescent="0.3">
      <c r="A72" s="7" t="s">
        <v>5671</v>
      </c>
      <c r="B72" s="7" t="s">
        <v>36</v>
      </c>
      <c r="C72" s="7">
        <v>98222</v>
      </c>
      <c r="D72" s="7">
        <v>1984805</v>
      </c>
      <c r="E72" s="7">
        <v>4113068</v>
      </c>
      <c r="F72" s="7">
        <v>445209</v>
      </c>
      <c r="G72" s="7">
        <v>384556</v>
      </c>
      <c r="H72" s="7">
        <v>44435</v>
      </c>
      <c r="I72" s="7">
        <v>28479</v>
      </c>
      <c r="J72" s="7">
        <v>1662243</v>
      </c>
      <c r="K72" s="7">
        <v>4201856</v>
      </c>
      <c r="L72" s="7">
        <v>-8.9999999999999993E-3</v>
      </c>
      <c r="M72" s="7"/>
      <c r="N72" s="7" t="s">
        <v>161</v>
      </c>
      <c r="O72" s="7" t="s">
        <v>22</v>
      </c>
    </row>
    <row r="73" spans="1:15" x14ac:dyDescent="0.3">
      <c r="A73" s="6" t="s">
        <v>5671</v>
      </c>
      <c r="B73" s="6" t="s">
        <v>20</v>
      </c>
      <c r="C73" s="6">
        <v>312811</v>
      </c>
      <c r="D73" s="6"/>
      <c r="E73" s="6">
        <v>1698842</v>
      </c>
      <c r="F73" s="6">
        <v>462120</v>
      </c>
      <c r="G73" s="6">
        <v>2591757</v>
      </c>
      <c r="H73" s="6">
        <v>18513</v>
      </c>
      <c r="I73" s="6">
        <v>22077</v>
      </c>
      <c r="J73" s="6">
        <v>6006088</v>
      </c>
      <c r="K73" s="6">
        <v>4739483</v>
      </c>
      <c r="L73" s="6">
        <v>0.19900000000000001</v>
      </c>
      <c r="M73" s="6" t="s">
        <v>4312</v>
      </c>
      <c r="N73" s="6"/>
      <c r="O73" s="6" t="s">
        <v>157</v>
      </c>
    </row>
    <row r="74" spans="1:15" x14ac:dyDescent="0.3">
      <c r="A74" s="7" t="s">
        <v>5671</v>
      </c>
      <c r="B74" s="7" t="s">
        <v>52</v>
      </c>
      <c r="C74" s="7">
        <v>440385</v>
      </c>
      <c r="D74" s="7">
        <v>1029351</v>
      </c>
      <c r="E74" s="7">
        <v>4296450</v>
      </c>
      <c r="F74" s="7">
        <v>123587</v>
      </c>
      <c r="G74" s="7" t="s">
        <v>4275</v>
      </c>
      <c r="H74" s="7">
        <v>35263</v>
      </c>
      <c r="I74" s="7">
        <v>24469</v>
      </c>
      <c r="J74" s="7">
        <v>3940056</v>
      </c>
      <c r="K74" s="7">
        <v>4157969</v>
      </c>
      <c r="L74" s="7">
        <v>-1E-3</v>
      </c>
      <c r="M74" s="7" t="s">
        <v>155</v>
      </c>
      <c r="N74" s="7" t="s">
        <v>154</v>
      </c>
      <c r="O74" s="7" t="s">
        <v>22</v>
      </c>
    </row>
    <row r="75" spans="1:15" x14ac:dyDescent="0.3">
      <c r="A75" s="6" t="s">
        <v>5672</v>
      </c>
      <c r="B75" s="6" t="s">
        <v>59</v>
      </c>
      <c r="C75" s="6">
        <v>63222</v>
      </c>
      <c r="D75" s="6">
        <v>1813626</v>
      </c>
      <c r="E75" s="6">
        <v>459877</v>
      </c>
      <c r="F75" s="6">
        <v>226681</v>
      </c>
      <c r="G75" s="6">
        <v>93046</v>
      </c>
      <c r="H75" s="6">
        <v>14471</v>
      </c>
      <c r="I75" s="6">
        <v>30441</v>
      </c>
      <c r="J75" s="6">
        <v>4377106</v>
      </c>
      <c r="K75" s="6">
        <v>871062</v>
      </c>
      <c r="L75" s="6">
        <v>-4.1000000000000002E-2</v>
      </c>
      <c r="M75" s="6" t="s">
        <v>159</v>
      </c>
      <c r="N75" s="6"/>
      <c r="O75" s="6" t="s">
        <v>160</v>
      </c>
    </row>
    <row r="76" spans="1:15" x14ac:dyDescent="0.3">
      <c r="A76" s="7" t="s">
        <v>5672</v>
      </c>
      <c r="B76" s="7" t="s">
        <v>41</v>
      </c>
      <c r="C76" s="7">
        <v>205108</v>
      </c>
      <c r="D76" s="7">
        <v>303720</v>
      </c>
      <c r="E76" s="7">
        <v>1284907</v>
      </c>
      <c r="F76" s="7">
        <v>375730</v>
      </c>
      <c r="G76" s="7">
        <v>732528</v>
      </c>
      <c r="H76" s="7">
        <v>17250</v>
      </c>
      <c r="I76" s="7">
        <v>49150</v>
      </c>
      <c r="J76" s="7">
        <v>1971489</v>
      </c>
      <c r="K76" s="7">
        <v>8558850</v>
      </c>
      <c r="L76" s="7">
        <v>0.16</v>
      </c>
      <c r="M76" s="7" t="s">
        <v>4361</v>
      </c>
      <c r="N76" s="7" t="s">
        <v>154</v>
      </c>
      <c r="O76" s="7"/>
    </row>
    <row r="77" spans="1:15" x14ac:dyDescent="0.3">
      <c r="A77" s="6" t="s">
        <v>5672</v>
      </c>
      <c r="B77" s="6" t="s">
        <v>113</v>
      </c>
      <c r="C77" s="6">
        <v>438813</v>
      </c>
      <c r="D77" s="6">
        <v>1903652</v>
      </c>
      <c r="E77" s="6">
        <v>4166552</v>
      </c>
      <c r="F77" s="6">
        <v>640686</v>
      </c>
      <c r="G77" s="6">
        <v>2816453</v>
      </c>
      <c r="H77" s="6">
        <v>16304</v>
      </c>
      <c r="I77" s="6">
        <v>32449</v>
      </c>
      <c r="J77" s="6">
        <v>1428752</v>
      </c>
      <c r="K77" s="6">
        <v>7405284</v>
      </c>
      <c r="L77" s="6">
        <v>-8.2000000000000003E-2</v>
      </c>
      <c r="M77" s="6" t="s">
        <v>4312</v>
      </c>
      <c r="N77" s="6" t="s">
        <v>156</v>
      </c>
      <c r="O77" s="6" t="s">
        <v>160</v>
      </c>
    </row>
    <row r="78" spans="1:15" x14ac:dyDescent="0.3">
      <c r="A78" s="7" t="s">
        <v>5672</v>
      </c>
      <c r="B78" s="7" t="s">
        <v>36</v>
      </c>
      <c r="C78" s="7">
        <v>173480</v>
      </c>
      <c r="D78" s="7">
        <v>1542531</v>
      </c>
      <c r="E78" s="7">
        <v>1264546</v>
      </c>
      <c r="F78" s="7">
        <v>673313</v>
      </c>
      <c r="G78" s="7">
        <v>1285450</v>
      </c>
      <c r="H78" s="7">
        <v>50928</v>
      </c>
      <c r="I78" s="7">
        <v>23554</v>
      </c>
      <c r="J78" s="7">
        <v>526741</v>
      </c>
      <c r="K78" s="7">
        <v>4413965</v>
      </c>
      <c r="L78" s="7">
        <v>-0.11600000000000001</v>
      </c>
      <c r="M78" s="7" t="s">
        <v>153</v>
      </c>
      <c r="N78" s="7" t="s">
        <v>156</v>
      </c>
      <c r="O78" s="7" t="s">
        <v>160</v>
      </c>
    </row>
    <row r="79" spans="1:15" x14ac:dyDescent="0.3">
      <c r="A79" s="6" t="s">
        <v>5672</v>
      </c>
      <c r="B79" s="6" t="s">
        <v>20</v>
      </c>
      <c r="C79" s="6">
        <v>134680</v>
      </c>
      <c r="D79" s="6">
        <v>1864039</v>
      </c>
      <c r="E79" s="6">
        <v>1625535</v>
      </c>
      <c r="F79" s="6">
        <v>623186</v>
      </c>
      <c r="G79" s="6">
        <v>653711</v>
      </c>
      <c r="H79" s="6">
        <v>70040</v>
      </c>
      <c r="I79" s="6">
        <v>41306</v>
      </c>
      <c r="J79" s="6">
        <v>4239653</v>
      </c>
      <c r="K79" s="6">
        <v>4281131</v>
      </c>
      <c r="L79" s="6">
        <v>0.16400000000000001</v>
      </c>
      <c r="M79" s="6" t="s">
        <v>4303</v>
      </c>
      <c r="N79" s="6" t="s">
        <v>154</v>
      </c>
      <c r="O79" s="6" t="s">
        <v>22</v>
      </c>
    </row>
    <row r="80" spans="1:15" x14ac:dyDescent="0.3">
      <c r="A80" s="7" t="s">
        <v>5672</v>
      </c>
      <c r="B80" s="7" t="s">
        <v>52</v>
      </c>
      <c r="C80" s="7">
        <v>496342</v>
      </c>
      <c r="D80" s="7">
        <v>354242</v>
      </c>
      <c r="E80" s="7">
        <v>2292141</v>
      </c>
      <c r="F80" s="7">
        <v>65166</v>
      </c>
      <c r="G80" s="7" t="s">
        <v>4275</v>
      </c>
      <c r="H80" s="7">
        <v>53802</v>
      </c>
      <c r="I80" s="7">
        <v>11840</v>
      </c>
      <c r="J80" s="7">
        <v>6533756</v>
      </c>
      <c r="K80" s="7" t="s">
        <v>158</v>
      </c>
      <c r="L80" s="7">
        <v>1.2E-2</v>
      </c>
      <c r="M80" s="7" t="s">
        <v>4276</v>
      </c>
      <c r="N80" s="7" t="s">
        <v>156</v>
      </c>
      <c r="O80" s="7" t="s">
        <v>22</v>
      </c>
    </row>
    <row r="81" spans="1:15" x14ac:dyDescent="0.3">
      <c r="A81" s="6" t="s">
        <v>5673</v>
      </c>
      <c r="B81" s="6" t="s">
        <v>59</v>
      </c>
      <c r="C81" s="6">
        <v>273159</v>
      </c>
      <c r="D81" s="6">
        <v>1627118</v>
      </c>
      <c r="E81" s="6">
        <v>4905138</v>
      </c>
      <c r="F81" s="6">
        <v>452867</v>
      </c>
      <c r="G81" s="6" t="s">
        <v>4275</v>
      </c>
      <c r="H81" s="6">
        <v>91137</v>
      </c>
      <c r="I81" s="6">
        <v>12342</v>
      </c>
      <c r="J81" s="6">
        <v>2447809</v>
      </c>
      <c r="K81" s="6">
        <v>6631681</v>
      </c>
      <c r="L81" s="6">
        <v>-0.10100000000000001</v>
      </c>
      <c r="M81" s="6" t="s">
        <v>4312</v>
      </c>
      <c r="N81" s="6"/>
      <c r="O81" s="6" t="s">
        <v>163</v>
      </c>
    </row>
    <row r="82" spans="1:15" x14ac:dyDescent="0.3">
      <c r="A82" s="7" t="s">
        <v>5673</v>
      </c>
      <c r="B82" s="7" t="s">
        <v>41</v>
      </c>
      <c r="C82" s="7">
        <v>467167</v>
      </c>
      <c r="D82" s="7">
        <v>1042854</v>
      </c>
      <c r="E82" s="7">
        <v>361659</v>
      </c>
      <c r="F82" s="7">
        <v>542458</v>
      </c>
      <c r="G82" s="7">
        <v>2764362</v>
      </c>
      <c r="H82" s="7">
        <v>18463</v>
      </c>
      <c r="I82" s="7">
        <v>6677</v>
      </c>
      <c r="J82" s="7">
        <v>6842536</v>
      </c>
      <c r="K82" s="7">
        <v>3056630</v>
      </c>
      <c r="L82" s="7">
        <v>-0.17799999999999999</v>
      </c>
      <c r="M82" s="7" t="s">
        <v>4294</v>
      </c>
      <c r="N82" s="7" t="s">
        <v>154</v>
      </c>
      <c r="O82" s="7"/>
    </row>
    <row r="83" spans="1:15" x14ac:dyDescent="0.3">
      <c r="A83" s="6" t="s">
        <v>5673</v>
      </c>
      <c r="B83" s="6" t="s">
        <v>113</v>
      </c>
      <c r="C83" s="6">
        <v>166830</v>
      </c>
      <c r="D83" s="6">
        <v>1019037</v>
      </c>
      <c r="E83" s="6">
        <v>2512757</v>
      </c>
      <c r="F83" s="6">
        <v>763681</v>
      </c>
      <c r="G83" s="6">
        <v>1569085</v>
      </c>
      <c r="H83" s="6">
        <v>90215</v>
      </c>
      <c r="I83" s="6">
        <v>29940</v>
      </c>
      <c r="J83" s="6">
        <v>6872662</v>
      </c>
      <c r="K83" s="6">
        <v>3651128</v>
      </c>
      <c r="L83" s="6" t="s">
        <v>4374</v>
      </c>
      <c r="M83" s="6" t="s">
        <v>4303</v>
      </c>
      <c r="N83" s="6"/>
      <c r="O83" s="6" t="s">
        <v>22</v>
      </c>
    </row>
    <row r="84" spans="1:15" x14ac:dyDescent="0.3">
      <c r="A84" s="7" t="s">
        <v>5673</v>
      </c>
      <c r="B84" s="7" t="s">
        <v>36</v>
      </c>
      <c r="C84" s="7">
        <v>328232</v>
      </c>
      <c r="D84" s="7">
        <v>1849756</v>
      </c>
      <c r="E84" s="7">
        <v>3316905</v>
      </c>
      <c r="F84" s="7">
        <v>127125</v>
      </c>
      <c r="G84" s="7">
        <v>1481243</v>
      </c>
      <c r="H84" s="7">
        <v>49009</v>
      </c>
      <c r="I84" s="7">
        <v>7092</v>
      </c>
      <c r="J84" s="7">
        <v>7132744</v>
      </c>
      <c r="K84" s="7">
        <v>6890950</v>
      </c>
      <c r="L84" s="7">
        <v>-0.16900000000000001</v>
      </c>
      <c r="M84" s="7" t="s">
        <v>162</v>
      </c>
      <c r="N84" s="7" t="s">
        <v>4275</v>
      </c>
      <c r="O84" s="7"/>
    </row>
    <row r="85" spans="1:15" x14ac:dyDescent="0.3">
      <c r="A85" s="6" t="s">
        <v>5673</v>
      </c>
      <c r="B85" s="6" t="s">
        <v>20</v>
      </c>
      <c r="C85" s="6">
        <v>303603</v>
      </c>
      <c r="D85" s="6">
        <v>435844</v>
      </c>
      <c r="E85" s="6">
        <v>1655855</v>
      </c>
      <c r="F85" s="6">
        <v>181609</v>
      </c>
      <c r="G85" s="6">
        <v>2897923</v>
      </c>
      <c r="H85" s="6">
        <v>42227</v>
      </c>
      <c r="I85" s="6">
        <v>7475</v>
      </c>
      <c r="J85" s="6">
        <v>5233150</v>
      </c>
      <c r="K85" s="6">
        <v>5724723</v>
      </c>
      <c r="L85" s="6">
        <v>-8.6999999999999994E-2</v>
      </c>
      <c r="M85" s="6" t="s">
        <v>155</v>
      </c>
      <c r="N85" s="6" t="s">
        <v>161</v>
      </c>
      <c r="O85" s="6" t="s">
        <v>160</v>
      </c>
    </row>
    <row r="86" spans="1:15" x14ac:dyDescent="0.3">
      <c r="A86" s="7" t="s">
        <v>5673</v>
      </c>
      <c r="B86" s="7" t="s">
        <v>52</v>
      </c>
      <c r="C86" s="7">
        <v>55495</v>
      </c>
      <c r="D86" s="7"/>
      <c r="E86" s="7">
        <v>2927567</v>
      </c>
      <c r="F86" s="7">
        <v>592877</v>
      </c>
      <c r="G86" s="7">
        <v>56852</v>
      </c>
      <c r="H86" s="7">
        <v>92130</v>
      </c>
      <c r="I86" s="7">
        <v>18905</v>
      </c>
      <c r="J86" s="7">
        <v>6953270</v>
      </c>
      <c r="K86" s="7">
        <v>8221473</v>
      </c>
      <c r="L86" s="7">
        <v>-4.1000000000000002E-2</v>
      </c>
      <c r="M86" s="7" t="s">
        <v>152</v>
      </c>
      <c r="N86" s="7" t="s">
        <v>156</v>
      </c>
      <c r="O86" s="7" t="s">
        <v>160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69D8-0ACE-4BAA-84FC-B3D3A50DEFED}">
  <dimension ref="A1:G115"/>
  <sheetViews>
    <sheetView showGridLines="0" workbookViewId="0">
      <selection activeCell="J9" sqref="J9"/>
    </sheetView>
  </sheetViews>
  <sheetFormatPr defaultRowHeight="14.4" x14ac:dyDescent="0.3"/>
  <cols>
    <col min="1" max="1" width="25.77734375" customWidth="1"/>
    <col min="2" max="2" width="27.77734375" customWidth="1"/>
    <col min="3" max="3" width="13.33203125" customWidth="1"/>
    <col min="4" max="4" width="13" customWidth="1"/>
    <col min="5" max="5" width="11.88671875" style="15" customWidth="1"/>
    <col min="6" max="6" width="13.88671875" customWidth="1"/>
    <col min="7" max="7" width="21.21875" customWidth="1"/>
  </cols>
  <sheetData>
    <row r="1" spans="1:7" ht="37.799999999999997" customHeight="1" x14ac:dyDescent="0.3"/>
    <row r="2" spans="1:7" ht="22.8" customHeight="1" x14ac:dyDescent="0.3">
      <c r="A2" s="20" t="s">
        <v>5680</v>
      </c>
      <c r="B2" s="20" t="s">
        <v>5674</v>
      </c>
      <c r="C2" s="20" t="s">
        <v>5675</v>
      </c>
      <c r="D2" s="20" t="s">
        <v>5676</v>
      </c>
      <c r="E2" s="20" t="s">
        <v>5677</v>
      </c>
      <c r="F2" s="20" t="s">
        <v>5678</v>
      </c>
      <c r="G2" s="20" t="s">
        <v>5679</v>
      </c>
    </row>
    <row r="3" spans="1:7" x14ac:dyDescent="0.3">
      <c r="A3" s="14" t="s">
        <v>5681</v>
      </c>
      <c r="B3" s="14" t="s">
        <v>287</v>
      </c>
      <c r="C3" s="14">
        <v>1000</v>
      </c>
      <c r="D3" s="14">
        <v>0</v>
      </c>
      <c r="E3" s="14">
        <v>0</v>
      </c>
      <c r="F3" s="14">
        <v>1000</v>
      </c>
      <c r="G3" s="14">
        <v>0</v>
      </c>
    </row>
    <row r="4" spans="1:7" x14ac:dyDescent="0.3">
      <c r="A4" s="14" t="s">
        <v>5681</v>
      </c>
      <c r="B4" s="14" t="s">
        <v>288</v>
      </c>
      <c r="C4" s="14">
        <v>1000</v>
      </c>
      <c r="D4" s="14">
        <v>0</v>
      </c>
      <c r="E4" s="14">
        <v>0</v>
      </c>
      <c r="F4" s="14">
        <v>842</v>
      </c>
      <c r="G4" s="14">
        <v>158</v>
      </c>
    </row>
    <row r="5" spans="1:7" x14ac:dyDescent="0.3">
      <c r="A5" s="14" t="s">
        <v>5681</v>
      </c>
      <c r="B5" s="14" t="s">
        <v>164</v>
      </c>
      <c r="C5" s="14">
        <v>1000</v>
      </c>
      <c r="D5" s="14">
        <v>0</v>
      </c>
      <c r="E5" s="14">
        <v>0</v>
      </c>
      <c r="F5" s="14">
        <v>51</v>
      </c>
      <c r="G5" s="14">
        <v>949</v>
      </c>
    </row>
    <row r="6" spans="1:7" x14ac:dyDescent="0.3">
      <c r="A6" s="14" t="s">
        <v>5681</v>
      </c>
      <c r="B6" s="14" t="s">
        <v>165</v>
      </c>
      <c r="C6" s="14">
        <v>1000</v>
      </c>
      <c r="D6" s="14">
        <v>47</v>
      </c>
      <c r="E6" s="14">
        <v>4.7</v>
      </c>
      <c r="F6" s="14">
        <v>20</v>
      </c>
      <c r="G6" s="14">
        <v>979</v>
      </c>
    </row>
    <row r="7" spans="1:7" x14ac:dyDescent="0.3">
      <c r="A7" s="14" t="s">
        <v>5681</v>
      </c>
      <c r="B7" s="14" t="s">
        <v>4</v>
      </c>
      <c r="C7" s="14">
        <v>1000</v>
      </c>
      <c r="D7" s="14">
        <v>136</v>
      </c>
      <c r="E7" s="14">
        <v>13.6</v>
      </c>
      <c r="F7" s="14">
        <v>12</v>
      </c>
      <c r="G7" s="14">
        <v>987</v>
      </c>
    </row>
    <row r="8" spans="1:7" x14ac:dyDescent="0.3">
      <c r="A8" s="14" t="s">
        <v>5681</v>
      </c>
      <c r="B8" s="14" t="s">
        <v>3</v>
      </c>
      <c r="C8" s="14">
        <v>1000</v>
      </c>
      <c r="D8" s="14">
        <v>83</v>
      </c>
      <c r="E8" s="14">
        <v>8.3000000000000007</v>
      </c>
      <c r="F8" s="14">
        <v>11</v>
      </c>
      <c r="G8" s="14">
        <v>988</v>
      </c>
    </row>
    <row r="9" spans="1:7" x14ac:dyDescent="0.3">
      <c r="A9" s="14" t="s">
        <v>5681</v>
      </c>
      <c r="B9" s="14" t="s">
        <v>166</v>
      </c>
      <c r="C9" s="14">
        <v>1000</v>
      </c>
      <c r="D9" s="14">
        <v>48</v>
      </c>
      <c r="E9" s="14">
        <v>4.8</v>
      </c>
      <c r="F9" s="14">
        <v>15</v>
      </c>
      <c r="G9" s="14">
        <v>984</v>
      </c>
    </row>
    <row r="10" spans="1:7" x14ac:dyDescent="0.3">
      <c r="A10" s="14" t="s">
        <v>5681</v>
      </c>
      <c r="B10" s="14" t="s">
        <v>167</v>
      </c>
      <c r="C10" s="14">
        <v>1000</v>
      </c>
      <c r="D10" s="14">
        <v>138</v>
      </c>
      <c r="E10" s="14">
        <v>13.8</v>
      </c>
      <c r="F10" s="14">
        <v>11</v>
      </c>
      <c r="G10" s="14">
        <v>988</v>
      </c>
    </row>
    <row r="11" spans="1:7" x14ac:dyDescent="0.3">
      <c r="A11" s="14" t="s">
        <v>5681</v>
      </c>
      <c r="B11" s="14" t="s">
        <v>168</v>
      </c>
      <c r="C11" s="14">
        <v>1000</v>
      </c>
      <c r="D11" s="14">
        <v>83</v>
      </c>
      <c r="E11" s="14">
        <v>8.3000000000000007</v>
      </c>
      <c r="F11" s="14">
        <v>13</v>
      </c>
      <c r="G11" s="14">
        <v>986</v>
      </c>
    </row>
    <row r="12" spans="1:7" x14ac:dyDescent="0.3">
      <c r="A12" s="14" t="s">
        <v>5681</v>
      </c>
      <c r="B12" s="14" t="s">
        <v>117</v>
      </c>
      <c r="C12" s="14">
        <v>1000</v>
      </c>
      <c r="D12" s="14">
        <v>0</v>
      </c>
      <c r="E12" s="14">
        <v>0</v>
      </c>
      <c r="F12" s="14">
        <v>10</v>
      </c>
      <c r="G12" s="14">
        <v>990</v>
      </c>
    </row>
    <row r="13" spans="1:7" x14ac:dyDescent="0.3">
      <c r="A13" s="14" t="s">
        <v>5681</v>
      </c>
      <c r="B13" s="14" t="s">
        <v>169</v>
      </c>
      <c r="C13" s="14">
        <v>1000</v>
      </c>
      <c r="D13" s="14">
        <v>0</v>
      </c>
      <c r="E13" s="14">
        <v>0</v>
      </c>
      <c r="F13" s="14">
        <v>8</v>
      </c>
      <c r="G13" s="14">
        <v>992</v>
      </c>
    </row>
    <row r="14" spans="1:7" x14ac:dyDescent="0.3">
      <c r="A14" s="14" t="s">
        <v>5681</v>
      </c>
      <c r="B14" s="14" t="s">
        <v>289</v>
      </c>
      <c r="C14" s="14">
        <v>1000</v>
      </c>
      <c r="D14" s="14">
        <v>0</v>
      </c>
      <c r="E14" s="14">
        <v>0</v>
      </c>
      <c r="F14" s="14">
        <v>1000</v>
      </c>
      <c r="G14" s="14">
        <v>0</v>
      </c>
    </row>
    <row r="15" spans="1:7" x14ac:dyDescent="0.3">
      <c r="A15" s="14" t="s">
        <v>5681</v>
      </c>
      <c r="B15" s="14" t="s">
        <v>290</v>
      </c>
      <c r="C15" s="14">
        <v>1000</v>
      </c>
      <c r="D15" s="14">
        <v>0</v>
      </c>
      <c r="E15" s="14">
        <v>0</v>
      </c>
      <c r="F15" s="14">
        <v>867</v>
      </c>
      <c r="G15" s="14">
        <v>133</v>
      </c>
    </row>
    <row r="16" spans="1:7" x14ac:dyDescent="0.3">
      <c r="A16" s="14" t="s">
        <v>5681</v>
      </c>
      <c r="B16" s="14" t="s">
        <v>291</v>
      </c>
      <c r="C16" s="14">
        <v>1000</v>
      </c>
      <c r="D16" s="14">
        <v>302</v>
      </c>
      <c r="E16" s="14">
        <v>30.2</v>
      </c>
      <c r="F16" s="14">
        <v>623</v>
      </c>
      <c r="G16" s="14">
        <v>376</v>
      </c>
    </row>
    <row r="17" spans="1:7" x14ac:dyDescent="0.3">
      <c r="A17" s="14" t="s">
        <v>5681</v>
      </c>
      <c r="B17" s="14" t="s">
        <v>292</v>
      </c>
      <c r="C17" s="14">
        <v>1000</v>
      </c>
      <c r="D17" s="14">
        <v>0</v>
      </c>
      <c r="E17" s="14">
        <v>0</v>
      </c>
      <c r="F17" s="14">
        <v>704</v>
      </c>
      <c r="G17" s="14">
        <v>296</v>
      </c>
    </row>
    <row r="18" spans="1:7" x14ac:dyDescent="0.3">
      <c r="A18" s="14" t="s">
        <v>5681</v>
      </c>
      <c r="B18" s="14" t="s">
        <v>293</v>
      </c>
      <c r="C18" s="14">
        <v>1000</v>
      </c>
      <c r="D18" s="14">
        <v>111</v>
      </c>
      <c r="E18" s="14">
        <v>11.1</v>
      </c>
      <c r="F18" s="14">
        <v>58</v>
      </c>
      <c r="G18" s="14">
        <v>941</v>
      </c>
    </row>
    <row r="19" spans="1:7" x14ac:dyDescent="0.3">
      <c r="A19" s="14" t="s">
        <v>5681</v>
      </c>
      <c r="B19" s="14" t="s">
        <v>294</v>
      </c>
      <c r="C19" s="14">
        <v>1000</v>
      </c>
      <c r="D19" s="14">
        <v>23</v>
      </c>
      <c r="E19" s="14">
        <v>2.2999999999999998</v>
      </c>
      <c r="F19" s="14">
        <v>977</v>
      </c>
      <c r="G19" s="14">
        <v>22</v>
      </c>
    </row>
    <row r="20" spans="1:7" x14ac:dyDescent="0.3">
      <c r="A20" s="14" t="s">
        <v>5681</v>
      </c>
      <c r="B20" s="14" t="s">
        <v>295</v>
      </c>
      <c r="C20" s="14">
        <v>1000</v>
      </c>
      <c r="D20" s="14">
        <v>0</v>
      </c>
      <c r="E20" s="14">
        <v>0</v>
      </c>
      <c r="F20" s="14">
        <v>36</v>
      </c>
      <c r="G20" s="14">
        <v>964</v>
      </c>
    </row>
    <row r="21" spans="1:7" x14ac:dyDescent="0.3">
      <c r="A21" s="14" t="s">
        <v>5681</v>
      </c>
      <c r="B21" s="14" t="s">
        <v>296</v>
      </c>
      <c r="C21" s="14">
        <v>1000</v>
      </c>
      <c r="D21" s="14">
        <v>0</v>
      </c>
      <c r="E21" s="14">
        <v>0</v>
      </c>
      <c r="F21" s="14">
        <v>26</v>
      </c>
      <c r="G21" s="14">
        <v>974</v>
      </c>
    </row>
    <row r="22" spans="1:7" x14ac:dyDescent="0.3">
      <c r="A22" s="14" t="s">
        <v>5681</v>
      </c>
      <c r="B22" s="14" t="s">
        <v>175</v>
      </c>
      <c r="C22" s="14">
        <v>1000</v>
      </c>
      <c r="D22" s="14">
        <v>0</v>
      </c>
      <c r="E22" s="14">
        <v>0</v>
      </c>
      <c r="F22" s="14">
        <v>1000</v>
      </c>
      <c r="G22" s="14">
        <v>0</v>
      </c>
    </row>
    <row r="23" spans="1:7" x14ac:dyDescent="0.3">
      <c r="A23" s="14" t="s">
        <v>5681</v>
      </c>
      <c r="B23" s="14" t="s">
        <v>297</v>
      </c>
      <c r="C23" s="14">
        <v>1000</v>
      </c>
      <c r="D23" s="14">
        <v>58</v>
      </c>
      <c r="E23" s="14">
        <v>5.8</v>
      </c>
      <c r="F23" s="14">
        <v>942</v>
      </c>
      <c r="G23" s="14">
        <v>57</v>
      </c>
    </row>
    <row r="24" spans="1:7" x14ac:dyDescent="0.3">
      <c r="A24" s="14" t="s">
        <v>5681</v>
      </c>
      <c r="B24" s="14" t="s">
        <v>298</v>
      </c>
      <c r="C24" s="14">
        <v>1000</v>
      </c>
      <c r="D24" s="14">
        <v>0</v>
      </c>
      <c r="E24" s="14">
        <v>0</v>
      </c>
      <c r="F24" s="14">
        <v>37</v>
      </c>
      <c r="G24" s="14">
        <v>963</v>
      </c>
    </row>
    <row r="25" spans="1:7" x14ac:dyDescent="0.3">
      <c r="A25" s="14" t="s">
        <v>5681</v>
      </c>
      <c r="B25" s="14" t="s">
        <v>299</v>
      </c>
      <c r="C25" s="14">
        <v>1000</v>
      </c>
      <c r="D25" s="14">
        <v>0</v>
      </c>
      <c r="E25" s="14">
        <v>0</v>
      </c>
      <c r="F25" s="14">
        <v>16</v>
      </c>
      <c r="G25" s="14">
        <v>984</v>
      </c>
    </row>
    <row r="26" spans="1:7" x14ac:dyDescent="0.3">
      <c r="A26" s="14" t="s">
        <v>5681</v>
      </c>
      <c r="B26" s="14" t="s">
        <v>300</v>
      </c>
      <c r="C26" s="14">
        <v>1000</v>
      </c>
      <c r="D26" s="14">
        <v>54</v>
      </c>
      <c r="E26" s="14">
        <v>5.4</v>
      </c>
      <c r="F26" s="14">
        <v>937</v>
      </c>
      <c r="G26" s="14">
        <v>62</v>
      </c>
    </row>
    <row r="27" spans="1:7" x14ac:dyDescent="0.3">
      <c r="A27" s="14" t="s">
        <v>5681</v>
      </c>
      <c r="B27" s="14" t="s">
        <v>301</v>
      </c>
      <c r="C27" s="14">
        <v>1000</v>
      </c>
      <c r="D27" s="14">
        <v>0</v>
      </c>
      <c r="E27" s="14">
        <v>0</v>
      </c>
      <c r="F27" s="14">
        <v>986</v>
      </c>
      <c r="G27" s="14">
        <v>14</v>
      </c>
    </row>
    <row r="28" spans="1:7" x14ac:dyDescent="0.3">
      <c r="A28" s="14" t="s">
        <v>5681</v>
      </c>
      <c r="B28" s="14" t="s">
        <v>302</v>
      </c>
      <c r="C28" s="14">
        <v>1000</v>
      </c>
      <c r="D28" s="14">
        <v>0</v>
      </c>
      <c r="E28" s="14">
        <v>0</v>
      </c>
      <c r="F28" s="14">
        <v>981</v>
      </c>
      <c r="G28" s="14">
        <v>19</v>
      </c>
    </row>
    <row r="29" spans="1:7" x14ac:dyDescent="0.3">
      <c r="A29" s="14" t="s">
        <v>5681</v>
      </c>
      <c r="B29" s="14" t="s">
        <v>303</v>
      </c>
      <c r="C29" s="14">
        <v>1000</v>
      </c>
      <c r="D29" s="14">
        <v>0</v>
      </c>
      <c r="E29" s="14">
        <v>0</v>
      </c>
      <c r="F29" s="14">
        <v>5</v>
      </c>
      <c r="G29" s="14">
        <v>995</v>
      </c>
    </row>
    <row r="30" spans="1:7" x14ac:dyDescent="0.3">
      <c r="A30" s="14" t="s">
        <v>5681</v>
      </c>
      <c r="B30" s="14" t="s">
        <v>304</v>
      </c>
      <c r="C30" s="14">
        <v>1000</v>
      </c>
      <c r="D30" s="14">
        <v>0</v>
      </c>
      <c r="E30" s="14">
        <v>0</v>
      </c>
      <c r="F30" s="14">
        <v>180</v>
      </c>
      <c r="G30" s="14">
        <v>820</v>
      </c>
    </row>
    <row r="31" spans="1:7" x14ac:dyDescent="0.3">
      <c r="A31" s="14" t="s">
        <v>5681</v>
      </c>
      <c r="B31" s="14" t="s">
        <v>305</v>
      </c>
      <c r="C31" s="14">
        <v>1000</v>
      </c>
      <c r="D31" s="14">
        <v>161</v>
      </c>
      <c r="E31" s="14">
        <v>16.100000000000001</v>
      </c>
      <c r="F31" s="14">
        <v>5</v>
      </c>
      <c r="G31" s="14">
        <v>994</v>
      </c>
    </row>
    <row r="32" spans="1:7" x14ac:dyDescent="0.3">
      <c r="A32" s="14" t="s">
        <v>5681</v>
      </c>
      <c r="B32" s="14" t="s">
        <v>306</v>
      </c>
      <c r="C32" s="14">
        <v>1000</v>
      </c>
      <c r="D32" s="14">
        <v>0</v>
      </c>
      <c r="E32" s="14">
        <v>0</v>
      </c>
      <c r="F32" s="14">
        <v>7</v>
      </c>
      <c r="G32" s="14">
        <v>993</v>
      </c>
    </row>
    <row r="33" spans="1:7" x14ac:dyDescent="0.3">
      <c r="A33" s="14" t="s">
        <v>5681</v>
      </c>
      <c r="B33" s="14" t="s">
        <v>307</v>
      </c>
      <c r="C33" s="14">
        <v>1000</v>
      </c>
      <c r="D33" s="14">
        <v>0</v>
      </c>
      <c r="E33" s="14">
        <v>0</v>
      </c>
      <c r="F33" s="14">
        <v>96</v>
      </c>
      <c r="G33" s="14">
        <v>904</v>
      </c>
    </row>
    <row r="34" spans="1:7" x14ac:dyDescent="0.3">
      <c r="A34" s="14" t="s">
        <v>5681</v>
      </c>
      <c r="B34" s="14" t="s">
        <v>150</v>
      </c>
      <c r="C34" s="14">
        <v>1000</v>
      </c>
      <c r="D34" s="14">
        <v>72</v>
      </c>
      <c r="E34" s="14">
        <v>7.2</v>
      </c>
      <c r="F34" s="14">
        <v>11</v>
      </c>
      <c r="G34" s="14">
        <v>988</v>
      </c>
    </row>
    <row r="35" spans="1:7" x14ac:dyDescent="0.3">
      <c r="A35" s="14" t="s">
        <v>5681</v>
      </c>
      <c r="B35" s="14" t="s">
        <v>308</v>
      </c>
      <c r="C35" s="14">
        <v>1000</v>
      </c>
      <c r="D35" s="14">
        <v>0</v>
      </c>
      <c r="E35" s="14">
        <v>0</v>
      </c>
      <c r="F35" s="14">
        <v>3</v>
      </c>
      <c r="G35" s="14">
        <v>997</v>
      </c>
    </row>
    <row r="36" spans="1:7" x14ac:dyDescent="0.3">
      <c r="A36" s="14" t="s">
        <v>5681</v>
      </c>
      <c r="B36" s="14" t="s">
        <v>309</v>
      </c>
      <c r="C36" s="14">
        <v>1000</v>
      </c>
      <c r="D36" s="14">
        <v>0</v>
      </c>
      <c r="E36" s="14">
        <v>0</v>
      </c>
      <c r="F36" s="14">
        <v>10</v>
      </c>
      <c r="G36" s="14">
        <v>990</v>
      </c>
    </row>
    <row r="37" spans="1:7" x14ac:dyDescent="0.3">
      <c r="A37" s="14" t="s">
        <v>5681</v>
      </c>
      <c r="B37" s="14" t="s">
        <v>310</v>
      </c>
      <c r="C37" s="14">
        <v>1000</v>
      </c>
      <c r="D37" s="14">
        <v>0</v>
      </c>
      <c r="E37" s="14">
        <v>0</v>
      </c>
      <c r="F37" s="14">
        <v>16</v>
      </c>
      <c r="G37" s="14">
        <v>984</v>
      </c>
    </row>
    <row r="38" spans="1:7" x14ac:dyDescent="0.3">
      <c r="A38" s="14" t="s">
        <v>5681</v>
      </c>
      <c r="B38" s="14" t="s">
        <v>311</v>
      </c>
      <c r="C38" s="14">
        <v>1000</v>
      </c>
      <c r="D38" s="14">
        <v>49</v>
      </c>
      <c r="E38" s="14">
        <v>4.9000000000000004</v>
      </c>
      <c r="F38" s="14">
        <v>859</v>
      </c>
      <c r="G38" s="14">
        <v>140</v>
      </c>
    </row>
    <row r="39" spans="1:7" x14ac:dyDescent="0.3">
      <c r="A39" s="14" t="s">
        <v>5681</v>
      </c>
      <c r="B39" s="14" t="s">
        <v>143</v>
      </c>
      <c r="C39" s="14">
        <v>1000</v>
      </c>
      <c r="D39" s="14">
        <v>79</v>
      </c>
      <c r="E39" s="14">
        <v>7.9</v>
      </c>
      <c r="F39" s="14">
        <v>921</v>
      </c>
      <c r="G39" s="14">
        <v>78</v>
      </c>
    </row>
    <row r="40" spans="1:7" x14ac:dyDescent="0.3">
      <c r="A40" s="14" t="s">
        <v>5681</v>
      </c>
      <c r="B40" s="14" t="s">
        <v>142</v>
      </c>
      <c r="C40" s="14">
        <v>1000</v>
      </c>
      <c r="D40" s="14">
        <v>74</v>
      </c>
      <c r="E40" s="14">
        <v>7.4</v>
      </c>
      <c r="F40" s="14">
        <v>926</v>
      </c>
      <c r="G40" s="14">
        <v>73</v>
      </c>
    </row>
    <row r="41" spans="1:7" x14ac:dyDescent="0.3">
      <c r="A41" s="14" t="s">
        <v>5681</v>
      </c>
      <c r="B41" s="14" t="s">
        <v>312</v>
      </c>
      <c r="C41" s="14">
        <v>1000</v>
      </c>
      <c r="D41" s="14">
        <v>281</v>
      </c>
      <c r="E41" s="14">
        <v>28.1</v>
      </c>
      <c r="F41" s="14">
        <v>5</v>
      </c>
      <c r="G41" s="14">
        <v>994</v>
      </c>
    </row>
    <row r="42" spans="1:7" x14ac:dyDescent="0.3">
      <c r="A42" s="14" t="s">
        <v>5681</v>
      </c>
      <c r="B42" s="14" t="s">
        <v>313</v>
      </c>
      <c r="C42" s="14">
        <v>1000</v>
      </c>
      <c r="D42" s="14">
        <v>291</v>
      </c>
      <c r="E42" s="14">
        <v>29.1</v>
      </c>
      <c r="F42" s="14">
        <v>5</v>
      </c>
      <c r="G42" s="14">
        <v>994</v>
      </c>
    </row>
    <row r="43" spans="1:7" x14ac:dyDescent="0.3">
      <c r="A43" s="14" t="s">
        <v>5681</v>
      </c>
      <c r="B43" s="14" t="s">
        <v>314</v>
      </c>
      <c r="C43" s="14">
        <v>1000</v>
      </c>
      <c r="D43" s="14">
        <v>109</v>
      </c>
      <c r="E43" s="14">
        <v>10.9</v>
      </c>
      <c r="F43" s="14">
        <v>421</v>
      </c>
      <c r="G43" s="14">
        <v>578</v>
      </c>
    </row>
    <row r="44" spans="1:7" x14ac:dyDescent="0.3">
      <c r="A44" s="14" t="s">
        <v>5681</v>
      </c>
      <c r="B44" s="14" t="s">
        <v>315</v>
      </c>
      <c r="C44" s="14">
        <v>1000</v>
      </c>
      <c r="D44" s="14">
        <v>117</v>
      </c>
      <c r="E44" s="14">
        <v>11.7</v>
      </c>
      <c r="F44" s="14">
        <v>5</v>
      </c>
      <c r="G44" s="14">
        <v>994</v>
      </c>
    </row>
    <row r="45" spans="1:7" x14ac:dyDescent="0.3">
      <c r="A45" s="14" t="s">
        <v>5681</v>
      </c>
      <c r="B45" s="14" t="s">
        <v>316</v>
      </c>
      <c r="C45" s="14">
        <v>1000</v>
      </c>
      <c r="D45" s="14">
        <v>348</v>
      </c>
      <c r="E45" s="14">
        <v>34.799999999999997</v>
      </c>
      <c r="F45" s="14">
        <v>4</v>
      </c>
      <c r="G45" s="14">
        <v>995</v>
      </c>
    </row>
    <row r="46" spans="1:7" x14ac:dyDescent="0.3">
      <c r="A46" s="14" t="s">
        <v>5681</v>
      </c>
      <c r="B46" s="14" t="s">
        <v>176</v>
      </c>
      <c r="C46" s="14">
        <v>1000</v>
      </c>
      <c r="D46" s="14">
        <v>0</v>
      </c>
      <c r="E46" s="14">
        <v>0</v>
      </c>
      <c r="F46" s="14">
        <v>5</v>
      </c>
      <c r="G46" s="14">
        <v>995</v>
      </c>
    </row>
    <row r="47" spans="1:7" x14ac:dyDescent="0.3">
      <c r="A47" s="14" t="s">
        <v>5681</v>
      </c>
      <c r="B47" s="14" t="s">
        <v>15</v>
      </c>
      <c r="C47" s="14">
        <v>1000</v>
      </c>
      <c r="D47" s="14">
        <v>271</v>
      </c>
      <c r="E47" s="14">
        <v>27.1</v>
      </c>
      <c r="F47" s="14">
        <v>5</v>
      </c>
      <c r="G47" s="14">
        <v>994</v>
      </c>
    </row>
    <row r="48" spans="1:7" x14ac:dyDescent="0.3">
      <c r="A48" s="14" t="s">
        <v>5682</v>
      </c>
      <c r="B48" s="14" t="s">
        <v>164</v>
      </c>
      <c r="C48" s="14">
        <v>51</v>
      </c>
      <c r="D48" s="14">
        <v>0</v>
      </c>
      <c r="E48" s="14">
        <v>0</v>
      </c>
      <c r="F48" s="14">
        <v>51</v>
      </c>
      <c r="G48" s="14">
        <v>0</v>
      </c>
    </row>
    <row r="49" spans="1:7" x14ac:dyDescent="0.3">
      <c r="A49" s="14" t="s">
        <v>5682</v>
      </c>
      <c r="B49" s="14" t="s">
        <v>165</v>
      </c>
      <c r="C49" s="14">
        <v>51</v>
      </c>
      <c r="D49" s="14">
        <v>0</v>
      </c>
      <c r="E49" s="14">
        <v>0</v>
      </c>
      <c r="F49" s="14">
        <v>20</v>
      </c>
      <c r="G49" s="14">
        <v>31</v>
      </c>
    </row>
    <row r="50" spans="1:7" x14ac:dyDescent="0.3">
      <c r="A50" s="14" t="s">
        <v>5682</v>
      </c>
      <c r="B50" s="14" t="s">
        <v>166</v>
      </c>
      <c r="C50" s="14">
        <v>51</v>
      </c>
      <c r="D50" s="14">
        <v>1</v>
      </c>
      <c r="E50" s="14">
        <v>1.96</v>
      </c>
      <c r="F50" s="14">
        <v>14</v>
      </c>
      <c r="G50" s="14">
        <v>36</v>
      </c>
    </row>
    <row r="51" spans="1:7" x14ac:dyDescent="0.3">
      <c r="A51" s="14" t="s">
        <v>5682</v>
      </c>
      <c r="B51" s="14" t="s">
        <v>4</v>
      </c>
      <c r="C51" s="14">
        <v>51</v>
      </c>
      <c r="D51" s="14">
        <v>8</v>
      </c>
      <c r="E51" s="14">
        <v>15.69</v>
      </c>
      <c r="F51" s="14">
        <v>12</v>
      </c>
      <c r="G51" s="14">
        <v>38</v>
      </c>
    </row>
    <row r="52" spans="1:7" x14ac:dyDescent="0.3">
      <c r="A52" s="14" t="s">
        <v>5682</v>
      </c>
      <c r="B52" s="14" t="s">
        <v>3</v>
      </c>
      <c r="C52" s="14">
        <v>51</v>
      </c>
      <c r="D52" s="14">
        <v>7</v>
      </c>
      <c r="E52" s="14">
        <v>13.73</v>
      </c>
      <c r="F52" s="14">
        <v>6</v>
      </c>
      <c r="G52" s="14">
        <v>44</v>
      </c>
    </row>
    <row r="53" spans="1:7" x14ac:dyDescent="0.3">
      <c r="A53" s="14" t="s">
        <v>5682</v>
      </c>
      <c r="B53" s="14" t="s">
        <v>167</v>
      </c>
      <c r="C53" s="14">
        <v>51</v>
      </c>
      <c r="D53" s="14">
        <v>7</v>
      </c>
      <c r="E53" s="14">
        <v>13.73</v>
      </c>
      <c r="F53" s="14">
        <v>11</v>
      </c>
      <c r="G53" s="14">
        <v>39</v>
      </c>
    </row>
    <row r="54" spans="1:7" x14ac:dyDescent="0.3">
      <c r="A54" s="14" t="s">
        <v>5682</v>
      </c>
      <c r="B54" s="14" t="s">
        <v>168</v>
      </c>
      <c r="C54" s="14">
        <v>51</v>
      </c>
      <c r="D54" s="14">
        <v>0</v>
      </c>
      <c r="E54" s="14">
        <v>0</v>
      </c>
      <c r="F54" s="14">
        <v>12</v>
      </c>
      <c r="G54" s="14">
        <v>39</v>
      </c>
    </row>
    <row r="55" spans="1:7" x14ac:dyDescent="0.3">
      <c r="A55" s="14" t="s">
        <v>5682</v>
      </c>
      <c r="B55" s="14" t="s">
        <v>169</v>
      </c>
      <c r="C55" s="14">
        <v>51</v>
      </c>
      <c r="D55" s="14">
        <v>0</v>
      </c>
      <c r="E55" s="14">
        <v>0</v>
      </c>
      <c r="F55" s="14">
        <v>6</v>
      </c>
      <c r="G55" s="14">
        <v>45</v>
      </c>
    </row>
    <row r="56" spans="1:7" x14ac:dyDescent="0.3">
      <c r="A56" s="14" t="s">
        <v>5682</v>
      </c>
      <c r="B56" s="14" t="s">
        <v>170</v>
      </c>
      <c r="C56" s="14">
        <v>51</v>
      </c>
      <c r="D56" s="14">
        <v>3</v>
      </c>
      <c r="E56" s="14">
        <v>5.88</v>
      </c>
      <c r="F56" s="14">
        <v>6</v>
      </c>
      <c r="G56" s="14">
        <v>44</v>
      </c>
    </row>
    <row r="57" spans="1:7" x14ac:dyDescent="0.3">
      <c r="A57" s="14" t="s">
        <v>5682</v>
      </c>
      <c r="B57" s="14" t="s">
        <v>171</v>
      </c>
      <c r="C57" s="14">
        <v>51</v>
      </c>
      <c r="D57" s="14">
        <v>0</v>
      </c>
      <c r="E57" s="14">
        <v>0</v>
      </c>
      <c r="F57" s="14">
        <v>50</v>
      </c>
      <c r="G57" s="14">
        <v>1</v>
      </c>
    </row>
    <row r="58" spans="1:7" x14ac:dyDescent="0.3">
      <c r="A58" s="14" t="s">
        <v>5682</v>
      </c>
      <c r="B58" s="14" t="s">
        <v>172</v>
      </c>
      <c r="C58" s="14">
        <v>51</v>
      </c>
      <c r="D58" s="14">
        <v>0</v>
      </c>
      <c r="E58" s="14">
        <v>0</v>
      </c>
      <c r="F58" s="14">
        <v>51</v>
      </c>
      <c r="G58" s="14">
        <v>0</v>
      </c>
    </row>
    <row r="59" spans="1:7" x14ac:dyDescent="0.3">
      <c r="A59" s="14" t="s">
        <v>5682</v>
      </c>
      <c r="B59" s="14" t="s">
        <v>173</v>
      </c>
      <c r="C59" s="14">
        <v>51</v>
      </c>
      <c r="D59" s="14">
        <v>0</v>
      </c>
      <c r="E59" s="14">
        <v>0</v>
      </c>
      <c r="F59" s="14">
        <v>51</v>
      </c>
      <c r="G59" s="14">
        <v>0</v>
      </c>
    </row>
    <row r="60" spans="1:7" x14ac:dyDescent="0.3">
      <c r="A60" s="14" t="s">
        <v>5682</v>
      </c>
      <c r="B60" s="14" t="s">
        <v>174</v>
      </c>
      <c r="C60" s="14">
        <v>51</v>
      </c>
      <c r="D60" s="14">
        <v>7</v>
      </c>
      <c r="E60" s="14">
        <v>13.73</v>
      </c>
      <c r="F60" s="14">
        <v>44</v>
      </c>
      <c r="G60" s="14">
        <v>6</v>
      </c>
    </row>
    <row r="61" spans="1:7" x14ac:dyDescent="0.3">
      <c r="A61" s="14" t="s">
        <v>5682</v>
      </c>
      <c r="B61" s="14" t="s">
        <v>175</v>
      </c>
      <c r="C61" s="14">
        <v>51</v>
      </c>
      <c r="D61" s="14">
        <v>0</v>
      </c>
      <c r="E61" s="14">
        <v>0</v>
      </c>
      <c r="F61" s="14">
        <v>51</v>
      </c>
      <c r="G61" s="14">
        <v>0</v>
      </c>
    </row>
    <row r="62" spans="1:7" x14ac:dyDescent="0.3">
      <c r="A62" s="14" t="s">
        <v>5682</v>
      </c>
      <c r="B62" s="14" t="s">
        <v>176</v>
      </c>
      <c r="C62" s="14">
        <v>51</v>
      </c>
      <c r="D62" s="14">
        <v>0</v>
      </c>
      <c r="E62" s="14">
        <v>0</v>
      </c>
      <c r="F62" s="14">
        <v>5</v>
      </c>
      <c r="G62" s="14">
        <v>46</v>
      </c>
    </row>
    <row r="63" spans="1:7" x14ac:dyDescent="0.3">
      <c r="A63" s="14" t="s">
        <v>5682</v>
      </c>
      <c r="B63" s="14" t="s">
        <v>177</v>
      </c>
      <c r="C63" s="14">
        <v>51</v>
      </c>
      <c r="D63" s="14">
        <v>6</v>
      </c>
      <c r="E63" s="14">
        <v>11.76</v>
      </c>
      <c r="F63" s="14">
        <v>5</v>
      </c>
      <c r="G63" s="14">
        <v>45</v>
      </c>
    </row>
    <row r="64" spans="1:7" x14ac:dyDescent="0.3">
      <c r="A64" s="14" t="s">
        <v>5682</v>
      </c>
      <c r="B64" s="14" t="s">
        <v>178</v>
      </c>
      <c r="C64" s="14">
        <v>51</v>
      </c>
      <c r="D64" s="14">
        <v>22</v>
      </c>
      <c r="E64" s="14">
        <v>43.14</v>
      </c>
      <c r="F64" s="14">
        <v>3</v>
      </c>
      <c r="G64" s="14">
        <v>47</v>
      </c>
    </row>
    <row r="65" spans="1:7" x14ac:dyDescent="0.3">
      <c r="A65" s="14" t="s">
        <v>5682</v>
      </c>
      <c r="B65" s="14" t="s">
        <v>15</v>
      </c>
      <c r="C65" s="14">
        <v>51</v>
      </c>
      <c r="D65" s="14">
        <v>16</v>
      </c>
      <c r="E65" s="14">
        <v>31.37</v>
      </c>
      <c r="F65" s="14">
        <v>3</v>
      </c>
      <c r="G65" s="14">
        <v>47</v>
      </c>
    </row>
    <row r="66" spans="1:7" x14ac:dyDescent="0.3">
      <c r="A66" s="14" t="s">
        <v>5683</v>
      </c>
      <c r="B66" s="14" t="s">
        <v>0</v>
      </c>
      <c r="C66" s="14">
        <v>15</v>
      </c>
      <c r="D66" s="14">
        <v>0</v>
      </c>
      <c r="E66" s="14">
        <v>0</v>
      </c>
      <c r="F66" s="14">
        <v>15</v>
      </c>
      <c r="G66" s="14">
        <v>0</v>
      </c>
    </row>
    <row r="67" spans="1:7" x14ac:dyDescent="0.3">
      <c r="A67" s="14" t="s">
        <v>5683</v>
      </c>
      <c r="B67" s="14" t="s">
        <v>1</v>
      </c>
      <c r="C67" s="14">
        <v>15</v>
      </c>
      <c r="D67" s="14">
        <v>0</v>
      </c>
      <c r="E67" s="14">
        <v>0</v>
      </c>
      <c r="F67" s="14">
        <v>15</v>
      </c>
      <c r="G67" s="14">
        <v>0</v>
      </c>
    </row>
    <row r="68" spans="1:7" x14ac:dyDescent="0.3">
      <c r="A68" s="14" t="s">
        <v>5683</v>
      </c>
      <c r="B68" s="14" t="s">
        <v>2</v>
      </c>
      <c r="C68" s="14">
        <v>15</v>
      </c>
      <c r="D68" s="14">
        <v>0</v>
      </c>
      <c r="E68" s="14">
        <v>0</v>
      </c>
      <c r="F68" s="14">
        <v>4</v>
      </c>
      <c r="G68" s="14">
        <v>11</v>
      </c>
    </row>
    <row r="69" spans="1:7" x14ac:dyDescent="0.3">
      <c r="A69" s="14" t="s">
        <v>5683</v>
      </c>
      <c r="B69" s="14" t="s">
        <v>3</v>
      </c>
      <c r="C69" s="14">
        <v>15</v>
      </c>
      <c r="D69" s="14">
        <v>0</v>
      </c>
      <c r="E69" s="14">
        <v>0</v>
      </c>
      <c r="F69" s="14">
        <v>4</v>
      </c>
      <c r="G69" s="14">
        <v>11</v>
      </c>
    </row>
    <row r="70" spans="1:7" x14ac:dyDescent="0.3">
      <c r="A70" s="14" t="s">
        <v>5683</v>
      </c>
      <c r="B70" s="14" t="s">
        <v>4</v>
      </c>
      <c r="C70" s="14">
        <v>15</v>
      </c>
      <c r="D70" s="14">
        <v>0</v>
      </c>
      <c r="E70" s="14">
        <v>0</v>
      </c>
      <c r="F70" s="14">
        <v>5</v>
      </c>
      <c r="G70" s="14">
        <v>10</v>
      </c>
    </row>
    <row r="71" spans="1:7" x14ac:dyDescent="0.3">
      <c r="A71" s="14" t="s">
        <v>5683</v>
      </c>
      <c r="B71" s="14" t="s">
        <v>5</v>
      </c>
      <c r="C71" s="14">
        <v>15</v>
      </c>
      <c r="D71" s="14">
        <v>8</v>
      </c>
      <c r="E71" s="14">
        <v>53.33</v>
      </c>
      <c r="F71" s="14">
        <v>2</v>
      </c>
      <c r="G71" s="14">
        <v>12</v>
      </c>
    </row>
    <row r="72" spans="1:7" x14ac:dyDescent="0.3">
      <c r="A72" s="14" t="s">
        <v>5683</v>
      </c>
      <c r="B72" s="14" t="s">
        <v>6</v>
      </c>
      <c r="C72" s="14">
        <v>15</v>
      </c>
      <c r="D72" s="14">
        <v>9</v>
      </c>
      <c r="E72" s="14">
        <v>60</v>
      </c>
      <c r="F72" s="14">
        <v>6</v>
      </c>
      <c r="G72" s="14">
        <v>8</v>
      </c>
    </row>
    <row r="73" spans="1:7" x14ac:dyDescent="0.3">
      <c r="A73" s="14" t="s">
        <v>5683</v>
      </c>
      <c r="B73" s="14" t="s">
        <v>7</v>
      </c>
      <c r="C73" s="14">
        <v>15</v>
      </c>
      <c r="D73" s="14">
        <v>7</v>
      </c>
      <c r="E73" s="14">
        <v>46.67</v>
      </c>
      <c r="F73" s="14">
        <v>8</v>
      </c>
      <c r="G73" s="14">
        <v>6</v>
      </c>
    </row>
    <row r="74" spans="1:7" x14ac:dyDescent="0.3">
      <c r="A74" s="14" t="s">
        <v>5683</v>
      </c>
      <c r="B74" s="14" t="s">
        <v>8</v>
      </c>
      <c r="C74" s="14">
        <v>15</v>
      </c>
      <c r="D74" s="14">
        <v>0</v>
      </c>
      <c r="E74" s="14">
        <v>0</v>
      </c>
      <c r="F74" s="14">
        <v>15</v>
      </c>
      <c r="G74" s="14">
        <v>0</v>
      </c>
    </row>
    <row r="75" spans="1:7" x14ac:dyDescent="0.3">
      <c r="A75" s="14" t="s">
        <v>5683</v>
      </c>
      <c r="B75" s="14" t="s">
        <v>9</v>
      </c>
      <c r="C75" s="14">
        <v>15</v>
      </c>
      <c r="D75" s="14">
        <v>0</v>
      </c>
      <c r="E75" s="14">
        <v>0</v>
      </c>
      <c r="F75" s="14">
        <v>4</v>
      </c>
      <c r="G75" s="14">
        <v>11</v>
      </c>
    </row>
    <row r="76" spans="1:7" x14ac:dyDescent="0.3">
      <c r="A76" s="14" t="s">
        <v>5683</v>
      </c>
      <c r="B76" s="14" t="s">
        <v>10</v>
      </c>
      <c r="C76" s="14">
        <v>15</v>
      </c>
      <c r="D76" s="14">
        <v>7</v>
      </c>
      <c r="E76" s="14">
        <v>46.67</v>
      </c>
      <c r="F76" s="14">
        <v>4</v>
      </c>
      <c r="G76" s="14">
        <v>10</v>
      </c>
    </row>
    <row r="77" spans="1:7" x14ac:dyDescent="0.3">
      <c r="A77" s="14" t="s">
        <v>5683</v>
      </c>
      <c r="B77" s="14" t="s">
        <v>11</v>
      </c>
      <c r="C77" s="14">
        <v>15</v>
      </c>
      <c r="D77" s="14">
        <v>0</v>
      </c>
      <c r="E77" s="14">
        <v>0</v>
      </c>
      <c r="F77" s="14">
        <v>15</v>
      </c>
      <c r="G77" s="14">
        <v>0</v>
      </c>
    </row>
    <row r="78" spans="1:7" x14ac:dyDescent="0.3">
      <c r="A78" s="14" t="s">
        <v>5683</v>
      </c>
      <c r="B78" s="14" t="s">
        <v>12</v>
      </c>
      <c r="C78" s="14">
        <v>15</v>
      </c>
      <c r="D78" s="14">
        <v>0</v>
      </c>
      <c r="E78" s="14">
        <v>0</v>
      </c>
      <c r="F78" s="14">
        <v>15</v>
      </c>
      <c r="G78" s="14">
        <v>0</v>
      </c>
    </row>
    <row r="79" spans="1:7" x14ac:dyDescent="0.3">
      <c r="A79" s="14" t="s">
        <v>5683</v>
      </c>
      <c r="B79" s="14" t="s">
        <v>13</v>
      </c>
      <c r="C79" s="14">
        <v>15</v>
      </c>
      <c r="D79" s="14">
        <v>0</v>
      </c>
      <c r="E79" s="14">
        <v>0</v>
      </c>
      <c r="F79" s="14">
        <v>15</v>
      </c>
      <c r="G79" s="14">
        <v>0</v>
      </c>
    </row>
    <row r="80" spans="1:7" x14ac:dyDescent="0.3">
      <c r="A80" s="14" t="s">
        <v>5683</v>
      </c>
      <c r="B80" s="14" t="s">
        <v>14</v>
      </c>
      <c r="C80" s="14">
        <v>15</v>
      </c>
      <c r="D80" s="14">
        <v>2</v>
      </c>
      <c r="E80" s="14">
        <v>13.33</v>
      </c>
      <c r="F80" s="14">
        <v>13</v>
      </c>
      <c r="G80" s="14">
        <v>1</v>
      </c>
    </row>
    <row r="81" spans="1:7" x14ac:dyDescent="0.3">
      <c r="A81" s="14" t="s">
        <v>5683</v>
      </c>
      <c r="B81" s="14" t="s">
        <v>15</v>
      </c>
      <c r="C81" s="14">
        <v>15</v>
      </c>
      <c r="D81" s="14">
        <v>5</v>
      </c>
      <c r="E81" s="14">
        <v>33.33</v>
      </c>
      <c r="F81" s="14">
        <v>4</v>
      </c>
      <c r="G81" s="14">
        <v>10</v>
      </c>
    </row>
    <row r="82" spans="1:7" x14ac:dyDescent="0.3">
      <c r="A82" s="14" t="s">
        <v>5684</v>
      </c>
      <c r="B82" s="14" t="s">
        <v>83</v>
      </c>
      <c r="C82" s="14">
        <v>10</v>
      </c>
      <c r="D82" s="14">
        <v>0</v>
      </c>
      <c r="E82" s="14">
        <v>0</v>
      </c>
      <c r="F82" s="14">
        <v>10</v>
      </c>
      <c r="G82" s="14">
        <v>0</v>
      </c>
    </row>
    <row r="83" spans="1:7" x14ac:dyDescent="0.3">
      <c r="A83" s="14" t="s">
        <v>5684</v>
      </c>
      <c r="B83" s="14" t="s">
        <v>84</v>
      </c>
      <c r="C83" s="14">
        <v>10</v>
      </c>
      <c r="D83" s="14">
        <v>0</v>
      </c>
      <c r="E83" s="14">
        <v>0</v>
      </c>
      <c r="F83" s="14">
        <v>10</v>
      </c>
      <c r="G83" s="14">
        <v>0</v>
      </c>
    </row>
    <row r="84" spans="1:7" x14ac:dyDescent="0.3">
      <c r="A84" s="14" t="s">
        <v>5684</v>
      </c>
      <c r="B84" s="14" t="s">
        <v>85</v>
      </c>
      <c r="C84" s="14">
        <v>10</v>
      </c>
      <c r="D84" s="14">
        <v>0</v>
      </c>
      <c r="E84" s="14">
        <v>0</v>
      </c>
      <c r="F84" s="14">
        <v>3</v>
      </c>
      <c r="G84" s="14">
        <v>7</v>
      </c>
    </row>
    <row r="85" spans="1:7" x14ac:dyDescent="0.3">
      <c r="A85" s="14" t="s">
        <v>5684</v>
      </c>
      <c r="B85" s="14" t="s">
        <v>86</v>
      </c>
      <c r="C85" s="14">
        <v>10</v>
      </c>
      <c r="D85" s="14">
        <v>0</v>
      </c>
      <c r="E85" s="14">
        <v>0</v>
      </c>
      <c r="F85" s="14">
        <v>3</v>
      </c>
      <c r="G85" s="14">
        <v>7</v>
      </c>
    </row>
    <row r="86" spans="1:7" x14ac:dyDescent="0.3">
      <c r="A86" s="14" t="s">
        <v>5684</v>
      </c>
      <c r="B86" s="14" t="s">
        <v>4</v>
      </c>
      <c r="C86" s="14">
        <v>10</v>
      </c>
      <c r="D86" s="14">
        <v>0</v>
      </c>
      <c r="E86" s="14">
        <v>0</v>
      </c>
      <c r="F86" s="14">
        <v>6</v>
      </c>
      <c r="G86" s="14">
        <v>4</v>
      </c>
    </row>
    <row r="87" spans="1:7" x14ac:dyDescent="0.3">
      <c r="A87" s="14" t="s">
        <v>5684</v>
      </c>
      <c r="B87" s="14" t="s">
        <v>87</v>
      </c>
      <c r="C87" s="14">
        <v>10</v>
      </c>
      <c r="D87" s="14">
        <v>0</v>
      </c>
      <c r="E87" s="14">
        <v>0</v>
      </c>
      <c r="F87" s="14">
        <v>10</v>
      </c>
      <c r="G87" s="14">
        <v>0</v>
      </c>
    </row>
    <row r="88" spans="1:7" x14ac:dyDescent="0.3">
      <c r="A88" s="14" t="s">
        <v>5684</v>
      </c>
      <c r="B88" s="14" t="s">
        <v>88</v>
      </c>
      <c r="C88" s="14">
        <v>10</v>
      </c>
      <c r="D88" s="14">
        <v>0</v>
      </c>
      <c r="E88" s="14">
        <v>0</v>
      </c>
      <c r="F88" s="14">
        <v>10</v>
      </c>
      <c r="G88" s="14">
        <v>0</v>
      </c>
    </row>
    <row r="89" spans="1:7" x14ac:dyDescent="0.3">
      <c r="A89" s="14" t="s">
        <v>5684</v>
      </c>
      <c r="B89" s="14" t="s">
        <v>89</v>
      </c>
      <c r="C89" s="14">
        <v>10</v>
      </c>
      <c r="D89" s="14">
        <v>1</v>
      </c>
      <c r="E89" s="14">
        <v>10</v>
      </c>
      <c r="F89" s="14">
        <v>9</v>
      </c>
      <c r="G89" s="14">
        <v>0</v>
      </c>
    </row>
    <row r="90" spans="1:7" x14ac:dyDescent="0.3">
      <c r="A90" s="14" t="s">
        <v>5684</v>
      </c>
      <c r="B90" s="14" t="s">
        <v>90</v>
      </c>
      <c r="C90" s="14">
        <v>10</v>
      </c>
      <c r="D90" s="14">
        <v>0</v>
      </c>
      <c r="E90" s="14">
        <v>0</v>
      </c>
      <c r="F90" s="14">
        <v>10</v>
      </c>
      <c r="G90" s="14">
        <v>0</v>
      </c>
    </row>
    <row r="91" spans="1:7" x14ac:dyDescent="0.3">
      <c r="A91" s="14" t="s">
        <v>5684</v>
      </c>
      <c r="B91" s="14" t="s">
        <v>91</v>
      </c>
      <c r="C91" s="14">
        <v>10</v>
      </c>
      <c r="D91" s="14">
        <v>0</v>
      </c>
      <c r="E91" s="14">
        <v>0</v>
      </c>
      <c r="F91" s="14">
        <v>10</v>
      </c>
      <c r="G91" s="14">
        <v>0</v>
      </c>
    </row>
    <row r="92" spans="1:7" x14ac:dyDescent="0.3">
      <c r="A92" s="14" t="s">
        <v>5684</v>
      </c>
      <c r="B92" s="14" t="s">
        <v>92</v>
      </c>
      <c r="C92" s="14">
        <v>10</v>
      </c>
      <c r="D92" s="14">
        <v>0</v>
      </c>
      <c r="E92" s="14">
        <v>0</v>
      </c>
      <c r="F92" s="14">
        <v>10</v>
      </c>
      <c r="G92" s="14">
        <v>0</v>
      </c>
    </row>
    <row r="93" spans="1:7" x14ac:dyDescent="0.3">
      <c r="A93" s="14" t="s">
        <v>5684</v>
      </c>
      <c r="B93" s="14" t="s">
        <v>93</v>
      </c>
      <c r="C93" s="14">
        <v>10</v>
      </c>
      <c r="D93" s="14">
        <v>1</v>
      </c>
      <c r="E93" s="14">
        <v>10</v>
      </c>
      <c r="F93" s="14">
        <v>9</v>
      </c>
      <c r="G93" s="14">
        <v>0</v>
      </c>
    </row>
    <row r="94" spans="1:7" x14ac:dyDescent="0.3">
      <c r="A94" s="14" t="s">
        <v>5684</v>
      </c>
      <c r="B94" s="14" t="s">
        <v>94</v>
      </c>
      <c r="C94" s="14">
        <v>10</v>
      </c>
      <c r="D94" s="14">
        <v>1</v>
      </c>
      <c r="E94" s="14">
        <v>10</v>
      </c>
      <c r="F94" s="14">
        <v>9</v>
      </c>
      <c r="G94" s="14">
        <v>0</v>
      </c>
    </row>
    <row r="95" spans="1:7" x14ac:dyDescent="0.3">
      <c r="A95" s="14" t="s">
        <v>5684</v>
      </c>
      <c r="B95" s="14" t="s">
        <v>95</v>
      </c>
      <c r="C95" s="14">
        <v>10</v>
      </c>
      <c r="D95" s="14">
        <v>0</v>
      </c>
      <c r="E95" s="14">
        <v>0</v>
      </c>
      <c r="F95" s="14">
        <v>10</v>
      </c>
      <c r="G95" s="14">
        <v>0</v>
      </c>
    </row>
    <row r="96" spans="1:7" x14ac:dyDescent="0.3">
      <c r="A96" s="14" t="s">
        <v>5684</v>
      </c>
      <c r="B96" s="14" t="s">
        <v>96</v>
      </c>
      <c r="C96" s="14">
        <v>10</v>
      </c>
      <c r="D96" s="14">
        <v>0</v>
      </c>
      <c r="E96" s="14">
        <v>0</v>
      </c>
      <c r="F96" s="14">
        <v>10</v>
      </c>
      <c r="G96" s="14">
        <v>0</v>
      </c>
    </row>
    <row r="97" spans="1:7" x14ac:dyDescent="0.3">
      <c r="A97" s="14" t="s">
        <v>5684</v>
      </c>
      <c r="B97" s="14" t="s">
        <v>97</v>
      </c>
      <c r="C97" s="14">
        <v>10</v>
      </c>
      <c r="D97" s="14">
        <v>0</v>
      </c>
      <c r="E97" s="14">
        <v>0</v>
      </c>
      <c r="F97" s="14">
        <v>9</v>
      </c>
      <c r="G97" s="14">
        <v>1</v>
      </c>
    </row>
    <row r="98" spans="1:7" x14ac:dyDescent="0.3">
      <c r="A98" s="14" t="s">
        <v>5684</v>
      </c>
      <c r="B98" s="14" t="s">
        <v>6</v>
      </c>
      <c r="C98" s="14">
        <v>10</v>
      </c>
      <c r="D98" s="14">
        <v>0</v>
      </c>
      <c r="E98" s="14">
        <v>0</v>
      </c>
      <c r="F98" s="14">
        <v>10</v>
      </c>
      <c r="G98" s="14">
        <v>0</v>
      </c>
    </row>
    <row r="99" spans="1:7" x14ac:dyDescent="0.3">
      <c r="A99" s="14" t="s">
        <v>5684</v>
      </c>
      <c r="B99" s="14" t="s">
        <v>98</v>
      </c>
      <c r="C99" s="14">
        <v>10</v>
      </c>
      <c r="D99" s="14">
        <v>0</v>
      </c>
      <c r="E99" s="14">
        <v>0</v>
      </c>
      <c r="F99" s="14">
        <v>10</v>
      </c>
      <c r="G99" s="14">
        <v>0</v>
      </c>
    </row>
    <row r="100" spans="1:7" x14ac:dyDescent="0.3">
      <c r="A100" s="14" t="s">
        <v>5684</v>
      </c>
      <c r="B100" s="14" t="s">
        <v>15</v>
      </c>
      <c r="C100" s="14">
        <v>10</v>
      </c>
      <c r="D100" s="14">
        <v>3</v>
      </c>
      <c r="E100" s="14">
        <v>30</v>
      </c>
      <c r="F100" s="14">
        <v>3</v>
      </c>
      <c r="G100" s="14">
        <v>6</v>
      </c>
    </row>
    <row r="101" spans="1:7" x14ac:dyDescent="0.3">
      <c r="A101" s="14" t="s">
        <v>5685</v>
      </c>
      <c r="B101" s="14" t="s">
        <v>139</v>
      </c>
      <c r="C101" s="14">
        <v>84</v>
      </c>
      <c r="D101" s="14">
        <v>0</v>
      </c>
      <c r="E101" s="14">
        <v>0</v>
      </c>
      <c r="F101" s="14">
        <v>15</v>
      </c>
      <c r="G101" s="14">
        <v>69</v>
      </c>
    </row>
    <row r="102" spans="1:7" x14ac:dyDescent="0.3">
      <c r="A102" s="14" t="s">
        <v>5685</v>
      </c>
      <c r="B102" s="14" t="s">
        <v>4</v>
      </c>
      <c r="C102" s="14">
        <v>84</v>
      </c>
      <c r="D102" s="14">
        <v>0</v>
      </c>
      <c r="E102" s="14">
        <v>0</v>
      </c>
      <c r="F102" s="14">
        <v>10</v>
      </c>
      <c r="G102" s="14">
        <v>74</v>
      </c>
    </row>
    <row r="103" spans="1:7" x14ac:dyDescent="0.3">
      <c r="A103" s="14" t="s">
        <v>5685</v>
      </c>
      <c r="B103" s="14" t="s">
        <v>140</v>
      </c>
      <c r="C103" s="14">
        <v>84</v>
      </c>
      <c r="D103" s="14">
        <v>3</v>
      </c>
      <c r="E103" s="14">
        <v>3.57</v>
      </c>
      <c r="F103" s="14">
        <v>81</v>
      </c>
      <c r="G103" s="14">
        <v>2</v>
      </c>
    </row>
    <row r="104" spans="1:7" x14ac:dyDescent="0.3">
      <c r="A104" s="14" t="s">
        <v>5685</v>
      </c>
      <c r="B104" s="14" t="s">
        <v>141</v>
      </c>
      <c r="C104" s="14">
        <v>84</v>
      </c>
      <c r="D104" s="14">
        <v>4</v>
      </c>
      <c r="E104" s="14">
        <v>4.76</v>
      </c>
      <c r="F104" s="14">
        <v>80</v>
      </c>
      <c r="G104" s="14">
        <v>3</v>
      </c>
    </row>
    <row r="105" spans="1:7" x14ac:dyDescent="0.3">
      <c r="A105" s="14" t="s">
        <v>5685</v>
      </c>
      <c r="B105" s="14" t="s">
        <v>142</v>
      </c>
      <c r="C105" s="14">
        <v>84</v>
      </c>
      <c r="D105" s="14">
        <v>0</v>
      </c>
      <c r="E105" s="14">
        <v>0</v>
      </c>
      <c r="F105" s="14">
        <v>84</v>
      </c>
      <c r="G105" s="14">
        <v>0</v>
      </c>
    </row>
    <row r="106" spans="1:7" x14ac:dyDescent="0.3">
      <c r="A106" s="14" t="s">
        <v>5685</v>
      </c>
      <c r="B106" s="14" t="s">
        <v>143</v>
      </c>
      <c r="C106" s="14">
        <v>84</v>
      </c>
      <c r="D106" s="14">
        <v>5</v>
      </c>
      <c r="E106" s="14">
        <v>5.95</v>
      </c>
      <c r="F106" s="14">
        <v>79</v>
      </c>
      <c r="G106" s="14">
        <v>4</v>
      </c>
    </row>
    <row r="107" spans="1:7" x14ac:dyDescent="0.3">
      <c r="A107" s="14" t="s">
        <v>5685</v>
      </c>
      <c r="B107" s="14" t="s">
        <v>144</v>
      </c>
      <c r="C107" s="14">
        <v>84</v>
      </c>
      <c r="D107" s="14">
        <v>11</v>
      </c>
      <c r="E107" s="14">
        <v>13.1</v>
      </c>
      <c r="F107" s="14">
        <v>73</v>
      </c>
      <c r="G107" s="14">
        <v>10</v>
      </c>
    </row>
    <row r="108" spans="1:7" x14ac:dyDescent="0.3">
      <c r="A108" s="14" t="s">
        <v>5685</v>
      </c>
      <c r="B108" s="14" t="s">
        <v>145</v>
      </c>
      <c r="C108" s="14">
        <v>84</v>
      </c>
      <c r="D108" s="14">
        <v>0</v>
      </c>
      <c r="E108" s="14">
        <v>0</v>
      </c>
      <c r="F108" s="14">
        <v>84</v>
      </c>
      <c r="G108" s="14">
        <v>0</v>
      </c>
    </row>
    <row r="109" spans="1:7" x14ac:dyDescent="0.3">
      <c r="A109" s="14" t="s">
        <v>5685</v>
      </c>
      <c r="B109" s="14" t="s">
        <v>146</v>
      </c>
      <c r="C109" s="14">
        <v>84</v>
      </c>
      <c r="D109" s="14">
        <v>3</v>
      </c>
      <c r="E109" s="14">
        <v>3.57</v>
      </c>
      <c r="F109" s="14">
        <v>81</v>
      </c>
      <c r="G109" s="14">
        <v>2</v>
      </c>
    </row>
    <row r="110" spans="1:7" x14ac:dyDescent="0.3">
      <c r="A110" s="14" t="s">
        <v>5685</v>
      </c>
      <c r="B110" s="14" t="s">
        <v>147</v>
      </c>
      <c r="C110" s="14">
        <v>84</v>
      </c>
      <c r="D110" s="14">
        <v>0</v>
      </c>
      <c r="E110" s="14">
        <v>0</v>
      </c>
      <c r="F110" s="14">
        <v>84</v>
      </c>
      <c r="G110" s="14">
        <v>0</v>
      </c>
    </row>
    <row r="111" spans="1:7" x14ac:dyDescent="0.3">
      <c r="A111" s="14" t="s">
        <v>5685</v>
      </c>
      <c r="B111" s="14" t="s">
        <v>148</v>
      </c>
      <c r="C111" s="14">
        <v>84</v>
      </c>
      <c r="D111" s="14">
        <v>0</v>
      </c>
      <c r="E111" s="14">
        <v>0</v>
      </c>
      <c r="F111" s="14">
        <v>77</v>
      </c>
      <c r="G111" s="14">
        <v>7</v>
      </c>
    </row>
    <row r="112" spans="1:7" x14ac:dyDescent="0.3">
      <c r="A112" s="14" t="s">
        <v>5685</v>
      </c>
      <c r="B112" s="14" t="s">
        <v>149</v>
      </c>
      <c r="C112" s="14">
        <v>84</v>
      </c>
      <c r="D112" s="14">
        <v>0</v>
      </c>
      <c r="E112" s="14">
        <v>0</v>
      </c>
      <c r="F112" s="14">
        <v>68</v>
      </c>
      <c r="G112" s="14">
        <v>16</v>
      </c>
    </row>
    <row r="113" spans="1:7" x14ac:dyDescent="0.3">
      <c r="A113" s="14" t="s">
        <v>5685</v>
      </c>
      <c r="B113" s="14" t="s">
        <v>150</v>
      </c>
      <c r="C113" s="14">
        <v>84</v>
      </c>
      <c r="D113" s="14">
        <v>6</v>
      </c>
      <c r="E113" s="14">
        <v>7.14</v>
      </c>
      <c r="F113" s="14">
        <v>11</v>
      </c>
      <c r="G113" s="14">
        <v>72</v>
      </c>
    </row>
    <row r="114" spans="1:7" x14ac:dyDescent="0.3">
      <c r="A114" s="14" t="s">
        <v>5685</v>
      </c>
      <c r="B114" s="14" t="s">
        <v>151</v>
      </c>
      <c r="C114" s="14">
        <v>84</v>
      </c>
      <c r="D114" s="14">
        <v>31</v>
      </c>
      <c r="E114" s="14">
        <v>36.9</v>
      </c>
      <c r="F114" s="14">
        <v>3</v>
      </c>
      <c r="G114" s="14">
        <v>80</v>
      </c>
    </row>
    <row r="115" spans="1:7" x14ac:dyDescent="0.3">
      <c r="A115" s="14" t="s">
        <v>5685</v>
      </c>
      <c r="B115" s="14" t="s">
        <v>15</v>
      </c>
      <c r="C115" s="14">
        <v>84</v>
      </c>
      <c r="D115" s="14">
        <v>18</v>
      </c>
      <c r="E115" s="14">
        <v>21.43</v>
      </c>
      <c r="F115" s="14">
        <v>4</v>
      </c>
      <c r="G115" s="14">
        <v>79</v>
      </c>
    </row>
  </sheetData>
  <conditionalFormatting sqref="E3:E115">
    <cfRule type="cellIs" dxfId="0" priority="1" operator="greaterThan">
      <formula>20</formula>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67B00-3F3A-4FE4-A142-E0726B9865BC}">
  <dimension ref="A1:BN1002"/>
  <sheetViews>
    <sheetView showGridLines="0" topLeftCell="BA2" workbookViewId="0">
      <selection activeCell="BI20" sqref="BI20"/>
    </sheetView>
  </sheetViews>
  <sheetFormatPr defaultRowHeight="14.4" x14ac:dyDescent="0.3"/>
  <cols>
    <col min="1" max="1" width="14.77734375" style="2" bestFit="1" customWidth="1"/>
    <col min="2" max="2" width="10.33203125" style="1" bestFit="1" customWidth="1"/>
    <col min="3" max="3" width="11" style="2" bestFit="1" customWidth="1"/>
    <col min="4" max="4" width="19.88671875" style="2" bestFit="1" customWidth="1"/>
    <col min="5" max="5" width="10.44140625" style="2" bestFit="1" customWidth="1"/>
    <col min="6" max="6" width="11" style="2" bestFit="1" customWidth="1"/>
    <col min="7" max="7" width="15.88671875" style="2" bestFit="1" customWidth="1"/>
    <col min="8" max="8" width="14.5546875" style="2" bestFit="1" customWidth="1"/>
    <col min="9" max="9" width="14.21875" style="2" bestFit="1" customWidth="1"/>
    <col min="10" max="10" width="11.21875" style="2" bestFit="1" customWidth="1"/>
    <col min="11" max="11" width="16.88671875" style="2" bestFit="1" customWidth="1"/>
    <col min="12" max="12" width="7.6640625" style="2" bestFit="1" customWidth="1"/>
    <col min="13" max="13" width="19.5546875" style="1" bestFit="1" customWidth="1"/>
    <col min="14" max="14" width="12.5546875" style="1" bestFit="1" customWidth="1"/>
    <col min="15" max="15" width="17.21875" style="1" bestFit="1" customWidth="1"/>
    <col min="16" max="16" width="23.33203125" style="4" bestFit="1" customWidth="1"/>
    <col min="17" max="17" width="13.88671875" style="3" bestFit="1" customWidth="1"/>
    <col min="18" max="18" width="18.44140625" bestFit="1" customWidth="1"/>
    <col min="19" max="19" width="13.21875" style="3" bestFit="1" customWidth="1"/>
    <col min="20" max="20" width="13.5546875" style="3" bestFit="1" customWidth="1"/>
    <col min="21" max="21" width="15.33203125" style="3" bestFit="1" customWidth="1"/>
    <col min="22" max="22" width="19.88671875" bestFit="1" customWidth="1"/>
    <col min="23" max="23" width="14.109375" bestFit="1" customWidth="1"/>
    <col min="24" max="24" width="18.6640625" bestFit="1" customWidth="1"/>
    <col min="25" max="25" width="16.5546875" bestFit="1" customWidth="1"/>
    <col min="26" max="26" width="14.109375" bestFit="1" customWidth="1"/>
    <col min="27" max="27" width="16.33203125" bestFit="1" customWidth="1"/>
    <col min="28" max="28" width="14.109375" bestFit="1" customWidth="1"/>
    <col min="29" max="29" width="18.6640625" bestFit="1" customWidth="1"/>
    <col min="30" max="30" width="18" bestFit="1" customWidth="1"/>
    <col min="31" max="31" width="22.5546875" bestFit="1" customWidth="1"/>
    <col min="32" max="32" width="20.109375" bestFit="1" customWidth="1"/>
    <col min="33" max="33" width="15" bestFit="1" customWidth="1"/>
    <col min="34" max="34" width="17.6640625" bestFit="1" customWidth="1"/>
    <col min="35" max="35" width="12.109375" bestFit="1" customWidth="1"/>
    <col min="36" max="36" width="12.33203125" bestFit="1" customWidth="1"/>
    <col min="37" max="37" width="10.77734375" bestFit="1" customWidth="1"/>
    <col min="38" max="38" width="9.33203125" bestFit="1" customWidth="1"/>
    <col min="39" max="39" width="14.109375" bestFit="1" customWidth="1"/>
    <col min="40" max="40" width="20.44140625" bestFit="1" customWidth="1"/>
    <col min="41" max="41" width="13.109375" bestFit="1" customWidth="1"/>
    <col min="42" max="42" width="16.21875" bestFit="1" customWidth="1"/>
    <col min="43" max="43" width="20.77734375" bestFit="1" customWidth="1"/>
    <col min="44" max="44" width="13.88671875" bestFit="1" customWidth="1"/>
    <col min="45" max="45" width="18.44140625" bestFit="1" customWidth="1"/>
    <col min="46" max="46" width="15.5546875" bestFit="1" customWidth="1"/>
    <col min="47" max="47" width="12.77734375" bestFit="1" customWidth="1"/>
    <col min="48" max="48" width="10.5546875" bestFit="1" customWidth="1"/>
    <col min="49" max="49" width="17.77734375" bestFit="1" customWidth="1"/>
    <col min="50" max="50" width="16.21875" bestFit="1" customWidth="1"/>
    <col min="51" max="51" width="18.21875" bestFit="1" customWidth="1"/>
    <col min="52" max="52" width="15.44140625" bestFit="1" customWidth="1"/>
    <col min="53" max="54" width="20.6640625" customWidth="1"/>
    <col min="55" max="55" width="20.6640625" style="24" customWidth="1"/>
    <col min="56" max="56" width="20.6640625" style="26" customWidth="1"/>
    <col min="57" max="57" width="10.33203125" bestFit="1" customWidth="1"/>
    <col min="58" max="58" width="11" bestFit="1" customWidth="1"/>
    <col min="59" max="59" width="2.77734375" customWidth="1"/>
    <col min="60" max="60" width="16" customWidth="1"/>
    <col min="61" max="61" width="17.5546875" bestFit="1" customWidth="1"/>
    <col min="63" max="63" width="14.6640625" bestFit="1" customWidth="1"/>
    <col min="66" max="66" width="16.44140625" bestFit="1" customWidth="1"/>
  </cols>
  <sheetData>
    <row r="1" spans="1:66" ht="38.4" customHeight="1" x14ac:dyDescent="0.3"/>
    <row r="2" spans="1:66" ht="20.399999999999999" x14ac:dyDescent="0.35">
      <c r="A2" s="10" t="s">
        <v>287</v>
      </c>
      <c r="B2" s="9" t="s">
        <v>288</v>
      </c>
      <c r="C2" s="10" t="s">
        <v>164</v>
      </c>
      <c r="D2" s="10" t="s">
        <v>165</v>
      </c>
      <c r="E2" s="10" t="s">
        <v>4</v>
      </c>
      <c r="F2" s="10" t="s">
        <v>3</v>
      </c>
      <c r="G2" s="10" t="s">
        <v>166</v>
      </c>
      <c r="H2" s="10" t="s">
        <v>167</v>
      </c>
      <c r="I2" s="10" t="s">
        <v>168</v>
      </c>
      <c r="J2" s="10" t="s">
        <v>117</v>
      </c>
      <c r="K2" s="10" t="s">
        <v>169</v>
      </c>
      <c r="L2" s="10" t="s">
        <v>289</v>
      </c>
      <c r="M2" s="9" t="s">
        <v>290</v>
      </c>
      <c r="N2" s="9" t="s">
        <v>291</v>
      </c>
      <c r="O2" s="9" t="s">
        <v>292</v>
      </c>
      <c r="P2" s="11" t="s">
        <v>293</v>
      </c>
      <c r="Q2" s="12" t="s">
        <v>294</v>
      </c>
      <c r="R2" s="37" t="s">
        <v>5744</v>
      </c>
      <c r="S2" s="12" t="s">
        <v>295</v>
      </c>
      <c r="T2" s="12" t="s">
        <v>296</v>
      </c>
      <c r="U2" s="12" t="s">
        <v>175</v>
      </c>
      <c r="V2" s="36" t="s">
        <v>5745</v>
      </c>
      <c r="W2" s="8" t="s">
        <v>297</v>
      </c>
      <c r="X2" s="36" t="s">
        <v>5746</v>
      </c>
      <c r="Y2" s="8" t="s">
        <v>298</v>
      </c>
      <c r="Z2" s="8" t="s">
        <v>299</v>
      </c>
      <c r="AA2" s="8" t="s">
        <v>300</v>
      </c>
      <c r="AB2" s="8" t="s">
        <v>301</v>
      </c>
      <c r="AC2" s="36" t="s">
        <v>5747</v>
      </c>
      <c r="AD2" s="8" t="s">
        <v>302</v>
      </c>
      <c r="AE2" s="36" t="s">
        <v>5748</v>
      </c>
      <c r="AF2" s="8" t="s">
        <v>303</v>
      </c>
      <c r="AG2" s="8" t="s">
        <v>304</v>
      </c>
      <c r="AH2" s="8" t="s">
        <v>305</v>
      </c>
      <c r="AI2" s="8" t="s">
        <v>306</v>
      </c>
      <c r="AJ2" s="8" t="s">
        <v>307</v>
      </c>
      <c r="AK2" s="8" t="s">
        <v>150</v>
      </c>
      <c r="AL2" s="8" t="s">
        <v>308</v>
      </c>
      <c r="AM2" s="8" t="s">
        <v>309</v>
      </c>
      <c r="AN2" s="8" t="s">
        <v>310</v>
      </c>
      <c r="AO2" s="8" t="s">
        <v>311</v>
      </c>
      <c r="AP2" s="8" t="s">
        <v>143</v>
      </c>
      <c r="AQ2" s="36" t="s">
        <v>5749</v>
      </c>
      <c r="AR2" s="8" t="s">
        <v>142</v>
      </c>
      <c r="AS2" s="36" t="s">
        <v>5750</v>
      </c>
      <c r="AT2" s="8" t="s">
        <v>312</v>
      </c>
      <c r="AU2" s="8" t="s">
        <v>313</v>
      </c>
      <c r="AV2" s="8" t="s">
        <v>314</v>
      </c>
      <c r="AW2" s="8" t="s">
        <v>315</v>
      </c>
      <c r="AX2" s="8" t="s">
        <v>316</v>
      </c>
      <c r="AY2" s="8" t="s">
        <v>176</v>
      </c>
      <c r="AZ2" s="8" t="s">
        <v>15</v>
      </c>
      <c r="BA2" s="8" t="s">
        <v>5686</v>
      </c>
      <c r="BB2" s="8" t="s">
        <v>5687</v>
      </c>
      <c r="BC2" s="21" t="s">
        <v>5688</v>
      </c>
      <c r="BD2" s="23" t="s">
        <v>5716</v>
      </c>
      <c r="BE2" s="8" t="s">
        <v>5717</v>
      </c>
      <c r="BF2" s="8" t="s">
        <v>5731</v>
      </c>
      <c r="BG2" s="8"/>
      <c r="BH2" s="25" t="s">
        <v>5728</v>
      </c>
    </row>
    <row r="3" spans="1:66" x14ac:dyDescent="0.3">
      <c r="A3" s="10" t="s">
        <v>317</v>
      </c>
      <c r="B3" s="9">
        <v>45985</v>
      </c>
      <c r="C3" s="10" t="s">
        <v>284</v>
      </c>
      <c r="D3" s="10" t="s">
        <v>265</v>
      </c>
      <c r="E3" s="10" t="s">
        <v>41</v>
      </c>
      <c r="F3" s="10" t="s">
        <v>228</v>
      </c>
      <c r="G3" s="10" t="s">
        <v>16</v>
      </c>
      <c r="H3" s="10" t="s">
        <v>236</v>
      </c>
      <c r="I3" s="10" t="s">
        <v>183</v>
      </c>
      <c r="J3" s="10" t="s">
        <v>130</v>
      </c>
      <c r="K3" s="10" t="s">
        <v>223</v>
      </c>
      <c r="L3" s="10" t="s">
        <v>318</v>
      </c>
      <c r="M3" s="9">
        <v>45668</v>
      </c>
      <c r="N3" s="9">
        <v>46007</v>
      </c>
      <c r="O3" s="9">
        <v>46020</v>
      </c>
      <c r="P3" s="11">
        <v>27</v>
      </c>
      <c r="Q3" s="12">
        <v>7671301</v>
      </c>
      <c r="R3">
        <v>7671301</v>
      </c>
      <c r="S3" s="22">
        <v>0.02</v>
      </c>
      <c r="T3" s="22">
        <v>0.02</v>
      </c>
      <c r="U3" s="12">
        <v>7668232.4800000004</v>
      </c>
      <c r="V3" s="24">
        <v>7668232.4800000004</v>
      </c>
      <c r="W3" s="8">
        <v>5275387.25</v>
      </c>
      <c r="X3" s="24">
        <v>5275387.25</v>
      </c>
      <c r="Y3" s="22">
        <v>0.36</v>
      </c>
      <c r="Z3" s="22">
        <v>0.1</v>
      </c>
      <c r="AA3" s="8" t="s">
        <v>319</v>
      </c>
      <c r="AB3" s="8">
        <v>1838298.68</v>
      </c>
      <c r="AC3" s="24">
        <v>1838298.68</v>
      </c>
      <c r="AD3" s="8">
        <v>1634572.85</v>
      </c>
      <c r="AE3" s="24">
        <v>1634572.85</v>
      </c>
      <c r="AF3" s="8">
        <v>120</v>
      </c>
      <c r="AG3" s="8">
        <v>23</v>
      </c>
      <c r="AH3" s="8" t="s">
        <v>332</v>
      </c>
      <c r="AI3" s="8" t="s">
        <v>320</v>
      </c>
      <c r="AJ3" s="22">
        <v>0.61</v>
      </c>
      <c r="AK3" s="8" t="s">
        <v>152</v>
      </c>
      <c r="AL3" s="22">
        <v>0.05</v>
      </c>
      <c r="AM3" s="22">
        <v>0.01</v>
      </c>
      <c r="AN3" s="8">
        <v>6</v>
      </c>
      <c r="AO3" s="8">
        <v>837</v>
      </c>
      <c r="AP3" s="8">
        <v>953041.44</v>
      </c>
      <c r="AQ3" s="24">
        <v>953041.44</v>
      </c>
      <c r="AR3" s="8">
        <v>1265731.02</v>
      </c>
      <c r="AS3" s="37">
        <v>1265731.02</v>
      </c>
      <c r="AT3" s="8" t="s">
        <v>321</v>
      </c>
      <c r="AU3" s="8" t="s">
        <v>322</v>
      </c>
      <c r="AV3" s="8">
        <v>52.3</v>
      </c>
      <c r="AW3" s="8">
        <v>36</v>
      </c>
      <c r="AX3" s="8" t="s">
        <v>323</v>
      </c>
      <c r="AY3" s="8" t="s">
        <v>224</v>
      </c>
      <c r="AZ3" s="8" t="s">
        <v>324</v>
      </c>
      <c r="BA3" s="21">
        <f>IF(OR(tblsales[[#This Row],[Invoice Value USD]]="",tblsales[[#This Row],[Collected Amount USD]]=""),"",tblsales[[#This Row],[Invoice Value USD]]-tblsales[[#This Row],[Collected Amount USD]])</f>
        <v>203725.82999999984</v>
      </c>
      <c r="BB3" s="21">
        <f>IF(OR(tblsales[[#This Row],[Contract Value USD]]="",tblsales[[#This Row],[Cost Estimate USD]]=""),"",tblsales[[#This Row],[Contract Value USD]]-tblsales[[#This Row],[Cost Estimate USD]])</f>
        <v>2392845.2300000004</v>
      </c>
      <c r="BC3" s="21">
        <f>IF(OR(tblsales[[#This Row],[Contract Value USD]]="",tblsales[[#This Row],[Cost Estimate USD]]=""),"",tblsales[[#This Row],[Contract Value USD]]-tblsales[[#This Row],[Cost Estimate USD]])</f>
        <v>2392845.2300000004</v>
      </c>
      <c r="BD3" s="23">
        <f>IF(tblsales[[#This Row],[Invoice Value USD]]="","",tblsales[[#This Row],[Collected Amount USD]]/tblsales[[#This Row],[Invoice Value USD]])</f>
        <v>0.88917696987085915</v>
      </c>
      <c r="BE3" s="11">
        <f>IF(tblsales[[#This Row],[SalesStage]]="Won",1,0)</f>
        <v>1</v>
      </c>
      <c r="BF3" s="21" t="str">
        <f>IF(tblsales[[#This Row],[Win Flag]]=1,"Won","Lost")</f>
        <v>Won</v>
      </c>
      <c r="BG3" s="8"/>
      <c r="BH3" s="30" t="s">
        <v>5722</v>
      </c>
      <c r="BI3" s="30">
        <f>COUNTA(tblsales[TransactionID])</f>
        <v>1000</v>
      </c>
    </row>
    <row r="4" spans="1:66" x14ac:dyDescent="0.3">
      <c r="A4" s="10" t="s">
        <v>325</v>
      </c>
      <c r="B4" s="9">
        <v>45741</v>
      </c>
      <c r="C4" s="10" t="s">
        <v>222</v>
      </c>
      <c r="D4" s="10" t="s">
        <v>242</v>
      </c>
      <c r="E4" s="10" t="s">
        <v>113</v>
      </c>
      <c r="F4" s="10" t="s">
        <v>181</v>
      </c>
      <c r="G4" s="10" t="s">
        <v>80</v>
      </c>
      <c r="H4" s="10" t="s">
        <v>263</v>
      </c>
      <c r="I4" s="10" t="s">
        <v>183</v>
      </c>
      <c r="J4" s="10" t="s">
        <v>123</v>
      </c>
      <c r="K4" s="10" t="s">
        <v>326</v>
      </c>
      <c r="L4" s="10" t="s">
        <v>327</v>
      </c>
      <c r="M4" s="9">
        <v>45685</v>
      </c>
      <c r="N4" s="9">
        <v>45692</v>
      </c>
      <c r="O4" s="9"/>
      <c r="P4" s="11"/>
      <c r="Q4" s="12">
        <v>31221757</v>
      </c>
      <c r="R4">
        <v>8501684.4310999997</v>
      </c>
      <c r="S4" s="22">
        <v>0.14000000000000001</v>
      </c>
      <c r="T4" s="22">
        <v>0.2</v>
      </c>
      <c r="U4" s="12">
        <v>32220853.219999999</v>
      </c>
      <c r="V4" s="24">
        <v>8773738.3318059985</v>
      </c>
      <c r="W4" s="8">
        <v>25397565.98</v>
      </c>
      <c r="X4" s="24">
        <v>6915757.2163539995</v>
      </c>
      <c r="Y4" s="22">
        <v>0.2</v>
      </c>
      <c r="Z4" s="22">
        <v>0.06</v>
      </c>
      <c r="AA4" s="8" t="s">
        <v>328</v>
      </c>
      <c r="AB4" s="8">
        <v>19139180.239999998</v>
      </c>
      <c r="AC4" s="24">
        <v>5211598.7793519991</v>
      </c>
      <c r="AD4" s="8">
        <v>14269403.300000001</v>
      </c>
      <c r="AE4" s="24">
        <v>3885558.51859</v>
      </c>
      <c r="AF4" s="8">
        <v>60</v>
      </c>
      <c r="AG4" s="8">
        <v>15</v>
      </c>
      <c r="AH4" s="8" t="s">
        <v>329</v>
      </c>
      <c r="AI4" s="8" t="s">
        <v>320</v>
      </c>
      <c r="AJ4" s="22">
        <v>0.27</v>
      </c>
      <c r="AK4" s="8" t="s">
        <v>153</v>
      </c>
      <c r="AL4" s="22">
        <v>0.05</v>
      </c>
      <c r="AM4" s="22">
        <v>0.08</v>
      </c>
      <c r="AN4" s="8">
        <v>12</v>
      </c>
      <c r="AO4" s="8">
        <v>948</v>
      </c>
      <c r="AP4" s="8">
        <v>4623794.7699999996</v>
      </c>
      <c r="AQ4" s="24">
        <v>1259059.3158709998</v>
      </c>
      <c r="AR4" s="8">
        <v>11483019.73</v>
      </c>
      <c r="AS4" s="37">
        <v>3126826.272479</v>
      </c>
      <c r="AT4" s="8" t="s">
        <v>332</v>
      </c>
      <c r="AU4" s="8" t="s">
        <v>330</v>
      </c>
      <c r="AV4" s="8">
        <v>73.400000000000006</v>
      </c>
      <c r="AW4" s="8">
        <v>48</v>
      </c>
      <c r="AX4" s="8" t="s">
        <v>332</v>
      </c>
      <c r="AY4" s="8" t="s">
        <v>192</v>
      </c>
      <c r="AZ4" s="8" t="s">
        <v>332</v>
      </c>
      <c r="BA4" s="21">
        <f>IF(OR(tblsales[[#This Row],[Invoice Value USD]]="",tblsales[[#This Row],[Collected Amount USD]]=""),"",tblsales[[#This Row],[Invoice Value USD]]-tblsales[[#This Row],[Collected Amount USD]])</f>
        <v>1326040.2607619991</v>
      </c>
      <c r="BB4" s="21">
        <f>IF(OR(tblsales[[#This Row],[Contract Value USD]]="",tblsales[[#This Row],[Cost Estimate USD]]=""),"",tblsales[[#This Row],[Contract Value USD]]-tblsales[[#This Row],[Cost Estimate USD]])</f>
        <v>1857981.115451999</v>
      </c>
      <c r="BC4" s="21">
        <f>IF(OR(tblsales[[#This Row],[Contract Value USD]]="",tblsales[[#This Row],[Cost Estimate USD]]=""),"",tblsales[[#This Row],[Contract Value USD]]-tblsales[[#This Row],[Cost Estimate USD]])</f>
        <v>1857981.115451999</v>
      </c>
      <c r="BD4" s="23">
        <f>IF(tblsales[[#This Row],[Invoice Value USD]]="","",tblsales[[#This Row],[Collected Amount USD]]/tblsales[[#This Row],[Invoice Value USD]])</f>
        <v>0.74555979519841764</v>
      </c>
      <c r="BE4" s="11">
        <f>IF(tblsales[[#This Row],[SalesStage]]="Won",1,0)</f>
        <v>1</v>
      </c>
      <c r="BF4" s="21" t="str">
        <f>IF(tblsales[[#This Row],[Win Flag]]=1,"Won","Lost")</f>
        <v>Won</v>
      </c>
      <c r="BG4" s="8"/>
      <c r="BH4" s="30" t="s">
        <v>5732</v>
      </c>
      <c r="BI4" s="32">
        <f>SUM(tblsales[Invoice Value USD])</f>
        <v>6986176008.9494333</v>
      </c>
    </row>
    <row r="5" spans="1:66" x14ac:dyDescent="0.3">
      <c r="A5" s="10" t="s">
        <v>331</v>
      </c>
      <c r="B5" s="9">
        <v>45978</v>
      </c>
      <c r="C5" s="10" t="s">
        <v>211</v>
      </c>
      <c r="D5" s="10" t="s">
        <v>238</v>
      </c>
      <c r="E5" s="10" t="s">
        <v>41</v>
      </c>
      <c r="F5" s="10" t="s">
        <v>228</v>
      </c>
      <c r="G5" s="10" t="s">
        <v>332</v>
      </c>
      <c r="H5" s="10" t="s">
        <v>197</v>
      </c>
      <c r="I5" s="10" t="s">
        <v>332</v>
      </c>
      <c r="J5" s="10" t="s">
        <v>105</v>
      </c>
      <c r="K5" s="10" t="s">
        <v>333</v>
      </c>
      <c r="L5" s="10" t="s">
        <v>334</v>
      </c>
      <c r="M5" s="9">
        <v>45898</v>
      </c>
      <c r="N5" s="9"/>
      <c r="O5" s="9">
        <v>46062</v>
      </c>
      <c r="P5" s="11">
        <v>51</v>
      </c>
      <c r="Q5" s="12">
        <v>20228290</v>
      </c>
      <c r="R5">
        <v>5556711.2630000003</v>
      </c>
      <c r="S5" s="22">
        <v>0.3</v>
      </c>
      <c r="T5" s="22">
        <v>0.08</v>
      </c>
      <c r="U5" s="12">
        <v>15292587.24</v>
      </c>
      <c r="V5" s="24">
        <v>4200873.7148280004</v>
      </c>
      <c r="W5" s="8">
        <v>10098388.4</v>
      </c>
      <c r="X5" s="24">
        <v>2774027.29348</v>
      </c>
      <c r="Y5" s="22">
        <v>0.4</v>
      </c>
      <c r="Z5" s="22">
        <v>0.15</v>
      </c>
      <c r="AA5" s="8" t="s">
        <v>335</v>
      </c>
      <c r="AB5" s="8">
        <v>3350214.93</v>
      </c>
      <c r="AC5" s="24">
        <v>920304.04127100005</v>
      </c>
      <c r="AD5" s="8">
        <v>2007217.9</v>
      </c>
      <c r="AE5" s="24">
        <v>551382.75712999993</v>
      </c>
      <c r="AF5" s="8">
        <v>45</v>
      </c>
      <c r="AG5" s="8">
        <v>139</v>
      </c>
      <c r="AH5" s="8" t="s">
        <v>329</v>
      </c>
      <c r="AI5" s="8" t="s">
        <v>336</v>
      </c>
      <c r="AJ5" s="22">
        <v>0.95</v>
      </c>
      <c r="AK5" s="8" t="s">
        <v>155</v>
      </c>
      <c r="AL5" s="22">
        <v>0.15</v>
      </c>
      <c r="AM5" s="22">
        <v>0.09</v>
      </c>
      <c r="AN5" s="8">
        <v>10</v>
      </c>
      <c r="AO5" s="8">
        <v>4829</v>
      </c>
      <c r="AP5" s="8">
        <v>2375569.2599999998</v>
      </c>
      <c r="AQ5" s="24">
        <v>652568.87572199991</v>
      </c>
      <c r="AR5" s="8"/>
      <c r="AS5" s="37"/>
      <c r="AT5" s="8" t="s">
        <v>321</v>
      </c>
      <c r="AU5" s="8" t="s">
        <v>330</v>
      </c>
      <c r="AV5" s="8">
        <v>72.599999999999994</v>
      </c>
      <c r="AW5" s="8">
        <v>12</v>
      </c>
      <c r="AX5" s="8" t="s">
        <v>337</v>
      </c>
      <c r="AY5" s="8" t="s">
        <v>186</v>
      </c>
      <c r="AZ5" s="8" t="s">
        <v>332</v>
      </c>
      <c r="BA5" s="21">
        <f>IF(OR(tblsales[[#This Row],[Invoice Value USD]]="",tblsales[[#This Row],[Collected Amount USD]]=""),"",tblsales[[#This Row],[Invoice Value USD]]-tblsales[[#This Row],[Collected Amount USD]])</f>
        <v>368921.28414100013</v>
      </c>
      <c r="BB5" s="21">
        <f>IF(OR(tblsales[[#This Row],[Contract Value USD]]="",tblsales[[#This Row],[Cost Estimate USD]]=""),"",tblsales[[#This Row],[Contract Value USD]]-tblsales[[#This Row],[Cost Estimate USD]])</f>
        <v>1426846.4213480004</v>
      </c>
      <c r="BC5" s="21">
        <f>IF(OR(tblsales[[#This Row],[Contract Value USD]]="",tblsales[[#This Row],[Cost Estimate USD]]=""),"",tblsales[[#This Row],[Contract Value USD]]-tblsales[[#This Row],[Cost Estimate USD]])</f>
        <v>1426846.4213480004</v>
      </c>
      <c r="BD5" s="23">
        <f>IF(tblsales[[#This Row],[Invoice Value USD]]="","",tblsales[[#This Row],[Collected Amount USD]]/tblsales[[#This Row],[Invoice Value USD]])</f>
        <v>0.59913108321083142</v>
      </c>
      <c r="BE5" s="11">
        <f>IF(tblsales[[#This Row],[SalesStage]]="Won",1,0)</f>
        <v>0</v>
      </c>
      <c r="BF5" s="21" t="str">
        <f>IF(tblsales[[#This Row],[Win Flag]]=1,"Won","Lost")</f>
        <v>Lost</v>
      </c>
      <c r="BG5" s="8"/>
      <c r="BH5" s="31" t="s">
        <v>5724</v>
      </c>
      <c r="BI5" s="32">
        <f>SUM(tblsales[Collected Amount USD])</f>
        <v>4920441581.6253586</v>
      </c>
      <c r="BK5" s="3"/>
    </row>
    <row r="6" spans="1:66" x14ac:dyDescent="0.3">
      <c r="A6" s="10" t="s">
        <v>338</v>
      </c>
      <c r="B6" s="9">
        <v>46000</v>
      </c>
      <c r="C6" s="10" t="s">
        <v>201</v>
      </c>
      <c r="D6" s="10" t="s">
        <v>255</v>
      </c>
      <c r="E6" s="10" t="s">
        <v>36</v>
      </c>
      <c r="F6" s="10" t="s">
        <v>339</v>
      </c>
      <c r="G6" s="10" t="s">
        <v>50</v>
      </c>
      <c r="H6" s="10" t="s">
        <v>182</v>
      </c>
      <c r="I6" s="10" t="s">
        <v>246</v>
      </c>
      <c r="J6" s="10" t="s">
        <v>115</v>
      </c>
      <c r="K6" s="10" t="s">
        <v>333</v>
      </c>
      <c r="L6" s="10" t="s">
        <v>340</v>
      </c>
      <c r="M6" s="9">
        <v>46002</v>
      </c>
      <c r="N6" s="9"/>
      <c r="O6" s="9">
        <v>46039</v>
      </c>
      <c r="P6" s="11">
        <v>57</v>
      </c>
      <c r="Q6" s="12">
        <v>32775615</v>
      </c>
      <c r="R6">
        <v>32775615</v>
      </c>
      <c r="S6" s="22">
        <v>0.08</v>
      </c>
      <c r="T6" s="22">
        <v>-0.02</v>
      </c>
      <c r="U6" s="12">
        <v>29550494.48</v>
      </c>
      <c r="V6" s="24">
        <v>29550494.48</v>
      </c>
      <c r="W6" s="8">
        <v>18178769.73</v>
      </c>
      <c r="X6" s="24">
        <v>18178769.73</v>
      </c>
      <c r="Y6" s="22">
        <v>0.34</v>
      </c>
      <c r="Z6" s="22">
        <v>0.2</v>
      </c>
      <c r="AA6" s="8" t="s">
        <v>341</v>
      </c>
      <c r="AB6" s="8">
        <v>24975696.870000001</v>
      </c>
      <c r="AC6" s="24">
        <v>24975696.870000001</v>
      </c>
      <c r="AD6" s="8">
        <v>18902468.420000002</v>
      </c>
      <c r="AE6" s="24">
        <v>18902468.420000002</v>
      </c>
      <c r="AF6" s="8">
        <v>90</v>
      </c>
      <c r="AG6" s="8">
        <v>63</v>
      </c>
      <c r="AH6" s="8" t="s">
        <v>342</v>
      </c>
      <c r="AI6" s="8" t="s">
        <v>336</v>
      </c>
      <c r="AJ6" s="22">
        <v>0.79</v>
      </c>
      <c r="AK6" s="8" t="s">
        <v>152</v>
      </c>
      <c r="AL6" s="22">
        <v>0.1</v>
      </c>
      <c r="AM6" s="22">
        <v>0.03</v>
      </c>
      <c r="AN6" s="8">
        <v>3</v>
      </c>
      <c r="AO6" s="8">
        <v>490</v>
      </c>
      <c r="AP6" s="8">
        <v>605659.16</v>
      </c>
      <c r="AQ6" s="24">
        <v>605659.16</v>
      </c>
      <c r="AR6" s="8">
        <v>13906676.34</v>
      </c>
      <c r="AS6" s="37">
        <v>13906676.34</v>
      </c>
      <c r="AT6" s="8" t="s">
        <v>343</v>
      </c>
      <c r="AU6" s="8" t="s">
        <v>332</v>
      </c>
      <c r="AV6" s="8">
        <v>58.3</v>
      </c>
      <c r="AW6" s="8">
        <v>36</v>
      </c>
      <c r="AX6" s="8" t="s">
        <v>332</v>
      </c>
      <c r="AY6" s="8" t="s">
        <v>224</v>
      </c>
      <c r="AZ6" s="8" t="s">
        <v>188</v>
      </c>
      <c r="BA6" s="21">
        <f>IF(OR(tblsales[[#This Row],[Invoice Value USD]]="",tblsales[[#This Row],[Collected Amount USD]]=""),"",tblsales[[#This Row],[Invoice Value USD]]-tblsales[[#This Row],[Collected Amount USD]])</f>
        <v>6073228.4499999993</v>
      </c>
      <c r="BB6" s="21">
        <f>IF(OR(tblsales[[#This Row],[Contract Value USD]]="",tblsales[[#This Row],[Cost Estimate USD]]=""),"",tblsales[[#This Row],[Contract Value USD]]-tblsales[[#This Row],[Cost Estimate USD]])</f>
        <v>11371724.75</v>
      </c>
      <c r="BC6" s="21">
        <f>IF(OR(tblsales[[#This Row],[Contract Value USD]]="",tblsales[[#This Row],[Cost Estimate USD]]=""),"",tblsales[[#This Row],[Contract Value USD]]-tblsales[[#This Row],[Cost Estimate USD]])</f>
        <v>11371724.75</v>
      </c>
      <c r="BD6" s="23">
        <f>IF(tblsales[[#This Row],[Invoice Value USD]]="","",tblsales[[#This Row],[Collected Amount USD]]/tblsales[[#This Row],[Invoice Value USD]])</f>
        <v>0.75683447466505072</v>
      </c>
      <c r="BE6" s="11">
        <f>IF(tblsales[[#This Row],[SalesStage]]="Won",1,0)</f>
        <v>0</v>
      </c>
      <c r="BF6" s="21" t="str">
        <f>IF(tblsales[[#This Row],[Win Flag]]=1,"Won","Lost")</f>
        <v>Lost</v>
      </c>
      <c r="BG6" s="8"/>
      <c r="BH6" s="30" t="s">
        <v>5733</v>
      </c>
      <c r="BI6" s="32">
        <f>SUM(tblsales[Outstanding Amount])</f>
        <v>1981005738.2100165</v>
      </c>
    </row>
    <row r="7" spans="1:66" x14ac:dyDescent="0.3">
      <c r="A7" s="10" t="s">
        <v>344</v>
      </c>
      <c r="B7" s="9">
        <v>45809</v>
      </c>
      <c r="C7" s="10" t="s">
        <v>270</v>
      </c>
      <c r="D7" s="10" t="s">
        <v>255</v>
      </c>
      <c r="E7" s="10" t="s">
        <v>36</v>
      </c>
      <c r="F7" s="10" t="s">
        <v>19</v>
      </c>
      <c r="G7" s="10" t="s">
        <v>23</v>
      </c>
      <c r="H7" s="10" t="s">
        <v>212</v>
      </c>
      <c r="I7" s="10" t="s">
        <v>191</v>
      </c>
      <c r="J7" s="10" t="s">
        <v>115</v>
      </c>
      <c r="K7" s="10" t="s">
        <v>223</v>
      </c>
      <c r="L7" s="10" t="s">
        <v>345</v>
      </c>
      <c r="M7" s="9">
        <v>45766</v>
      </c>
      <c r="N7" s="9">
        <v>45829</v>
      </c>
      <c r="O7" s="9">
        <v>45855</v>
      </c>
      <c r="P7" s="11">
        <v>51</v>
      </c>
      <c r="Q7" s="12">
        <v>14809659</v>
      </c>
      <c r="R7">
        <v>14809659</v>
      </c>
      <c r="S7" s="22">
        <v>0.34</v>
      </c>
      <c r="T7" s="22">
        <v>0.09</v>
      </c>
      <c r="U7" s="12">
        <v>10654068.68</v>
      </c>
      <c r="V7" s="24">
        <v>10654068.68</v>
      </c>
      <c r="W7" s="8">
        <v>6422215.46</v>
      </c>
      <c r="X7" s="24">
        <v>6422215.46</v>
      </c>
      <c r="Y7" s="22">
        <v>0.25</v>
      </c>
      <c r="Z7" s="22">
        <v>0.06</v>
      </c>
      <c r="AA7" s="8" t="s">
        <v>346</v>
      </c>
      <c r="AB7" s="8">
        <v>5442800.6100000003</v>
      </c>
      <c r="AC7" s="24">
        <v>5442800.6100000003</v>
      </c>
      <c r="AD7" s="8">
        <v>4889705.6500000004</v>
      </c>
      <c r="AE7" s="24">
        <v>4889705.6500000004</v>
      </c>
      <c r="AF7" s="8">
        <v>30</v>
      </c>
      <c r="AG7" s="8">
        <v>13</v>
      </c>
      <c r="AH7" s="8" t="s">
        <v>347</v>
      </c>
      <c r="AI7" s="8" t="s">
        <v>336</v>
      </c>
      <c r="AJ7" s="22">
        <v>0.6</v>
      </c>
      <c r="AK7" s="8" t="s">
        <v>152</v>
      </c>
      <c r="AL7" s="22">
        <v>0.15</v>
      </c>
      <c r="AM7" s="22">
        <v>0.09</v>
      </c>
      <c r="AN7" s="8">
        <v>5</v>
      </c>
      <c r="AO7" s="8">
        <v>1302</v>
      </c>
      <c r="AP7" s="8">
        <v>1544202.11</v>
      </c>
      <c r="AQ7" s="24">
        <v>1544202.11</v>
      </c>
      <c r="AR7" s="8">
        <v>5258223.16</v>
      </c>
      <c r="AS7" s="37">
        <v>5258223.16</v>
      </c>
      <c r="AT7" s="8" t="s">
        <v>343</v>
      </c>
      <c r="AU7" s="8" t="s">
        <v>348</v>
      </c>
      <c r="AV7" s="8">
        <v>63.3</v>
      </c>
      <c r="AW7" s="8">
        <v>60</v>
      </c>
      <c r="AX7" s="8" t="s">
        <v>337</v>
      </c>
      <c r="AY7" s="8" t="s">
        <v>186</v>
      </c>
      <c r="AZ7" s="8" t="s">
        <v>188</v>
      </c>
      <c r="BA7" s="21">
        <f>IF(OR(tblsales[[#This Row],[Invoice Value USD]]="",tblsales[[#This Row],[Collected Amount USD]]=""),"",tblsales[[#This Row],[Invoice Value USD]]-tblsales[[#This Row],[Collected Amount USD]])</f>
        <v>553094.96</v>
      </c>
      <c r="BB7" s="21">
        <f>IF(OR(tblsales[[#This Row],[Contract Value USD]]="",tblsales[[#This Row],[Cost Estimate USD]]=""),"",tblsales[[#This Row],[Contract Value USD]]-tblsales[[#This Row],[Cost Estimate USD]])</f>
        <v>4231853.22</v>
      </c>
      <c r="BC7" s="21">
        <f>IF(OR(tblsales[[#This Row],[Contract Value USD]]="",tblsales[[#This Row],[Cost Estimate USD]]=""),"",tblsales[[#This Row],[Contract Value USD]]-tblsales[[#This Row],[Cost Estimate USD]])</f>
        <v>4231853.22</v>
      </c>
      <c r="BD7" s="23">
        <f>IF(tblsales[[#This Row],[Invoice Value USD]]="","",tblsales[[#This Row],[Collected Amount USD]]/tblsales[[#This Row],[Invoice Value USD]])</f>
        <v>0.89838044792899363</v>
      </c>
      <c r="BE7" s="11">
        <f>IF(tblsales[[#This Row],[SalesStage]]="Won",1,0)</f>
        <v>0</v>
      </c>
      <c r="BF7" s="21" t="str">
        <f>IF(tblsales[[#This Row],[Win Flag]]=1,"Won","Lost")</f>
        <v>Lost</v>
      </c>
      <c r="BG7" s="8"/>
      <c r="BH7" s="30" t="s">
        <v>5727</v>
      </c>
      <c r="BI7" s="33">
        <f>AVERAGE(tblsales[Win Flag])</f>
        <v>0.155</v>
      </c>
      <c r="BL7" t="s">
        <v>5730</v>
      </c>
      <c r="BN7">
        <f>SUM(tblsales[Gross Profit])</f>
        <v>3508661326.3666739</v>
      </c>
    </row>
    <row r="8" spans="1:66" x14ac:dyDescent="0.3">
      <c r="A8" s="10" t="s">
        <v>5775</v>
      </c>
      <c r="B8" s="9">
        <v>45717</v>
      </c>
      <c r="C8" s="10" t="s">
        <v>225</v>
      </c>
      <c r="D8" s="10" t="s">
        <v>180</v>
      </c>
      <c r="E8" s="10" t="s">
        <v>332</v>
      </c>
      <c r="F8" s="10" t="s">
        <v>75</v>
      </c>
      <c r="G8" s="10" t="s">
        <v>66</v>
      </c>
      <c r="H8" s="10" t="s">
        <v>182</v>
      </c>
      <c r="I8" s="10" t="s">
        <v>332</v>
      </c>
      <c r="J8" s="10" t="s">
        <v>115</v>
      </c>
      <c r="K8" s="10" t="s">
        <v>204</v>
      </c>
      <c r="L8" s="10" t="s">
        <v>3283</v>
      </c>
      <c r="M8" s="9">
        <v>45638</v>
      </c>
      <c r="N8" s="9">
        <v>45842</v>
      </c>
      <c r="O8" s="9">
        <v>45781</v>
      </c>
      <c r="P8" s="11">
        <v>53</v>
      </c>
      <c r="Q8" s="12">
        <v>7383062</v>
      </c>
      <c r="R8">
        <v>2028127.1314000001</v>
      </c>
      <c r="S8" s="22"/>
      <c r="T8" s="22">
        <v>-0.01</v>
      </c>
      <c r="U8" s="12">
        <v>5408831.2199999997</v>
      </c>
      <c r="V8" s="24">
        <v>1485805.9361339998</v>
      </c>
      <c r="W8" s="8">
        <v>3310034.13</v>
      </c>
      <c r="X8" s="24">
        <v>909266.37551099993</v>
      </c>
      <c r="Y8" s="22">
        <v>0.28999999999999998</v>
      </c>
      <c r="Z8" s="22">
        <v>0.15</v>
      </c>
      <c r="AA8" s="8" t="s">
        <v>3286</v>
      </c>
      <c r="AB8" s="8">
        <v>1565817.86</v>
      </c>
      <c r="AC8" s="24">
        <v>430130.166142</v>
      </c>
      <c r="AD8" s="8">
        <v>733591.5</v>
      </c>
      <c r="AE8" s="24">
        <v>201517.58504999999</v>
      </c>
      <c r="AF8" s="8">
        <v>60</v>
      </c>
      <c r="AG8" s="8">
        <v>53</v>
      </c>
      <c r="AH8" s="8" t="s">
        <v>332</v>
      </c>
      <c r="AI8" s="8" t="s">
        <v>406</v>
      </c>
      <c r="AJ8" s="22">
        <v>0.7</v>
      </c>
      <c r="AK8" s="8" t="s">
        <v>155</v>
      </c>
      <c r="AL8" s="22">
        <v>0.1</v>
      </c>
      <c r="AM8" s="22">
        <v>0.06</v>
      </c>
      <c r="AN8" s="8">
        <v>8</v>
      </c>
      <c r="AO8" s="8">
        <v>1949</v>
      </c>
      <c r="AP8" s="8">
        <v>1322607.3700000001</v>
      </c>
      <c r="AQ8" s="24">
        <v>363320.24453900004</v>
      </c>
      <c r="AR8" s="8">
        <v>2447855.7200000002</v>
      </c>
      <c r="AS8" s="37">
        <v>672425.96628400008</v>
      </c>
      <c r="AT8" s="8" t="s">
        <v>385</v>
      </c>
      <c r="AU8" s="8" t="s">
        <v>386</v>
      </c>
      <c r="AV8" s="8">
        <v>94.2</v>
      </c>
      <c r="AW8" s="8"/>
      <c r="AX8" s="8" t="s">
        <v>332</v>
      </c>
      <c r="AY8" s="8" t="s">
        <v>224</v>
      </c>
      <c r="AZ8" s="8" t="s">
        <v>332</v>
      </c>
      <c r="BA8" s="21">
        <f>IF(OR(tblsales[[#This Row],[Invoice Value USD]]="",tblsales[[#This Row],[Collected Amount USD]]=""),"",tblsales[[#This Row],[Invoice Value USD]]-tblsales[[#This Row],[Collected Amount USD]])</f>
        <v>228612.58109200001</v>
      </c>
      <c r="BB8" s="21">
        <f>IF(OR(tblsales[[#This Row],[Contract Value USD]]="",tblsales[[#This Row],[Cost Estimate USD]]=""),"",tblsales[[#This Row],[Contract Value USD]]-tblsales[[#This Row],[Cost Estimate USD]])</f>
        <v>576539.56062299991</v>
      </c>
      <c r="BC8" s="21">
        <f>IF(OR(tblsales[[#This Row],[Contract Value USD]]="",tblsales[[#This Row],[Cost Estimate USD]]=""),"",tblsales[[#This Row],[Contract Value USD]]-tblsales[[#This Row],[Cost Estimate USD]])</f>
        <v>576539.56062299991</v>
      </c>
      <c r="BD8" s="23">
        <f>IF(tblsales[[#This Row],[Invoice Value USD]]="","",tblsales[[#This Row],[Collected Amount USD]]/tblsales[[#This Row],[Invoice Value USD]])</f>
        <v>0.4685037249479323</v>
      </c>
      <c r="BE8" s="11">
        <f>IF(tblsales[[#This Row],[SalesStage]]="Won",1,0)</f>
        <v>0</v>
      </c>
      <c r="BF8" s="21" t="str">
        <f>IF(tblsales[[#This Row],[Win Flag]]=1,"Won","Lost")</f>
        <v>Lost</v>
      </c>
      <c r="BG8" s="8"/>
      <c r="BH8" s="30" t="s">
        <v>5726</v>
      </c>
      <c r="BI8" s="33">
        <f>IFERROR(BN7/BI11,"")</f>
        <v>0.23950616812849593</v>
      </c>
    </row>
    <row r="9" spans="1:66" x14ac:dyDescent="0.3">
      <c r="A9" s="10" t="s">
        <v>349</v>
      </c>
      <c r="B9" s="9">
        <v>46236</v>
      </c>
      <c r="C9" s="10" t="s">
        <v>247</v>
      </c>
      <c r="D9" s="10" t="s">
        <v>262</v>
      </c>
      <c r="E9" s="10" t="s">
        <v>41</v>
      </c>
      <c r="F9" s="10" t="s">
        <v>350</v>
      </c>
      <c r="G9" s="10" t="s">
        <v>78</v>
      </c>
      <c r="H9" s="10" t="s">
        <v>263</v>
      </c>
      <c r="I9" s="10" t="s">
        <v>240</v>
      </c>
      <c r="J9" s="10" t="s">
        <v>105</v>
      </c>
      <c r="K9" s="10" t="s">
        <v>199</v>
      </c>
      <c r="L9" s="10" t="s">
        <v>351</v>
      </c>
      <c r="M9" s="9">
        <v>46047</v>
      </c>
      <c r="N9" s="9">
        <v>46083</v>
      </c>
      <c r="O9" s="9">
        <v>46156</v>
      </c>
      <c r="P9" s="11">
        <v>39</v>
      </c>
      <c r="Q9" s="12">
        <v>47261982</v>
      </c>
      <c r="R9">
        <v>12982866.455399999</v>
      </c>
      <c r="S9" s="22">
        <v>0.05</v>
      </c>
      <c r="T9" s="22">
        <v>0.17</v>
      </c>
      <c r="U9" s="12">
        <v>52531692.990000002</v>
      </c>
      <c r="V9" s="24">
        <v>14430456.064353</v>
      </c>
      <c r="W9" s="8">
        <v>32218525.719999999</v>
      </c>
      <c r="X9" s="24">
        <v>8850429.015284</v>
      </c>
      <c r="Y9" s="22">
        <v>0.23</v>
      </c>
      <c r="Z9" s="22">
        <v>0.17</v>
      </c>
      <c r="AA9" s="8" t="s">
        <v>352</v>
      </c>
      <c r="AB9" s="8">
        <v>40964438.170000002</v>
      </c>
      <c r="AC9" s="24">
        <v>11252931.165299</v>
      </c>
      <c r="AD9" s="8">
        <v>19578829.27</v>
      </c>
      <c r="AE9" s="24">
        <v>5378304.4004689995</v>
      </c>
      <c r="AF9" s="8">
        <v>90</v>
      </c>
      <c r="AG9" s="8">
        <v>90</v>
      </c>
      <c r="AH9" s="8" t="s">
        <v>353</v>
      </c>
      <c r="AI9" s="8" t="s">
        <v>354</v>
      </c>
      <c r="AJ9" s="22">
        <v>0.34</v>
      </c>
      <c r="AK9" s="8" t="s">
        <v>155</v>
      </c>
      <c r="AL9" s="22">
        <v>0.05</v>
      </c>
      <c r="AM9" s="22">
        <v>0.03</v>
      </c>
      <c r="AN9" s="8">
        <v>6</v>
      </c>
      <c r="AO9" s="8">
        <v>2714</v>
      </c>
      <c r="AP9" s="8">
        <v>9065873.3200000003</v>
      </c>
      <c r="AQ9" s="24">
        <v>2490395.4010040001</v>
      </c>
      <c r="AR9" s="8">
        <v>24165562.91</v>
      </c>
      <c r="AS9" s="37">
        <v>6638280.1313770004</v>
      </c>
      <c r="AT9" s="8" t="s">
        <v>355</v>
      </c>
      <c r="AU9" s="8" t="s">
        <v>356</v>
      </c>
      <c r="AV9" s="8">
        <v>87.1</v>
      </c>
      <c r="AW9" s="8">
        <v>48</v>
      </c>
      <c r="AX9" s="8" t="s">
        <v>332</v>
      </c>
      <c r="AY9" s="8" t="s">
        <v>229</v>
      </c>
      <c r="AZ9" s="8" t="s">
        <v>357</v>
      </c>
      <c r="BA9" s="21">
        <f>IF(OR(tblsales[[#This Row],[Invoice Value USD]]="",tblsales[[#This Row],[Collected Amount USD]]=""),"",tblsales[[#This Row],[Invoice Value USD]]-tblsales[[#This Row],[Collected Amount USD]])</f>
        <v>5874626.7648300007</v>
      </c>
      <c r="BB9" s="21">
        <f>IF(OR(tblsales[[#This Row],[Contract Value USD]]="",tblsales[[#This Row],[Cost Estimate USD]]=""),"",tblsales[[#This Row],[Contract Value USD]]-tblsales[[#This Row],[Cost Estimate USD]])</f>
        <v>5580027.0490690004</v>
      </c>
      <c r="BC9" s="21">
        <f>IF(OR(tblsales[[#This Row],[Contract Value USD]]="",tblsales[[#This Row],[Cost Estimate USD]]=""),"",tblsales[[#This Row],[Contract Value USD]]-tblsales[[#This Row],[Cost Estimate USD]])</f>
        <v>5580027.0490690004</v>
      </c>
      <c r="BD9" s="23">
        <f>IF(tblsales[[#This Row],[Invoice Value USD]]="","",tblsales[[#This Row],[Collected Amount USD]]/tblsales[[#This Row],[Invoice Value USD]])</f>
        <v>0.47794697412299447</v>
      </c>
      <c r="BE9" s="11">
        <f>IF(tblsales[[#This Row],[SalesStage]]="Won",1,0)</f>
        <v>0</v>
      </c>
      <c r="BF9" s="21" t="str">
        <f>IF(tblsales[[#This Row],[Win Flag]]=1,"Won","Lost")</f>
        <v>Lost</v>
      </c>
      <c r="BG9" s="8"/>
      <c r="BH9" s="30" t="s">
        <v>5734</v>
      </c>
      <c r="BI9" s="32">
        <f>SUM(tblsales[Tender Value USD])</f>
        <v>16413464674.96471</v>
      </c>
    </row>
    <row r="10" spans="1:66" x14ac:dyDescent="0.3">
      <c r="A10" s="10" t="s">
        <v>358</v>
      </c>
      <c r="B10" s="9">
        <v>46004</v>
      </c>
      <c r="C10" s="10" t="s">
        <v>247</v>
      </c>
      <c r="D10" s="10" t="s">
        <v>250</v>
      </c>
      <c r="E10" s="10" t="s">
        <v>20</v>
      </c>
      <c r="F10" s="10" t="s">
        <v>35</v>
      </c>
      <c r="G10" s="10" t="s">
        <v>66</v>
      </c>
      <c r="H10" s="10" t="s">
        <v>216</v>
      </c>
      <c r="I10" s="10" t="s">
        <v>198</v>
      </c>
      <c r="J10" s="10" t="s">
        <v>136</v>
      </c>
      <c r="K10" s="10" t="s">
        <v>204</v>
      </c>
      <c r="L10" s="10" t="s">
        <v>359</v>
      </c>
      <c r="M10" s="9">
        <v>45991</v>
      </c>
      <c r="N10" s="9"/>
      <c r="O10" s="9">
        <v>46043</v>
      </c>
      <c r="P10" s="11">
        <v>43</v>
      </c>
      <c r="Q10" s="12">
        <v>11878777</v>
      </c>
      <c r="R10">
        <v>13791260.097000001</v>
      </c>
      <c r="S10" s="22">
        <v>0.22</v>
      </c>
      <c r="T10" s="22">
        <v>0.03</v>
      </c>
      <c r="U10" s="12">
        <v>9543409.4399999995</v>
      </c>
      <c r="V10" s="24">
        <v>11079898.35984</v>
      </c>
      <c r="W10" s="8">
        <v>7782686.4199999999</v>
      </c>
      <c r="X10" s="24">
        <v>9035698.9336200003</v>
      </c>
      <c r="Y10" s="22">
        <v>0.19</v>
      </c>
      <c r="Z10" s="22">
        <v>7.0000000000000007E-2</v>
      </c>
      <c r="AA10" s="8" t="s">
        <v>360</v>
      </c>
      <c r="AB10" s="8">
        <v>4921981.2699999996</v>
      </c>
      <c r="AC10" s="24">
        <v>5714420.25447</v>
      </c>
      <c r="AD10" s="8">
        <v>1478192.8</v>
      </c>
      <c r="AE10" s="24">
        <v>1716181.8408000001</v>
      </c>
      <c r="AF10" s="8">
        <v>60</v>
      </c>
      <c r="AG10" s="8">
        <v>54</v>
      </c>
      <c r="AH10" s="8" t="s">
        <v>332</v>
      </c>
      <c r="AI10" s="8" t="s">
        <v>320</v>
      </c>
      <c r="AJ10" s="22">
        <v>0.45</v>
      </c>
      <c r="AK10" s="8" t="s">
        <v>159</v>
      </c>
      <c r="AL10" s="22">
        <v>0.15</v>
      </c>
      <c r="AM10" s="22">
        <v>0.06</v>
      </c>
      <c r="AN10" s="8">
        <v>10</v>
      </c>
      <c r="AO10" s="8">
        <v>4253</v>
      </c>
      <c r="AP10" s="8">
        <v>1414365.08</v>
      </c>
      <c r="AQ10" s="24">
        <v>1642077.85788</v>
      </c>
      <c r="AR10" s="8">
        <v>1417610.86</v>
      </c>
      <c r="AS10" s="37">
        <v>1645846.2084600001</v>
      </c>
      <c r="AT10" s="8" t="s">
        <v>343</v>
      </c>
      <c r="AU10" s="8" t="s">
        <v>356</v>
      </c>
      <c r="AV10" s="8"/>
      <c r="AW10" s="8">
        <v>48</v>
      </c>
      <c r="AX10" s="8" t="s">
        <v>332</v>
      </c>
      <c r="AY10" s="8" t="s">
        <v>206</v>
      </c>
      <c r="AZ10" s="8" t="s">
        <v>361</v>
      </c>
      <c r="BA10" s="21">
        <f>IF(OR(tblsales[[#This Row],[Invoice Value USD]]="",tblsales[[#This Row],[Collected Amount USD]]=""),"",tblsales[[#This Row],[Invoice Value USD]]-tblsales[[#This Row],[Collected Amount USD]])</f>
        <v>3998238.4136699997</v>
      </c>
      <c r="BB10" s="21">
        <f>IF(OR(tblsales[[#This Row],[Contract Value USD]]="",tblsales[[#This Row],[Cost Estimate USD]]=""),"",tblsales[[#This Row],[Contract Value USD]]-tblsales[[#This Row],[Cost Estimate USD]])</f>
        <v>2044199.4262199998</v>
      </c>
      <c r="BC10" s="21">
        <f>IF(OR(tblsales[[#This Row],[Contract Value USD]]="",tblsales[[#This Row],[Cost Estimate USD]]=""),"",tblsales[[#This Row],[Contract Value USD]]-tblsales[[#This Row],[Cost Estimate USD]])</f>
        <v>2044199.4262199998</v>
      </c>
      <c r="BD10" s="23">
        <f>IF(tblsales[[#This Row],[Invoice Value USD]]="","",tblsales[[#This Row],[Collected Amount USD]]/tblsales[[#This Row],[Invoice Value USD]])</f>
        <v>0.30032475113421148</v>
      </c>
      <c r="BE10" s="11">
        <f>IF(tblsales[[#This Row],[SalesStage]]="Won",1,0)</f>
        <v>1</v>
      </c>
      <c r="BF10" s="21" t="str">
        <f>IF(tblsales[[#This Row],[Win Flag]]=1,"Won","Lost")</f>
        <v>Won</v>
      </c>
      <c r="BG10" s="8"/>
      <c r="BH10" s="30" t="s">
        <v>5730</v>
      </c>
      <c r="BI10" s="32">
        <f>SUM(tblsales[Gross Profit])</f>
        <v>3508661326.3666739</v>
      </c>
    </row>
    <row r="11" spans="1:66" x14ac:dyDescent="0.3">
      <c r="A11" s="10" t="s">
        <v>362</v>
      </c>
      <c r="B11" s="9">
        <v>45846</v>
      </c>
      <c r="C11" s="10" t="s">
        <v>222</v>
      </c>
      <c r="D11" s="10" t="s">
        <v>281</v>
      </c>
      <c r="E11" s="10" t="s">
        <v>41</v>
      </c>
      <c r="F11" s="10" t="s">
        <v>363</v>
      </c>
      <c r="G11" s="10" t="s">
        <v>70</v>
      </c>
      <c r="H11" s="10" t="s">
        <v>212</v>
      </c>
      <c r="I11" s="10" t="s">
        <v>183</v>
      </c>
      <c r="J11" s="10" t="s">
        <v>105</v>
      </c>
      <c r="K11" s="10" t="s">
        <v>333</v>
      </c>
      <c r="L11" s="10" t="s">
        <v>364</v>
      </c>
      <c r="M11" s="9">
        <v>45783</v>
      </c>
      <c r="N11" s="9"/>
      <c r="O11" s="9">
        <v>45980</v>
      </c>
      <c r="P11" s="11">
        <v>51</v>
      </c>
      <c r="Q11" s="12">
        <v>36967064</v>
      </c>
      <c r="R11">
        <v>10154852.480799999</v>
      </c>
      <c r="S11" s="22">
        <v>0.16</v>
      </c>
      <c r="T11" s="22">
        <v>-0.01</v>
      </c>
      <c r="U11" s="12">
        <v>30741810.420000002</v>
      </c>
      <c r="V11" s="24">
        <v>8444775.3223740011</v>
      </c>
      <c r="W11" s="8">
        <v>22844052.41</v>
      </c>
      <c r="X11" s="24">
        <v>6275261.1970269997</v>
      </c>
      <c r="Y11" s="22">
        <v>0.15</v>
      </c>
      <c r="Z11" s="22">
        <v>0.11</v>
      </c>
      <c r="AA11" s="8" t="s">
        <v>365</v>
      </c>
      <c r="AB11" s="8">
        <v>24048416.739999998</v>
      </c>
      <c r="AC11" s="24">
        <v>6606100.0784779992</v>
      </c>
      <c r="AD11" s="8">
        <v>15873297.09</v>
      </c>
      <c r="AE11" s="24">
        <v>4360394.7106229998</v>
      </c>
      <c r="AF11" s="8">
        <v>45</v>
      </c>
      <c r="AG11" s="8">
        <v>164</v>
      </c>
      <c r="AH11" s="8" t="s">
        <v>342</v>
      </c>
      <c r="AI11" s="8" t="s">
        <v>320</v>
      </c>
      <c r="AJ11" s="22">
        <v>0.31</v>
      </c>
      <c r="AK11" s="8" t="s">
        <v>155</v>
      </c>
      <c r="AL11" s="22">
        <v>0.15</v>
      </c>
      <c r="AM11" s="22">
        <v>0.05</v>
      </c>
      <c r="AN11" s="8">
        <v>7</v>
      </c>
      <c r="AO11" s="8">
        <v>2245</v>
      </c>
      <c r="AP11" s="8">
        <v>820059.58</v>
      </c>
      <c r="AQ11" s="24">
        <v>225270.366626</v>
      </c>
      <c r="AR11" s="8">
        <v>11425401.470000001</v>
      </c>
      <c r="AS11" s="37">
        <v>3138557.7838090002</v>
      </c>
      <c r="AT11" s="8" t="s">
        <v>343</v>
      </c>
      <c r="AU11" s="8" t="s">
        <v>332</v>
      </c>
      <c r="AV11" s="8">
        <v>87.4</v>
      </c>
      <c r="AW11" s="8">
        <v>24</v>
      </c>
      <c r="AX11" s="8" t="s">
        <v>332</v>
      </c>
      <c r="AY11" s="8" t="s">
        <v>206</v>
      </c>
      <c r="AZ11" s="8" t="s">
        <v>332</v>
      </c>
      <c r="BA11" s="21">
        <f>IF(OR(tblsales[[#This Row],[Invoice Value USD]]="",tblsales[[#This Row],[Collected Amount USD]]=""),"",tblsales[[#This Row],[Invoice Value USD]]-tblsales[[#This Row],[Collected Amount USD]])</f>
        <v>2245705.3678549994</v>
      </c>
      <c r="BB11" s="21">
        <f>IF(OR(tblsales[[#This Row],[Contract Value USD]]="",tblsales[[#This Row],[Cost Estimate USD]]=""),"",tblsales[[#This Row],[Contract Value USD]]-tblsales[[#This Row],[Cost Estimate USD]])</f>
        <v>2169514.1253470015</v>
      </c>
      <c r="BC11" s="21">
        <f>IF(OR(tblsales[[#This Row],[Contract Value USD]]="",tblsales[[#This Row],[Cost Estimate USD]]=""),"",tblsales[[#This Row],[Contract Value USD]]-tblsales[[#This Row],[Cost Estimate USD]])</f>
        <v>2169514.1253470015</v>
      </c>
      <c r="BD11" s="23">
        <f>IF(tblsales[[#This Row],[Invoice Value USD]]="","",tblsales[[#This Row],[Collected Amount USD]]/tblsales[[#This Row],[Invoice Value USD]])</f>
        <v>0.66005580581933987</v>
      </c>
      <c r="BE11" s="11">
        <f>IF(tblsales[[#This Row],[SalesStage]]="Won",1,0)</f>
        <v>1</v>
      </c>
      <c r="BF11" s="21" t="str">
        <f>IF(tblsales[[#This Row],[Win Flag]]=1,"Won","Lost")</f>
        <v>Won</v>
      </c>
      <c r="BG11" s="8"/>
      <c r="BH11" s="30" t="s">
        <v>5735</v>
      </c>
      <c r="BI11" s="32">
        <f>SUM(tblsales[Contract Value USD])</f>
        <v>14649565619.889441</v>
      </c>
    </row>
    <row r="12" spans="1:66" x14ac:dyDescent="0.3">
      <c r="A12" s="10" t="s">
        <v>5776</v>
      </c>
      <c r="B12" s="9">
        <v>45997</v>
      </c>
      <c r="C12" s="10" t="s">
        <v>234</v>
      </c>
      <c r="D12" s="10" t="s">
        <v>190</v>
      </c>
      <c r="E12" s="10" t="s">
        <v>113</v>
      </c>
      <c r="F12" s="10" t="s">
        <v>367</v>
      </c>
      <c r="G12" s="10" t="s">
        <v>78</v>
      </c>
      <c r="H12" s="10" t="s">
        <v>182</v>
      </c>
      <c r="I12" s="10" t="s">
        <v>240</v>
      </c>
      <c r="J12" s="10" t="s">
        <v>123</v>
      </c>
      <c r="K12" s="10" t="s">
        <v>221</v>
      </c>
      <c r="L12" s="10" t="s">
        <v>3293</v>
      </c>
      <c r="M12" s="9">
        <v>45985</v>
      </c>
      <c r="N12" s="9"/>
      <c r="O12" s="9">
        <v>46041</v>
      </c>
      <c r="P12" s="11">
        <v>19</v>
      </c>
      <c r="Q12" s="12">
        <v>2018787</v>
      </c>
      <c r="R12">
        <v>2018787</v>
      </c>
      <c r="S12" s="22">
        <v>0.04</v>
      </c>
      <c r="T12" s="22">
        <v>0.06</v>
      </c>
      <c r="U12" s="12">
        <v>2054317.65</v>
      </c>
      <c r="V12" s="24">
        <v>2054317.65</v>
      </c>
      <c r="W12" s="8">
        <v>1335998.25</v>
      </c>
      <c r="X12" s="24">
        <v>1335998.25</v>
      </c>
      <c r="Y12" s="22">
        <v>0.31</v>
      </c>
      <c r="Z12" s="22">
        <v>7.0000000000000007E-2</v>
      </c>
      <c r="AA12" s="8" t="s">
        <v>3295</v>
      </c>
      <c r="AB12" s="8">
        <v>1616385.72</v>
      </c>
      <c r="AC12" s="24">
        <v>1616385.72</v>
      </c>
      <c r="AD12" s="8">
        <v>719911.08</v>
      </c>
      <c r="AE12" s="24">
        <v>719911.08</v>
      </c>
      <c r="AF12" s="8">
        <v>60</v>
      </c>
      <c r="AG12" s="8">
        <v>98</v>
      </c>
      <c r="AH12" s="8" t="s">
        <v>347</v>
      </c>
      <c r="AI12" s="8" t="s">
        <v>226</v>
      </c>
      <c r="AJ12" s="22">
        <v>0.36</v>
      </c>
      <c r="AK12" s="8" t="s">
        <v>152</v>
      </c>
      <c r="AL12" s="22">
        <v>0.1</v>
      </c>
      <c r="AM12" s="22">
        <v>0.04</v>
      </c>
      <c r="AN12" s="8">
        <v>12</v>
      </c>
      <c r="AO12" s="8">
        <v>3084</v>
      </c>
      <c r="AP12" s="8">
        <v>378925.84</v>
      </c>
      <c r="AQ12" s="24">
        <v>378925.84</v>
      </c>
      <c r="AR12" s="8"/>
      <c r="AS12" s="37"/>
      <c r="AT12" s="8" t="s">
        <v>355</v>
      </c>
      <c r="AU12" s="8" t="s">
        <v>332</v>
      </c>
      <c r="AV12" s="8">
        <v>65.599999999999994</v>
      </c>
      <c r="AW12" s="8">
        <v>24</v>
      </c>
      <c r="AX12" s="8" t="s">
        <v>332</v>
      </c>
      <c r="AY12" s="8" t="s">
        <v>206</v>
      </c>
      <c r="AZ12" s="8" t="s">
        <v>324</v>
      </c>
      <c r="BA12" s="21">
        <f>IF(OR(tblsales[[#This Row],[Invoice Value USD]]="",tblsales[[#This Row],[Collected Amount USD]]=""),"",tblsales[[#This Row],[Invoice Value USD]]-tblsales[[#This Row],[Collected Amount USD]])</f>
        <v>896474.64</v>
      </c>
      <c r="BB12" s="21">
        <f>IF(OR(tblsales[[#This Row],[Contract Value USD]]="",tblsales[[#This Row],[Cost Estimate USD]]=""),"",tblsales[[#This Row],[Contract Value USD]]-tblsales[[#This Row],[Cost Estimate USD]])</f>
        <v>718319.39999999991</v>
      </c>
      <c r="BC12" s="21">
        <f>IF(OR(tblsales[[#This Row],[Contract Value USD]]="",tblsales[[#This Row],[Cost Estimate USD]]=""),"",tblsales[[#This Row],[Contract Value USD]]-tblsales[[#This Row],[Cost Estimate USD]])</f>
        <v>718319.39999999991</v>
      </c>
      <c r="BD12" s="23">
        <f>IF(tblsales[[#This Row],[Invoice Value USD]]="","",tblsales[[#This Row],[Collected Amount USD]]/tblsales[[#This Row],[Invoice Value USD]])</f>
        <v>0.44538322201955605</v>
      </c>
      <c r="BE12" s="11">
        <f>IF(tblsales[[#This Row],[SalesStage]]="Won",1,0)</f>
        <v>0</v>
      </c>
      <c r="BF12" s="21" t="str">
        <f>IF(tblsales[[#This Row],[Win Flag]]=1,"Won","Lost")</f>
        <v>Lost</v>
      </c>
      <c r="BG12" s="8"/>
      <c r="BH12" s="30" t="s">
        <v>5725</v>
      </c>
      <c r="BI12" s="60">
        <f>AVERAGE(tblsales[Contract Value USD])</f>
        <v>14649565.61988944</v>
      </c>
    </row>
    <row r="13" spans="1:66" x14ac:dyDescent="0.3">
      <c r="A13" s="10" t="s">
        <v>366</v>
      </c>
      <c r="B13" s="9">
        <v>46058</v>
      </c>
      <c r="C13" s="10" t="s">
        <v>273</v>
      </c>
      <c r="D13" s="10" t="s">
        <v>180</v>
      </c>
      <c r="E13" s="10" t="s">
        <v>113</v>
      </c>
      <c r="F13" s="10" t="s">
        <v>367</v>
      </c>
      <c r="G13" s="10" t="s">
        <v>66</v>
      </c>
      <c r="H13" s="10" t="s">
        <v>332</v>
      </c>
      <c r="I13" s="10" t="s">
        <v>191</v>
      </c>
      <c r="J13" s="10" t="s">
        <v>127</v>
      </c>
      <c r="K13" s="10" t="s">
        <v>199</v>
      </c>
      <c r="L13" s="10" t="s">
        <v>368</v>
      </c>
      <c r="M13" s="9">
        <v>46007</v>
      </c>
      <c r="N13" s="9">
        <v>46297</v>
      </c>
      <c r="O13" s="9">
        <v>46207</v>
      </c>
      <c r="P13" s="11">
        <v>45</v>
      </c>
      <c r="Q13" s="12">
        <v>2956102</v>
      </c>
      <c r="R13">
        <v>2956102</v>
      </c>
      <c r="S13" s="22">
        <v>0.13</v>
      </c>
      <c r="T13" s="22">
        <v>0.06</v>
      </c>
      <c r="U13" s="12">
        <v>2726117.26</v>
      </c>
      <c r="V13" s="24">
        <v>2726117.26</v>
      </c>
      <c r="W13" s="8">
        <v>1659142.22</v>
      </c>
      <c r="X13" s="24">
        <v>1659142.22</v>
      </c>
      <c r="Y13" s="22">
        <v>0.11</v>
      </c>
      <c r="Z13" s="22">
        <v>0.08</v>
      </c>
      <c r="AA13" s="8" t="s">
        <v>369</v>
      </c>
      <c r="AB13" s="8">
        <v>994992.58</v>
      </c>
      <c r="AC13" s="24">
        <v>994992.58</v>
      </c>
      <c r="AD13" s="8">
        <v>701239.56</v>
      </c>
      <c r="AE13" s="24">
        <v>701239.56</v>
      </c>
      <c r="AF13" s="8">
        <v>60</v>
      </c>
      <c r="AG13" s="8">
        <v>4</v>
      </c>
      <c r="AH13" s="8" t="s">
        <v>332</v>
      </c>
      <c r="AI13" s="8" t="s">
        <v>336</v>
      </c>
      <c r="AJ13" s="22">
        <v>0.85</v>
      </c>
      <c r="AK13" s="8" t="s">
        <v>152</v>
      </c>
      <c r="AL13" s="22">
        <v>0.1</v>
      </c>
      <c r="AM13" s="22">
        <v>0.02</v>
      </c>
      <c r="AN13" s="8">
        <v>11</v>
      </c>
      <c r="AO13" s="8"/>
      <c r="AP13" s="8">
        <v>108202.27</v>
      </c>
      <c r="AQ13" s="24">
        <v>108202.27</v>
      </c>
      <c r="AR13" s="8">
        <v>805379.93</v>
      </c>
      <c r="AS13" s="37">
        <v>805379.93</v>
      </c>
      <c r="AT13" s="8" t="s">
        <v>73</v>
      </c>
      <c r="AU13" s="8" t="s">
        <v>332</v>
      </c>
      <c r="AV13" s="8">
        <v>64</v>
      </c>
      <c r="AW13" s="8">
        <v>48</v>
      </c>
      <c r="AX13" s="8" t="s">
        <v>323</v>
      </c>
      <c r="AY13" s="8" t="s">
        <v>229</v>
      </c>
      <c r="AZ13" s="8" t="s">
        <v>332</v>
      </c>
      <c r="BA13" s="21">
        <f>IF(OR(tblsales[[#This Row],[Invoice Value USD]]="",tblsales[[#This Row],[Collected Amount USD]]=""),"",tblsales[[#This Row],[Invoice Value USD]]-tblsales[[#This Row],[Collected Amount USD]])</f>
        <v>293753.0199999999</v>
      </c>
      <c r="BB13" s="21">
        <f>IF(OR(tblsales[[#This Row],[Contract Value USD]]="",tblsales[[#This Row],[Cost Estimate USD]]=""),"",tblsales[[#This Row],[Contract Value USD]]-tblsales[[#This Row],[Cost Estimate USD]])</f>
        <v>1066975.0399999998</v>
      </c>
      <c r="BC13" s="21">
        <f>IF(OR(tblsales[[#This Row],[Contract Value USD]]="",tblsales[[#This Row],[Cost Estimate USD]]=""),"",tblsales[[#This Row],[Contract Value USD]]-tblsales[[#This Row],[Cost Estimate USD]])</f>
        <v>1066975.0399999998</v>
      </c>
      <c r="BD13" s="23">
        <f>IF(tblsales[[#This Row],[Invoice Value USD]]="","",tblsales[[#This Row],[Collected Amount USD]]/tblsales[[#This Row],[Invoice Value USD]])</f>
        <v>0.70476863254598354</v>
      </c>
      <c r="BE13" s="11">
        <f>IF(tblsales[[#This Row],[SalesStage]]="Won",1,0)</f>
        <v>0</v>
      </c>
      <c r="BF13" s="21" t="str">
        <f>IF(tblsales[[#This Row],[Win Flag]]=1,"Won","Lost")</f>
        <v>Lost</v>
      </c>
      <c r="BG13" s="8"/>
    </row>
    <row r="14" spans="1:66" x14ac:dyDescent="0.3">
      <c r="A14" s="10" t="s">
        <v>370</v>
      </c>
      <c r="B14" s="9">
        <v>46012</v>
      </c>
      <c r="C14" s="10" t="s">
        <v>282</v>
      </c>
      <c r="D14" s="10" t="s">
        <v>180</v>
      </c>
      <c r="E14" s="10" t="s">
        <v>20</v>
      </c>
      <c r="F14" s="10" t="s">
        <v>31</v>
      </c>
      <c r="G14" s="10" t="s">
        <v>70</v>
      </c>
      <c r="H14" s="10" t="s">
        <v>216</v>
      </c>
      <c r="I14" s="10" t="s">
        <v>213</v>
      </c>
      <c r="J14" s="10" t="s">
        <v>136</v>
      </c>
      <c r="K14" s="10" t="s">
        <v>199</v>
      </c>
      <c r="L14" s="10" t="s">
        <v>371</v>
      </c>
      <c r="M14" s="9">
        <v>45973</v>
      </c>
      <c r="N14" s="9"/>
      <c r="O14" s="9"/>
      <c r="P14" s="11">
        <v>20</v>
      </c>
      <c r="Q14" s="12">
        <v>16527933</v>
      </c>
      <c r="R14">
        <v>16527933</v>
      </c>
      <c r="S14" s="22">
        <v>0.11</v>
      </c>
      <c r="T14" s="22">
        <v>0.1</v>
      </c>
      <c r="U14" s="12">
        <v>16180846.41</v>
      </c>
      <c r="V14" s="24">
        <v>16180846.41</v>
      </c>
      <c r="W14" s="8"/>
      <c r="X14" s="24"/>
      <c r="Y14" s="22">
        <v>0.15</v>
      </c>
      <c r="Z14" s="22">
        <v>0.19</v>
      </c>
      <c r="AA14" s="8" t="s">
        <v>372</v>
      </c>
      <c r="AB14" s="8">
        <v>7318134.3099999996</v>
      </c>
      <c r="AC14" s="24">
        <v>7318134.3099999996</v>
      </c>
      <c r="AD14" s="8">
        <v>5303726.6900000004</v>
      </c>
      <c r="AE14" s="24">
        <v>5303726.6900000004</v>
      </c>
      <c r="AF14" s="8">
        <v>90</v>
      </c>
      <c r="AG14" s="8">
        <v>141</v>
      </c>
      <c r="AH14" s="8" t="s">
        <v>342</v>
      </c>
      <c r="AI14" s="8" t="s">
        <v>336</v>
      </c>
      <c r="AJ14" s="22">
        <v>0.36</v>
      </c>
      <c r="AK14" s="8" t="s">
        <v>152</v>
      </c>
      <c r="AL14" s="22">
        <v>0.15</v>
      </c>
      <c r="AM14" s="22">
        <v>0.05</v>
      </c>
      <c r="AN14" s="8">
        <v>9</v>
      </c>
      <c r="AO14" s="8">
        <v>3618</v>
      </c>
      <c r="AP14" s="8">
        <v>3916807.81</v>
      </c>
      <c r="AQ14" s="24">
        <v>3916807.81</v>
      </c>
      <c r="AR14" s="8">
        <v>7195447.4199999999</v>
      </c>
      <c r="AS14" s="37">
        <v>7195447.4199999999</v>
      </c>
      <c r="AT14" s="8" t="s">
        <v>355</v>
      </c>
      <c r="AU14" s="8" t="s">
        <v>356</v>
      </c>
      <c r="AV14" s="8">
        <v>74.5</v>
      </c>
      <c r="AW14" s="8">
        <v>12</v>
      </c>
      <c r="AX14" s="8" t="s">
        <v>332</v>
      </c>
      <c r="AY14" s="8" t="s">
        <v>224</v>
      </c>
      <c r="AZ14" s="8" t="s">
        <v>188</v>
      </c>
      <c r="BA14" s="21">
        <f>IF(OR(tblsales[[#This Row],[Invoice Value USD]]="",tblsales[[#This Row],[Collected Amount USD]]=""),"",tblsales[[#This Row],[Invoice Value USD]]-tblsales[[#This Row],[Collected Amount USD]])</f>
        <v>2014407.6199999992</v>
      </c>
      <c r="BB14" s="21" t="str">
        <f>IF(OR(tblsales[[#This Row],[Contract Value USD]]="",tblsales[[#This Row],[Cost Estimate USD]]=""),"",tblsales[[#This Row],[Contract Value USD]]-tblsales[[#This Row],[Cost Estimate USD]])</f>
        <v/>
      </c>
      <c r="BC14" s="21" t="str">
        <f>IF(OR(tblsales[[#This Row],[Contract Value USD]]="",tblsales[[#This Row],[Cost Estimate USD]]=""),"",tblsales[[#This Row],[Contract Value USD]]-tblsales[[#This Row],[Cost Estimate USD]])</f>
        <v/>
      </c>
      <c r="BD14" s="23">
        <f>IF(tblsales[[#This Row],[Invoice Value USD]]="","",tblsales[[#This Row],[Collected Amount USD]]/tblsales[[#This Row],[Invoice Value USD]])</f>
        <v>0.72473754447942085</v>
      </c>
      <c r="BE14" s="11">
        <f>IF(tblsales[[#This Row],[SalesStage]]="Won",1,0)</f>
        <v>0</v>
      </c>
      <c r="BF14" s="21" t="str">
        <f>IF(tblsales[[#This Row],[Win Flag]]=1,"Won","Lost")</f>
        <v>Lost</v>
      </c>
      <c r="BG14" s="8"/>
    </row>
    <row r="15" spans="1:66" x14ac:dyDescent="0.3">
      <c r="A15" s="10" t="s">
        <v>373</v>
      </c>
      <c r="B15" s="9">
        <v>46073</v>
      </c>
      <c r="C15" s="10" t="s">
        <v>284</v>
      </c>
      <c r="D15" s="10" t="s">
        <v>255</v>
      </c>
      <c r="E15" s="10" t="s">
        <v>52</v>
      </c>
      <c r="F15" s="10" t="s">
        <v>75</v>
      </c>
      <c r="G15" s="10" t="s">
        <v>38</v>
      </c>
      <c r="H15" s="10" t="s">
        <v>212</v>
      </c>
      <c r="I15" s="10" t="s">
        <v>191</v>
      </c>
      <c r="J15" s="10" t="s">
        <v>119</v>
      </c>
      <c r="K15" s="10" t="s">
        <v>210</v>
      </c>
      <c r="L15" s="10" t="s">
        <v>374</v>
      </c>
      <c r="M15" s="9">
        <v>46043</v>
      </c>
      <c r="N15" s="9">
        <v>46146</v>
      </c>
      <c r="O15" s="9">
        <v>46132</v>
      </c>
      <c r="P15" s="11">
        <v>47</v>
      </c>
      <c r="Q15" s="12">
        <v>37971525</v>
      </c>
      <c r="R15">
        <v>37971525</v>
      </c>
      <c r="S15" s="22">
        <v>0.33</v>
      </c>
      <c r="T15" s="22">
        <v>-0.03</v>
      </c>
      <c r="U15" s="12">
        <v>24677694.100000001</v>
      </c>
      <c r="V15" s="24">
        <v>24677694.100000001</v>
      </c>
      <c r="W15" s="8">
        <v>15333582.16</v>
      </c>
      <c r="X15" s="24">
        <v>15333582.16</v>
      </c>
      <c r="Y15" s="22">
        <v>0.14000000000000001</v>
      </c>
      <c r="Z15" s="22">
        <v>0.17</v>
      </c>
      <c r="AA15" s="8" t="s">
        <v>375</v>
      </c>
      <c r="AB15" s="8">
        <v>6439948.1100000003</v>
      </c>
      <c r="AC15" s="24">
        <v>6439948.1100000003</v>
      </c>
      <c r="AD15" s="8">
        <v>4807153.54</v>
      </c>
      <c r="AE15" s="24">
        <v>4807153.54</v>
      </c>
      <c r="AF15" s="8">
        <v>90</v>
      </c>
      <c r="AG15" s="8">
        <v>156</v>
      </c>
      <c r="AH15" s="8" t="s">
        <v>376</v>
      </c>
      <c r="AI15" s="8" t="s">
        <v>354</v>
      </c>
      <c r="AJ15" s="22">
        <v>0.61</v>
      </c>
      <c r="AK15" s="8" t="s">
        <v>152</v>
      </c>
      <c r="AL15" s="22">
        <v>0.15</v>
      </c>
      <c r="AM15" s="22">
        <v>0.03</v>
      </c>
      <c r="AN15" s="8">
        <v>12</v>
      </c>
      <c r="AO15" s="8">
        <v>1230</v>
      </c>
      <c r="AP15" s="8">
        <v>5185404.59</v>
      </c>
      <c r="AQ15" s="24">
        <v>5185404.59</v>
      </c>
      <c r="AR15" s="8"/>
      <c r="AS15" s="37"/>
      <c r="AT15" s="8" t="s">
        <v>73</v>
      </c>
      <c r="AU15" s="8" t="s">
        <v>348</v>
      </c>
      <c r="AV15" s="8">
        <v>96.7</v>
      </c>
      <c r="AW15" s="8">
        <v>36</v>
      </c>
      <c r="AX15" s="8" t="s">
        <v>337</v>
      </c>
      <c r="AY15" s="8" t="s">
        <v>186</v>
      </c>
      <c r="AZ15" s="8" t="s">
        <v>377</v>
      </c>
      <c r="BA15" s="21">
        <f>IF(OR(tblsales[[#This Row],[Invoice Value USD]]="",tblsales[[#This Row],[Collected Amount USD]]=""),"",tblsales[[#This Row],[Invoice Value USD]]-tblsales[[#This Row],[Collected Amount USD]])</f>
        <v>1632794.5700000003</v>
      </c>
      <c r="BB15" s="21">
        <f>IF(OR(tblsales[[#This Row],[Contract Value USD]]="",tblsales[[#This Row],[Cost Estimate USD]]=""),"",tblsales[[#This Row],[Contract Value USD]]-tblsales[[#This Row],[Cost Estimate USD]])</f>
        <v>9344111.9400000013</v>
      </c>
      <c r="BC15" s="21">
        <f>IF(OR(tblsales[[#This Row],[Contract Value USD]]="",tblsales[[#This Row],[Cost Estimate USD]]=""),"",tblsales[[#This Row],[Contract Value USD]]-tblsales[[#This Row],[Cost Estimate USD]])</f>
        <v>9344111.9400000013</v>
      </c>
      <c r="BD15" s="23">
        <f>IF(tblsales[[#This Row],[Invoice Value USD]]="","",tblsales[[#This Row],[Collected Amount USD]]/tblsales[[#This Row],[Invoice Value USD]])</f>
        <v>0.74645842759748571</v>
      </c>
      <c r="BE15" s="11">
        <f>IF(tblsales[[#This Row],[SalesStage]]="Won",1,0)</f>
        <v>0</v>
      </c>
      <c r="BF15" s="21" t="str">
        <f>IF(tblsales[[#This Row],[Win Flag]]=1,"Won","Lost")</f>
        <v>Lost</v>
      </c>
      <c r="BG15" s="8"/>
    </row>
    <row r="16" spans="1:66" x14ac:dyDescent="0.3">
      <c r="A16" s="10" t="s">
        <v>378</v>
      </c>
      <c r="B16" s="9">
        <v>46016</v>
      </c>
      <c r="C16" s="10" t="s">
        <v>270</v>
      </c>
      <c r="D16" s="10" t="s">
        <v>180</v>
      </c>
      <c r="E16" s="10" t="s">
        <v>20</v>
      </c>
      <c r="F16" s="10" t="s">
        <v>35</v>
      </c>
      <c r="G16" s="10" t="s">
        <v>78</v>
      </c>
      <c r="H16" s="10" t="s">
        <v>212</v>
      </c>
      <c r="I16" s="10" t="s">
        <v>191</v>
      </c>
      <c r="J16" s="10" t="s">
        <v>136</v>
      </c>
      <c r="K16" s="10" t="s">
        <v>204</v>
      </c>
      <c r="L16" s="10" t="s">
        <v>379</v>
      </c>
      <c r="M16" s="9">
        <v>45698</v>
      </c>
      <c r="N16" s="9">
        <v>46047</v>
      </c>
      <c r="O16" s="9">
        <v>46098</v>
      </c>
      <c r="P16" s="11">
        <v>9</v>
      </c>
      <c r="Q16" s="12">
        <v>27211889</v>
      </c>
      <c r="R16">
        <v>7409797.3746999996</v>
      </c>
      <c r="S16" s="22">
        <v>0.33</v>
      </c>
      <c r="T16" s="22">
        <v>0.08</v>
      </c>
      <c r="U16" s="12">
        <v>19690522.879999999</v>
      </c>
      <c r="V16" s="24">
        <v>5361729.3802239997</v>
      </c>
      <c r="W16" s="8">
        <v>13762515.699999999</v>
      </c>
      <c r="X16" s="24">
        <v>3747533.0251099998</v>
      </c>
      <c r="Y16" s="22">
        <v>0.15</v>
      </c>
      <c r="Z16" s="22">
        <v>0.19</v>
      </c>
      <c r="AA16" s="8" t="s">
        <v>380</v>
      </c>
      <c r="AB16" s="8">
        <v>9249149.3000000007</v>
      </c>
      <c r="AC16" s="24">
        <v>2518543.35439</v>
      </c>
      <c r="AD16" s="8">
        <v>3369959.75</v>
      </c>
      <c r="AE16" s="24">
        <v>917640.03992499993</v>
      </c>
      <c r="AF16" s="8">
        <v>30</v>
      </c>
      <c r="AG16" s="8">
        <v>111</v>
      </c>
      <c r="AH16" s="8" t="s">
        <v>342</v>
      </c>
      <c r="AI16" s="8" t="s">
        <v>381</v>
      </c>
      <c r="AJ16" s="22">
        <v>0.74</v>
      </c>
      <c r="AK16" s="8" t="s">
        <v>153</v>
      </c>
      <c r="AL16" s="22">
        <v>0.15</v>
      </c>
      <c r="AM16" s="22">
        <v>0.03</v>
      </c>
      <c r="AN16" s="8">
        <v>2</v>
      </c>
      <c r="AO16" s="8">
        <v>3321</v>
      </c>
      <c r="AP16" s="8">
        <v>4129757.49</v>
      </c>
      <c r="AQ16" s="24">
        <v>1124532.964527</v>
      </c>
      <c r="AR16" s="8"/>
      <c r="AS16" s="37"/>
      <c r="AT16" s="8" t="s">
        <v>355</v>
      </c>
      <c r="AU16" s="8" t="s">
        <v>332</v>
      </c>
      <c r="AV16" s="8">
        <v>51.8</v>
      </c>
      <c r="AW16" s="8">
        <v>48</v>
      </c>
      <c r="AX16" s="8" t="s">
        <v>337</v>
      </c>
      <c r="AY16" s="8" t="s">
        <v>229</v>
      </c>
      <c r="AZ16" s="8" t="s">
        <v>324</v>
      </c>
      <c r="BA16" s="21">
        <f>IF(OR(tblsales[[#This Row],[Invoice Value USD]]="",tblsales[[#This Row],[Collected Amount USD]]=""),"",tblsales[[#This Row],[Invoice Value USD]]-tblsales[[#This Row],[Collected Amount USD]])</f>
        <v>1600903.3144650001</v>
      </c>
      <c r="BB16" s="21">
        <f>IF(OR(tblsales[[#This Row],[Contract Value USD]]="",tblsales[[#This Row],[Cost Estimate USD]]=""),"",tblsales[[#This Row],[Contract Value USD]]-tblsales[[#This Row],[Cost Estimate USD]])</f>
        <v>1614196.3551139999</v>
      </c>
      <c r="BC16" s="21">
        <f>IF(OR(tblsales[[#This Row],[Contract Value USD]]="",tblsales[[#This Row],[Cost Estimate USD]]=""),"",tblsales[[#This Row],[Contract Value USD]]-tblsales[[#This Row],[Cost Estimate USD]])</f>
        <v>1614196.3551139999</v>
      </c>
      <c r="BD16" s="23">
        <f>IF(tblsales[[#This Row],[Invoice Value USD]]="","",tblsales[[#This Row],[Collected Amount USD]]/tblsales[[#This Row],[Invoice Value USD]])</f>
        <v>0.36435348167641751</v>
      </c>
      <c r="BE16" s="11">
        <f>IF(tblsales[[#This Row],[SalesStage]]="Won",1,0)</f>
        <v>0</v>
      </c>
      <c r="BF16" s="21" t="str">
        <f>IF(tblsales[[#This Row],[Win Flag]]=1,"Won","Lost")</f>
        <v>Lost</v>
      </c>
      <c r="BG16" s="8"/>
    </row>
    <row r="17" spans="1:61" x14ac:dyDescent="0.3">
      <c r="A17" s="10" t="s">
        <v>382</v>
      </c>
      <c r="B17" s="9">
        <v>46047</v>
      </c>
      <c r="C17" s="10" t="s">
        <v>260</v>
      </c>
      <c r="D17" s="10" t="s">
        <v>255</v>
      </c>
      <c r="E17" s="10" t="s">
        <v>20</v>
      </c>
      <c r="F17" s="10" t="s">
        <v>31</v>
      </c>
      <c r="G17" s="10" t="s">
        <v>57</v>
      </c>
      <c r="H17" s="10" t="s">
        <v>182</v>
      </c>
      <c r="I17" s="10" t="s">
        <v>198</v>
      </c>
      <c r="J17" s="10" t="s">
        <v>136</v>
      </c>
      <c r="K17" s="10" t="s">
        <v>199</v>
      </c>
      <c r="L17" s="10" t="s">
        <v>383</v>
      </c>
      <c r="M17" s="9">
        <v>45984</v>
      </c>
      <c r="N17" s="9">
        <v>46267</v>
      </c>
      <c r="O17" s="9">
        <v>46126</v>
      </c>
      <c r="P17" s="11">
        <v>35</v>
      </c>
      <c r="Q17" s="12">
        <v>3663607</v>
      </c>
      <c r="R17">
        <v>3663607</v>
      </c>
      <c r="S17" s="22">
        <v>0.08</v>
      </c>
      <c r="T17" s="22">
        <v>0.09</v>
      </c>
      <c r="U17" s="12">
        <v>3673865.1</v>
      </c>
      <c r="V17" s="24">
        <v>3673865.1</v>
      </c>
      <c r="W17" s="8">
        <v>2354773.0299999998</v>
      </c>
      <c r="X17" s="24">
        <v>2354773.0299999998</v>
      </c>
      <c r="Y17" s="22">
        <v>0.32</v>
      </c>
      <c r="Z17" s="22">
        <v>0.18</v>
      </c>
      <c r="AA17" s="8" t="s">
        <v>384</v>
      </c>
      <c r="AB17" s="8">
        <v>3080616.15</v>
      </c>
      <c r="AC17" s="24">
        <v>3080616.15</v>
      </c>
      <c r="AD17" s="8">
        <v>2003918.86</v>
      </c>
      <c r="AE17" s="24">
        <v>2003918.86</v>
      </c>
      <c r="AF17" s="8">
        <v>90</v>
      </c>
      <c r="AG17" s="8">
        <v>32</v>
      </c>
      <c r="AH17" s="8" t="s">
        <v>376</v>
      </c>
      <c r="AI17" s="8" t="s">
        <v>381</v>
      </c>
      <c r="AJ17" s="22">
        <v>0.08</v>
      </c>
      <c r="AK17" s="8" t="s">
        <v>152</v>
      </c>
      <c r="AL17" s="22">
        <v>0.15</v>
      </c>
      <c r="AM17" s="22">
        <v>0.06</v>
      </c>
      <c r="AN17" s="8">
        <v>7</v>
      </c>
      <c r="AO17" s="8">
        <v>4818</v>
      </c>
      <c r="AP17" s="8">
        <v>631119.96</v>
      </c>
      <c r="AQ17" s="24">
        <v>631119.96</v>
      </c>
      <c r="AR17" s="8">
        <v>1023608.46</v>
      </c>
      <c r="AS17" s="37">
        <v>1023608.46</v>
      </c>
      <c r="AT17" s="8" t="s">
        <v>385</v>
      </c>
      <c r="AU17" s="8" t="s">
        <v>386</v>
      </c>
      <c r="AV17" s="8">
        <v>75.400000000000006</v>
      </c>
      <c r="AW17" s="8">
        <v>36</v>
      </c>
      <c r="AX17" s="8" t="s">
        <v>387</v>
      </c>
      <c r="AY17" s="8" t="s">
        <v>224</v>
      </c>
      <c r="AZ17" s="8" t="s">
        <v>361</v>
      </c>
      <c r="BA17" s="21">
        <f>IF(OR(tblsales[[#This Row],[Invoice Value USD]]="",tblsales[[#This Row],[Collected Amount USD]]=""),"",tblsales[[#This Row],[Invoice Value USD]]-tblsales[[#This Row],[Collected Amount USD]])</f>
        <v>1076697.2899999998</v>
      </c>
      <c r="BB17" s="21">
        <f>IF(OR(tblsales[[#This Row],[Contract Value USD]]="",tblsales[[#This Row],[Cost Estimate USD]]=""),"",tblsales[[#This Row],[Contract Value USD]]-tblsales[[#This Row],[Cost Estimate USD]])</f>
        <v>1319092.0700000003</v>
      </c>
      <c r="BC17" s="21">
        <f>IF(OR(tblsales[[#This Row],[Contract Value USD]]="",tblsales[[#This Row],[Cost Estimate USD]]=""),"",tblsales[[#This Row],[Contract Value USD]]-tblsales[[#This Row],[Cost Estimate USD]])</f>
        <v>1319092.0700000003</v>
      </c>
      <c r="BD17" s="23">
        <f>IF(tblsales[[#This Row],[Invoice Value USD]]="","",tblsales[[#This Row],[Collected Amount USD]]/tblsales[[#This Row],[Invoice Value USD]])</f>
        <v>0.65049287623841101</v>
      </c>
      <c r="BE17" s="11">
        <f>IF(tblsales[[#This Row],[SalesStage]]="Won",1,0)</f>
        <v>0</v>
      </c>
      <c r="BF17" s="21" t="str">
        <f>IF(tblsales[[#This Row],[Win Flag]]=1,"Won","Lost")</f>
        <v>Lost</v>
      </c>
      <c r="BG17" s="8"/>
    </row>
    <row r="18" spans="1:61" x14ac:dyDescent="0.3">
      <c r="A18" s="10" t="s">
        <v>388</v>
      </c>
      <c r="B18" s="9">
        <v>45950</v>
      </c>
      <c r="C18" s="10" t="s">
        <v>282</v>
      </c>
      <c r="D18" s="10" t="s">
        <v>265</v>
      </c>
      <c r="E18" s="10" t="s">
        <v>41</v>
      </c>
      <c r="F18" s="10" t="s">
        <v>228</v>
      </c>
      <c r="G18" s="10" t="s">
        <v>62</v>
      </c>
      <c r="H18" s="10" t="s">
        <v>197</v>
      </c>
      <c r="I18" s="10" t="s">
        <v>332</v>
      </c>
      <c r="J18" s="10" t="s">
        <v>130</v>
      </c>
      <c r="K18" s="10" t="s">
        <v>199</v>
      </c>
      <c r="L18" s="10" t="s">
        <v>389</v>
      </c>
      <c r="M18" s="9">
        <v>45897</v>
      </c>
      <c r="N18" s="9">
        <v>46004</v>
      </c>
      <c r="O18" s="9">
        <v>46048</v>
      </c>
      <c r="P18" s="11">
        <v>43</v>
      </c>
      <c r="Q18" s="12">
        <v>25900738</v>
      </c>
      <c r="R18">
        <v>25900738</v>
      </c>
      <c r="S18" s="22">
        <v>0.09</v>
      </c>
      <c r="T18" s="22">
        <v>0.14000000000000001</v>
      </c>
      <c r="U18" s="12">
        <v>26869425.600000001</v>
      </c>
      <c r="V18" s="24">
        <v>26869425.600000001</v>
      </c>
      <c r="W18" s="8">
        <v>22243062.48</v>
      </c>
      <c r="X18" s="24">
        <v>22243062.48</v>
      </c>
      <c r="Y18" s="22">
        <v>0.06</v>
      </c>
      <c r="Z18" s="22">
        <v>0.06</v>
      </c>
      <c r="AA18" s="8" t="s">
        <v>390</v>
      </c>
      <c r="AB18" s="8">
        <v>2340332.46</v>
      </c>
      <c r="AC18" s="24">
        <v>2340332.46</v>
      </c>
      <c r="AD18" s="8">
        <v>2096385.85</v>
      </c>
      <c r="AE18" s="24">
        <v>2096385.85</v>
      </c>
      <c r="AF18" s="8">
        <v>90</v>
      </c>
      <c r="AG18" s="8">
        <v>99</v>
      </c>
      <c r="AH18" s="8" t="s">
        <v>353</v>
      </c>
      <c r="AI18" s="8" t="s">
        <v>320</v>
      </c>
      <c r="AJ18" s="22">
        <v>0.98</v>
      </c>
      <c r="AK18" s="8" t="s">
        <v>152</v>
      </c>
      <c r="AL18" s="22">
        <v>0.15</v>
      </c>
      <c r="AM18" s="22">
        <v>0.1</v>
      </c>
      <c r="AN18" s="8">
        <v>15</v>
      </c>
      <c r="AO18" s="8">
        <v>833</v>
      </c>
      <c r="AP18" s="8">
        <v>4826293.41</v>
      </c>
      <c r="AQ18" s="24">
        <v>4826293.41</v>
      </c>
      <c r="AR18" s="8">
        <v>3181242.92</v>
      </c>
      <c r="AS18" s="37">
        <v>3181242.92</v>
      </c>
      <c r="AT18" s="8" t="s">
        <v>391</v>
      </c>
      <c r="AU18" s="8" t="s">
        <v>356</v>
      </c>
      <c r="AV18" s="8">
        <v>64.400000000000006</v>
      </c>
      <c r="AW18" s="8">
        <v>36</v>
      </c>
      <c r="AX18" s="8" t="s">
        <v>392</v>
      </c>
      <c r="AY18" s="8" t="s">
        <v>224</v>
      </c>
      <c r="AZ18" s="8" t="s">
        <v>324</v>
      </c>
      <c r="BA18" s="21">
        <f>IF(OR(tblsales[[#This Row],[Invoice Value USD]]="",tblsales[[#This Row],[Collected Amount USD]]=""),"",tblsales[[#This Row],[Invoice Value USD]]-tblsales[[#This Row],[Collected Amount USD]])</f>
        <v>243946.60999999987</v>
      </c>
      <c r="BB18" s="21">
        <f>IF(OR(tblsales[[#This Row],[Contract Value USD]]="",tblsales[[#This Row],[Cost Estimate USD]]=""),"",tblsales[[#This Row],[Contract Value USD]]-tblsales[[#This Row],[Cost Estimate USD]])</f>
        <v>4626363.120000001</v>
      </c>
      <c r="BC18" s="21">
        <f>IF(OR(tblsales[[#This Row],[Contract Value USD]]="",tblsales[[#This Row],[Cost Estimate USD]]=""),"",tblsales[[#This Row],[Contract Value USD]]-tblsales[[#This Row],[Cost Estimate USD]])</f>
        <v>4626363.120000001</v>
      </c>
      <c r="BD18" s="23">
        <f>IF(tblsales[[#This Row],[Invoice Value USD]]="","",tblsales[[#This Row],[Collected Amount USD]]/tblsales[[#This Row],[Invoice Value USD]])</f>
        <v>0.89576412147870654</v>
      </c>
      <c r="BE18" s="11">
        <f>IF(tblsales[[#This Row],[SalesStage]]="Won",1,0)</f>
        <v>1</v>
      </c>
      <c r="BF18" s="21" t="str">
        <f>IF(tblsales[[#This Row],[Win Flag]]=1,"Won","Lost")</f>
        <v>Won</v>
      </c>
      <c r="BG18" s="8"/>
    </row>
    <row r="19" spans="1:61" x14ac:dyDescent="0.3">
      <c r="A19" s="10" t="s">
        <v>393</v>
      </c>
      <c r="B19" s="9">
        <v>45745</v>
      </c>
      <c r="C19" s="10" t="s">
        <v>243</v>
      </c>
      <c r="D19" s="10" t="s">
        <v>394</v>
      </c>
      <c r="E19" s="10" t="s">
        <v>20</v>
      </c>
      <c r="F19" s="10" t="s">
        <v>31</v>
      </c>
      <c r="G19" s="10" t="s">
        <v>332</v>
      </c>
      <c r="H19" s="10" t="s">
        <v>332</v>
      </c>
      <c r="I19" s="10" t="s">
        <v>246</v>
      </c>
      <c r="J19" s="10" t="s">
        <v>136</v>
      </c>
      <c r="K19" s="10" t="s">
        <v>326</v>
      </c>
      <c r="L19" s="10" t="s">
        <v>395</v>
      </c>
      <c r="M19" s="9">
        <v>45674</v>
      </c>
      <c r="N19" s="9"/>
      <c r="O19" s="9">
        <v>45937</v>
      </c>
      <c r="P19" s="11">
        <v>21</v>
      </c>
      <c r="Q19" s="12">
        <v>11948705</v>
      </c>
      <c r="R19">
        <v>3282309.2634999999</v>
      </c>
      <c r="S19" s="22">
        <v>0.04</v>
      </c>
      <c r="T19" s="22">
        <v>0.17</v>
      </c>
      <c r="U19" s="12">
        <v>13420785.460000001</v>
      </c>
      <c r="V19" s="24">
        <v>3686689.7658620002</v>
      </c>
      <c r="W19" s="8"/>
      <c r="X19" s="24"/>
      <c r="Y19" s="22">
        <v>0.19</v>
      </c>
      <c r="Z19" s="22">
        <v>0.05</v>
      </c>
      <c r="AA19" s="8" t="s">
        <v>396</v>
      </c>
      <c r="AB19" s="8">
        <v>7740489.1900000004</v>
      </c>
      <c r="AC19" s="24">
        <v>2126312.3804930001</v>
      </c>
      <c r="AD19" s="8">
        <v>3813459.08</v>
      </c>
      <c r="AE19" s="24">
        <v>1047557.209276</v>
      </c>
      <c r="AF19" s="8">
        <v>120</v>
      </c>
      <c r="AG19" s="8">
        <v>37</v>
      </c>
      <c r="AH19" s="8" t="s">
        <v>332</v>
      </c>
      <c r="AI19" s="8" t="s">
        <v>381</v>
      </c>
      <c r="AJ19" s="22">
        <v>0.27</v>
      </c>
      <c r="AK19" s="8" t="s">
        <v>155</v>
      </c>
      <c r="AL19" s="22">
        <v>0.15</v>
      </c>
      <c r="AM19" s="22">
        <v>0.03</v>
      </c>
      <c r="AN19" s="8">
        <v>8</v>
      </c>
      <c r="AO19" s="8">
        <v>2354</v>
      </c>
      <c r="AP19" s="8">
        <v>978740.71</v>
      </c>
      <c r="AQ19" s="24">
        <v>268860.07303699997</v>
      </c>
      <c r="AR19" s="8">
        <v>2517763.7200000002</v>
      </c>
      <c r="AS19" s="37">
        <v>691629.69388400007</v>
      </c>
      <c r="AT19" s="8" t="s">
        <v>385</v>
      </c>
      <c r="AU19" s="8" t="s">
        <v>332</v>
      </c>
      <c r="AV19" s="8">
        <v>87.2</v>
      </c>
      <c r="AW19" s="8">
        <v>36</v>
      </c>
      <c r="AX19" s="8" t="s">
        <v>332</v>
      </c>
      <c r="AY19" s="8" t="s">
        <v>192</v>
      </c>
      <c r="AZ19" s="8" t="s">
        <v>332</v>
      </c>
      <c r="BA19" s="21">
        <f>IF(OR(tblsales[[#This Row],[Invoice Value USD]]="",tblsales[[#This Row],[Collected Amount USD]]=""),"",tblsales[[#This Row],[Invoice Value USD]]-tblsales[[#This Row],[Collected Amount USD]])</f>
        <v>1078755.1712170001</v>
      </c>
      <c r="BB19" s="21" t="str">
        <f>IF(OR(tblsales[[#This Row],[Contract Value USD]]="",tblsales[[#This Row],[Cost Estimate USD]]=""),"",tblsales[[#This Row],[Contract Value USD]]-tblsales[[#This Row],[Cost Estimate USD]])</f>
        <v/>
      </c>
      <c r="BC19" s="21" t="str">
        <f>IF(OR(tblsales[[#This Row],[Contract Value USD]]="",tblsales[[#This Row],[Cost Estimate USD]]=""),"",tblsales[[#This Row],[Contract Value USD]]-tblsales[[#This Row],[Cost Estimate USD]])</f>
        <v/>
      </c>
      <c r="BD19" s="23">
        <f>IF(tblsales[[#This Row],[Invoice Value USD]]="","",tblsales[[#This Row],[Collected Amount USD]]/tblsales[[#This Row],[Invoice Value USD]])</f>
        <v>0.49266383382159334</v>
      </c>
      <c r="BE19" s="11">
        <f>IF(tblsales[[#This Row],[SalesStage]]="Won",1,0)</f>
        <v>0</v>
      </c>
      <c r="BF19" s="21" t="str">
        <f>IF(tblsales[[#This Row],[Win Flag]]=1,"Won","Lost")</f>
        <v>Lost</v>
      </c>
      <c r="BG19" s="8"/>
    </row>
    <row r="20" spans="1:61" x14ac:dyDescent="0.3">
      <c r="A20" s="10" t="s">
        <v>397</v>
      </c>
      <c r="B20" s="9">
        <v>45979</v>
      </c>
      <c r="C20" s="10" t="s">
        <v>241</v>
      </c>
      <c r="D20" s="10" t="s">
        <v>202</v>
      </c>
      <c r="E20" s="10" t="s">
        <v>41</v>
      </c>
      <c r="F20" s="10" t="s">
        <v>363</v>
      </c>
      <c r="G20" s="10" t="s">
        <v>57</v>
      </c>
      <c r="H20" s="10" t="s">
        <v>197</v>
      </c>
      <c r="I20" s="10" t="s">
        <v>198</v>
      </c>
      <c r="J20" s="10" t="s">
        <v>130</v>
      </c>
      <c r="K20" s="10" t="s">
        <v>221</v>
      </c>
      <c r="L20" s="10" t="s">
        <v>398</v>
      </c>
      <c r="M20" s="9">
        <v>45919</v>
      </c>
      <c r="N20" s="9"/>
      <c r="O20" s="9">
        <v>46042</v>
      </c>
      <c r="P20" s="11">
        <v>46</v>
      </c>
      <c r="Q20" s="12">
        <v>43575184</v>
      </c>
      <c r="R20">
        <v>11865522.6032</v>
      </c>
      <c r="S20" s="22">
        <v>0.02</v>
      </c>
      <c r="T20" s="22">
        <v>0.15</v>
      </c>
      <c r="U20" s="12">
        <v>49109232.369999997</v>
      </c>
      <c r="V20" s="24">
        <v>13372443.974350998</v>
      </c>
      <c r="W20" s="8">
        <v>33327903.079999998</v>
      </c>
      <c r="X20" s="24">
        <v>9075188.0086839981</v>
      </c>
      <c r="Y20" s="22">
        <v>0.27</v>
      </c>
      <c r="Z20" s="22">
        <v>0.11</v>
      </c>
      <c r="AA20" s="8" t="s">
        <v>399</v>
      </c>
      <c r="AB20" s="8">
        <v>3848192.16</v>
      </c>
      <c r="AC20" s="24">
        <v>1047862.725168</v>
      </c>
      <c r="AD20" s="8">
        <v>2277702.56</v>
      </c>
      <c r="AE20" s="24">
        <v>620218.40708799998</v>
      </c>
      <c r="AF20" s="8">
        <v>45</v>
      </c>
      <c r="AG20" s="8">
        <v>24</v>
      </c>
      <c r="AH20" s="8" t="s">
        <v>347</v>
      </c>
      <c r="AI20" s="8" t="s">
        <v>320</v>
      </c>
      <c r="AJ20" s="22">
        <v>0.91</v>
      </c>
      <c r="AK20" s="8" t="s">
        <v>153</v>
      </c>
      <c r="AL20" s="22">
        <v>0.1</v>
      </c>
      <c r="AM20" s="22">
        <v>0.08</v>
      </c>
      <c r="AN20" s="8">
        <v>5</v>
      </c>
      <c r="AO20" s="8">
        <v>527</v>
      </c>
      <c r="AP20" s="8">
        <v>6226143.7800000003</v>
      </c>
      <c r="AQ20" s="24">
        <v>1695378.951294</v>
      </c>
      <c r="AR20" s="8">
        <v>17664383.57</v>
      </c>
      <c r="AS20" s="37">
        <v>4810011.6461109994</v>
      </c>
      <c r="AT20" s="8" t="s">
        <v>73</v>
      </c>
      <c r="AU20" s="8" t="s">
        <v>356</v>
      </c>
      <c r="AV20" s="8">
        <v>51.3</v>
      </c>
      <c r="AW20" s="8">
        <v>12</v>
      </c>
      <c r="AX20" s="8" t="s">
        <v>323</v>
      </c>
      <c r="AY20" s="8" t="s">
        <v>224</v>
      </c>
      <c r="AZ20" s="8" t="s">
        <v>332</v>
      </c>
      <c r="BA20" s="21">
        <f>IF(OR(tblsales[[#This Row],[Invoice Value USD]]="",tblsales[[#This Row],[Collected Amount USD]]=""),"",tblsales[[#This Row],[Invoice Value USD]]-tblsales[[#This Row],[Collected Amount USD]])</f>
        <v>427644.31808</v>
      </c>
      <c r="BB20" s="21">
        <f>IF(OR(tblsales[[#This Row],[Contract Value USD]]="",tblsales[[#This Row],[Cost Estimate USD]]=""),"",tblsales[[#This Row],[Contract Value USD]]-tblsales[[#This Row],[Cost Estimate USD]])</f>
        <v>4297255.965667</v>
      </c>
      <c r="BC20" s="21">
        <f>IF(OR(tblsales[[#This Row],[Contract Value USD]]="",tblsales[[#This Row],[Cost Estimate USD]]=""),"",tblsales[[#This Row],[Contract Value USD]]-tblsales[[#This Row],[Cost Estimate USD]])</f>
        <v>4297255.965667</v>
      </c>
      <c r="BD20" s="23">
        <f>IF(tblsales[[#This Row],[Invoice Value USD]]="","",tblsales[[#This Row],[Collected Amount USD]]/tblsales[[#This Row],[Invoice Value USD]])</f>
        <v>0.59188898716533944</v>
      </c>
      <c r="BE20" s="11">
        <f>IF(tblsales[[#This Row],[SalesStage]]="Won",1,0)</f>
        <v>1</v>
      </c>
      <c r="BF20" s="21" t="str">
        <f>IF(tblsales[[#This Row],[Win Flag]]=1,"Won","Lost")</f>
        <v>Won</v>
      </c>
      <c r="BG20" s="8"/>
    </row>
    <row r="21" spans="1:61" x14ac:dyDescent="0.3">
      <c r="A21" s="10" t="s">
        <v>400</v>
      </c>
      <c r="B21" s="9">
        <v>45856</v>
      </c>
      <c r="C21" s="10" t="s">
        <v>214</v>
      </c>
      <c r="D21" s="10" t="s">
        <v>190</v>
      </c>
      <c r="E21" s="10" t="s">
        <v>41</v>
      </c>
      <c r="F21" s="10" t="s">
        <v>363</v>
      </c>
      <c r="G21" s="10" t="s">
        <v>38</v>
      </c>
      <c r="H21" s="10" t="s">
        <v>182</v>
      </c>
      <c r="I21" s="10" t="s">
        <v>183</v>
      </c>
      <c r="J21" s="10" t="s">
        <v>130</v>
      </c>
      <c r="K21" s="10" t="s">
        <v>199</v>
      </c>
      <c r="L21" s="10" t="s">
        <v>401</v>
      </c>
      <c r="M21" s="9">
        <v>45822</v>
      </c>
      <c r="N21" s="9">
        <v>45878</v>
      </c>
      <c r="O21" s="9"/>
      <c r="P21" s="11">
        <v>43</v>
      </c>
      <c r="Q21" s="12">
        <v>30643517</v>
      </c>
      <c r="R21">
        <v>8344229.6790999994</v>
      </c>
      <c r="S21" s="22">
        <v>0.14000000000000001</v>
      </c>
      <c r="T21" s="22">
        <v>0.19</v>
      </c>
      <c r="U21" s="12">
        <v>31360575.300000001</v>
      </c>
      <c r="V21" s="24">
        <v>8539484.6541900001</v>
      </c>
      <c r="W21" s="8">
        <v>19017279.800000001</v>
      </c>
      <c r="X21" s="24">
        <v>5178405.2895400003</v>
      </c>
      <c r="Y21" s="22">
        <v>0.14000000000000001</v>
      </c>
      <c r="Z21" s="22">
        <v>7.0000000000000007E-2</v>
      </c>
      <c r="AA21" s="8" t="s">
        <v>402</v>
      </c>
      <c r="AB21" s="8">
        <v>20133846.629999999</v>
      </c>
      <c r="AC21" s="24">
        <v>5482446.4373489991</v>
      </c>
      <c r="AD21" s="8">
        <v>14741076.27</v>
      </c>
      <c r="AE21" s="24">
        <v>4013995.0683209999</v>
      </c>
      <c r="AF21" s="8">
        <v>120</v>
      </c>
      <c r="AG21" s="8">
        <v>40</v>
      </c>
      <c r="AH21" s="8" t="s">
        <v>329</v>
      </c>
      <c r="AI21" s="8" t="s">
        <v>336</v>
      </c>
      <c r="AJ21" s="22">
        <v>0.88</v>
      </c>
      <c r="AK21" s="8" t="s">
        <v>153</v>
      </c>
      <c r="AL21" s="22">
        <v>0.15</v>
      </c>
      <c r="AM21" s="22">
        <v>0.02</v>
      </c>
      <c r="AN21" s="8">
        <v>15</v>
      </c>
      <c r="AO21" s="8">
        <v>1918</v>
      </c>
      <c r="AP21" s="8">
        <v>1691509.82</v>
      </c>
      <c r="AQ21" s="24">
        <v>460598.12398600002</v>
      </c>
      <c r="AR21" s="8">
        <v>3171627.34</v>
      </c>
      <c r="AS21" s="37">
        <v>863634.12468199991</v>
      </c>
      <c r="AT21" s="8" t="s">
        <v>73</v>
      </c>
      <c r="AU21" s="8" t="s">
        <v>348</v>
      </c>
      <c r="AV21" s="8">
        <v>91.5</v>
      </c>
      <c r="AW21" s="8">
        <v>24</v>
      </c>
      <c r="AX21" s="8" t="s">
        <v>323</v>
      </c>
      <c r="AY21" s="8" t="s">
        <v>192</v>
      </c>
      <c r="AZ21" s="8" t="s">
        <v>188</v>
      </c>
      <c r="BA21" s="21">
        <f>IF(OR(tblsales[[#This Row],[Invoice Value USD]]="",tblsales[[#This Row],[Collected Amount USD]]=""),"",tblsales[[#This Row],[Invoice Value USD]]-tblsales[[#This Row],[Collected Amount USD]])</f>
        <v>1468451.3690279992</v>
      </c>
      <c r="BB21" s="21">
        <f>IF(OR(tblsales[[#This Row],[Contract Value USD]]="",tblsales[[#This Row],[Cost Estimate USD]]=""),"",tblsales[[#This Row],[Contract Value USD]]-tblsales[[#This Row],[Cost Estimate USD]])</f>
        <v>3361079.3646499999</v>
      </c>
      <c r="BC21" s="21">
        <f>IF(OR(tblsales[[#This Row],[Contract Value USD]]="",tblsales[[#This Row],[Cost Estimate USD]]=""),"",tblsales[[#This Row],[Contract Value USD]]-tblsales[[#This Row],[Cost Estimate USD]])</f>
        <v>3361079.3646499999</v>
      </c>
      <c r="BD21" s="23">
        <f>IF(tblsales[[#This Row],[Invoice Value USD]]="","",tblsales[[#This Row],[Collected Amount USD]]/tblsales[[#This Row],[Invoice Value USD]])</f>
        <v>0.73215399624805833</v>
      </c>
      <c r="BE21" s="11">
        <f>IF(tblsales[[#This Row],[SalesStage]]="Won",1,0)</f>
        <v>0</v>
      </c>
      <c r="BF21" s="21" t="str">
        <f>IF(tblsales[[#This Row],[Win Flag]]=1,"Won","Lost")</f>
        <v>Lost</v>
      </c>
      <c r="BG21" s="8"/>
    </row>
    <row r="22" spans="1:61" x14ac:dyDescent="0.3">
      <c r="A22" s="10" t="s">
        <v>403</v>
      </c>
      <c r="B22" s="9">
        <v>45841</v>
      </c>
      <c r="C22" s="10" t="s">
        <v>243</v>
      </c>
      <c r="D22" s="10" t="s">
        <v>253</v>
      </c>
      <c r="E22" s="10" t="s">
        <v>113</v>
      </c>
      <c r="F22" s="10" t="s">
        <v>367</v>
      </c>
      <c r="G22" s="10" t="s">
        <v>66</v>
      </c>
      <c r="H22" s="10" t="s">
        <v>236</v>
      </c>
      <c r="I22" s="10" t="s">
        <v>183</v>
      </c>
      <c r="J22" s="10" t="s">
        <v>127</v>
      </c>
      <c r="K22" s="10" t="s">
        <v>210</v>
      </c>
      <c r="L22" s="10" t="s">
        <v>404</v>
      </c>
      <c r="M22" s="9">
        <v>45769</v>
      </c>
      <c r="N22" s="9"/>
      <c r="O22" s="9"/>
      <c r="P22" s="11">
        <v>7</v>
      </c>
      <c r="Q22" s="12">
        <v>16167319</v>
      </c>
      <c r="R22">
        <v>4402360.9637000002</v>
      </c>
      <c r="S22" s="22">
        <v>0.21</v>
      </c>
      <c r="T22" s="22">
        <v>-0.05</v>
      </c>
      <c r="U22" s="12">
        <v>12133572.91</v>
      </c>
      <c r="V22" s="24">
        <v>3303971.9033929999</v>
      </c>
      <c r="W22" s="8">
        <v>9552704.3000000007</v>
      </c>
      <c r="X22" s="24">
        <v>2601201.3808900001</v>
      </c>
      <c r="Y22" s="22">
        <v>0.3</v>
      </c>
      <c r="Z22" s="22">
        <v>0.11</v>
      </c>
      <c r="AA22" s="8" t="s">
        <v>405</v>
      </c>
      <c r="AB22" s="8">
        <v>3343556.25</v>
      </c>
      <c r="AC22" s="24">
        <v>910450.36687499995</v>
      </c>
      <c r="AD22" s="8">
        <v>1342126.33</v>
      </c>
      <c r="AE22" s="24">
        <v>365460.99965900002</v>
      </c>
      <c r="AF22" s="8">
        <v>90</v>
      </c>
      <c r="AG22" s="8">
        <v>135</v>
      </c>
      <c r="AH22" s="8" t="s">
        <v>329</v>
      </c>
      <c r="AI22" s="8" t="s">
        <v>406</v>
      </c>
      <c r="AJ22" s="22">
        <v>0.16</v>
      </c>
      <c r="AK22" s="8" t="s">
        <v>153</v>
      </c>
      <c r="AL22" s="22">
        <v>0.05</v>
      </c>
      <c r="AM22" s="22">
        <v>0.05</v>
      </c>
      <c r="AN22" s="8">
        <v>11</v>
      </c>
      <c r="AO22" s="8">
        <v>947</v>
      </c>
      <c r="AP22" s="8">
        <v>2059198.76</v>
      </c>
      <c r="AQ22" s="24">
        <v>560719.82234800002</v>
      </c>
      <c r="AR22" s="8">
        <v>4711902.7699999996</v>
      </c>
      <c r="AS22" s="37">
        <v>1283051.1242709998</v>
      </c>
      <c r="AT22" s="8" t="s">
        <v>321</v>
      </c>
      <c r="AU22" s="8" t="s">
        <v>348</v>
      </c>
      <c r="AV22" s="8">
        <v>72.7</v>
      </c>
      <c r="AW22" s="8">
        <v>48</v>
      </c>
      <c r="AX22" s="8" t="s">
        <v>387</v>
      </c>
      <c r="AY22" s="8" t="s">
        <v>229</v>
      </c>
      <c r="AZ22" s="8" t="s">
        <v>377</v>
      </c>
      <c r="BA22" s="21">
        <f>IF(OR(tblsales[[#This Row],[Invoice Value USD]]="",tblsales[[#This Row],[Collected Amount USD]]=""),"",tblsales[[#This Row],[Invoice Value USD]]-tblsales[[#This Row],[Collected Amount USD]])</f>
        <v>544989.36721599987</v>
      </c>
      <c r="BB22" s="21">
        <f>IF(OR(tblsales[[#This Row],[Contract Value USD]]="",tblsales[[#This Row],[Cost Estimate USD]]=""),"",tblsales[[#This Row],[Contract Value USD]]-tblsales[[#This Row],[Cost Estimate USD]])</f>
        <v>702770.52250299975</v>
      </c>
      <c r="BC22" s="21">
        <f>IF(OR(tblsales[[#This Row],[Contract Value USD]]="",tblsales[[#This Row],[Cost Estimate USD]]=""),"",tblsales[[#This Row],[Contract Value USD]]-tblsales[[#This Row],[Cost Estimate USD]])</f>
        <v>702770.52250299975</v>
      </c>
      <c r="BD22" s="23">
        <f>IF(tblsales[[#This Row],[Invoice Value USD]]="","",tblsales[[#This Row],[Collected Amount USD]]/tblsales[[#This Row],[Invoice Value USD]])</f>
        <v>0.40140683441470443</v>
      </c>
      <c r="BE22" s="11">
        <f>IF(tblsales[[#This Row],[SalesStage]]="Won",1,0)</f>
        <v>0</v>
      </c>
      <c r="BF22" s="21" t="str">
        <f>IF(tblsales[[#This Row],[Win Flag]]=1,"Won","Lost")</f>
        <v>Lost</v>
      </c>
      <c r="BG22" s="8"/>
    </row>
    <row r="23" spans="1:61" x14ac:dyDescent="0.3">
      <c r="A23" s="10" t="s">
        <v>407</v>
      </c>
      <c r="B23" s="9">
        <v>45936</v>
      </c>
      <c r="C23" s="10" t="s">
        <v>282</v>
      </c>
      <c r="D23" s="10" t="s">
        <v>248</v>
      </c>
      <c r="E23" s="10" t="s">
        <v>332</v>
      </c>
      <c r="F23" s="10" t="s">
        <v>350</v>
      </c>
      <c r="G23" s="10" t="s">
        <v>16</v>
      </c>
      <c r="H23" s="10" t="s">
        <v>263</v>
      </c>
      <c r="I23" s="10" t="s">
        <v>198</v>
      </c>
      <c r="J23" s="10" t="s">
        <v>105</v>
      </c>
      <c r="K23" s="10" t="s">
        <v>204</v>
      </c>
      <c r="L23" s="10" t="s">
        <v>408</v>
      </c>
      <c r="M23" s="9">
        <v>45747</v>
      </c>
      <c r="N23" s="9">
        <v>45840</v>
      </c>
      <c r="O23" s="9"/>
      <c r="P23" s="11">
        <v>17</v>
      </c>
      <c r="Q23" s="12">
        <v>44834633</v>
      </c>
      <c r="R23">
        <v>12208470.5659</v>
      </c>
      <c r="S23" s="22">
        <v>0.1</v>
      </c>
      <c r="T23" s="22">
        <v>0.19</v>
      </c>
      <c r="U23" s="12">
        <v>48017891.939999998</v>
      </c>
      <c r="V23" s="24">
        <v>13075271.975261999</v>
      </c>
      <c r="W23" s="8">
        <v>40985505.93</v>
      </c>
      <c r="X23" s="24">
        <v>11160353.264738999</v>
      </c>
      <c r="Y23" s="22">
        <v>0.34</v>
      </c>
      <c r="Z23" s="22">
        <v>0.14000000000000001</v>
      </c>
      <c r="AA23" s="8" t="s">
        <v>409</v>
      </c>
      <c r="AB23" s="8">
        <v>30433638.120000001</v>
      </c>
      <c r="AC23" s="24">
        <v>8287079.6600759998</v>
      </c>
      <c r="AD23" s="8">
        <v>20677049.199999999</v>
      </c>
      <c r="AE23" s="24">
        <v>5630360.4971599998</v>
      </c>
      <c r="AF23" s="8">
        <v>30</v>
      </c>
      <c r="AG23" s="8">
        <v>22</v>
      </c>
      <c r="AH23" s="8" t="s">
        <v>329</v>
      </c>
      <c r="AI23" s="8" t="s">
        <v>336</v>
      </c>
      <c r="AJ23" s="22">
        <v>0.14000000000000001</v>
      </c>
      <c r="AK23" s="8" t="s">
        <v>153</v>
      </c>
      <c r="AL23" s="22">
        <v>0.05</v>
      </c>
      <c r="AM23" s="22">
        <v>0.08</v>
      </c>
      <c r="AN23" s="8">
        <v>11</v>
      </c>
      <c r="AO23" s="8">
        <v>2541</v>
      </c>
      <c r="AP23" s="8">
        <v>4837100.92</v>
      </c>
      <c r="AQ23" s="24">
        <v>1317142.5805159998</v>
      </c>
      <c r="AR23" s="8">
        <v>7553243.0300000003</v>
      </c>
      <c r="AS23" s="37">
        <v>2056748.0770689999</v>
      </c>
      <c r="AT23" s="8" t="s">
        <v>321</v>
      </c>
      <c r="AU23" s="8" t="s">
        <v>356</v>
      </c>
      <c r="AV23" s="8">
        <v>80.400000000000006</v>
      </c>
      <c r="AW23" s="8">
        <v>12</v>
      </c>
      <c r="AX23" s="8" t="s">
        <v>323</v>
      </c>
      <c r="AY23" s="8" t="s">
        <v>229</v>
      </c>
      <c r="AZ23" s="8" t="s">
        <v>188</v>
      </c>
      <c r="BA23" s="21">
        <f>IF(OR(tblsales[[#This Row],[Invoice Value USD]]="",tblsales[[#This Row],[Collected Amount USD]]=""),"",tblsales[[#This Row],[Invoice Value USD]]-tblsales[[#This Row],[Collected Amount USD]])</f>
        <v>2656719.162916</v>
      </c>
      <c r="BB23" s="21">
        <f>IF(OR(tblsales[[#This Row],[Contract Value USD]]="",tblsales[[#This Row],[Cost Estimate USD]]=""),"",tblsales[[#This Row],[Contract Value USD]]-tblsales[[#This Row],[Cost Estimate USD]])</f>
        <v>1914918.710523</v>
      </c>
      <c r="BC23" s="21">
        <f>IF(OR(tblsales[[#This Row],[Contract Value USD]]="",tblsales[[#This Row],[Cost Estimate USD]]=""),"",tblsales[[#This Row],[Contract Value USD]]-tblsales[[#This Row],[Cost Estimate USD]])</f>
        <v>1914918.710523</v>
      </c>
      <c r="BD23" s="23">
        <f>IF(tblsales[[#This Row],[Invoice Value USD]]="","",tblsales[[#This Row],[Collected Amount USD]]/tblsales[[#This Row],[Invoice Value USD]])</f>
        <v>0.67941430855129059</v>
      </c>
      <c r="BE23" s="11">
        <f>IF(tblsales[[#This Row],[SalesStage]]="Won",1,0)</f>
        <v>0</v>
      </c>
      <c r="BF23" s="21" t="str">
        <f>IF(tblsales[[#This Row],[Win Flag]]=1,"Won","Lost")</f>
        <v>Lost</v>
      </c>
      <c r="BG23" s="8"/>
    </row>
    <row r="24" spans="1:61" x14ac:dyDescent="0.3">
      <c r="A24" s="10" t="s">
        <v>410</v>
      </c>
      <c r="B24" s="9">
        <v>45872</v>
      </c>
      <c r="C24" s="10" t="s">
        <v>217</v>
      </c>
      <c r="D24" s="10" t="s">
        <v>253</v>
      </c>
      <c r="E24" s="10" t="s">
        <v>36</v>
      </c>
      <c r="F24" s="10" t="s">
        <v>332</v>
      </c>
      <c r="G24" s="10" t="s">
        <v>66</v>
      </c>
      <c r="H24" s="10" t="s">
        <v>216</v>
      </c>
      <c r="I24" s="10" t="s">
        <v>233</v>
      </c>
      <c r="J24" s="10" t="s">
        <v>115</v>
      </c>
      <c r="K24" s="10" t="s">
        <v>199</v>
      </c>
      <c r="L24" s="10" t="s">
        <v>411</v>
      </c>
      <c r="M24" s="9">
        <v>45857</v>
      </c>
      <c r="N24" s="9">
        <v>45939</v>
      </c>
      <c r="O24" s="9"/>
      <c r="P24" s="11">
        <v>16</v>
      </c>
      <c r="Q24" s="12">
        <v>30643653</v>
      </c>
      <c r="R24">
        <v>35577281.133000001</v>
      </c>
      <c r="S24" s="22">
        <v>0.13</v>
      </c>
      <c r="T24" s="22">
        <v>0.04</v>
      </c>
      <c r="U24" s="12">
        <v>27726377.23</v>
      </c>
      <c r="V24" s="24">
        <v>32190323.964030001</v>
      </c>
      <c r="W24" s="8">
        <v>22992050.32</v>
      </c>
      <c r="X24" s="24">
        <v>26693770.421520002</v>
      </c>
      <c r="Y24" s="22">
        <v>0.09</v>
      </c>
      <c r="Z24" s="22">
        <v>0.12</v>
      </c>
      <c r="AA24" s="8" t="s">
        <v>412</v>
      </c>
      <c r="AB24" s="8">
        <v>18392474.57</v>
      </c>
      <c r="AC24" s="24">
        <v>21353662.97577</v>
      </c>
      <c r="AD24" s="8">
        <v>16948085.879999999</v>
      </c>
      <c r="AE24" s="24">
        <v>19676727.70668</v>
      </c>
      <c r="AF24" s="8">
        <v>120</v>
      </c>
      <c r="AG24" s="8">
        <v>153</v>
      </c>
      <c r="AH24" s="8" t="s">
        <v>347</v>
      </c>
      <c r="AI24" s="8" t="s">
        <v>381</v>
      </c>
      <c r="AJ24" s="22">
        <v>0.13</v>
      </c>
      <c r="AK24" s="8" t="s">
        <v>159</v>
      </c>
      <c r="AL24" s="22">
        <v>0.05</v>
      </c>
      <c r="AM24" s="22">
        <v>0.02</v>
      </c>
      <c r="AN24" s="8">
        <v>1</v>
      </c>
      <c r="AO24" s="8">
        <v>2911</v>
      </c>
      <c r="AP24" s="8"/>
      <c r="AQ24" s="24"/>
      <c r="AR24" s="8">
        <v>3241793.11</v>
      </c>
      <c r="AS24" s="37">
        <v>3763721.8007100001</v>
      </c>
      <c r="AT24" s="8" t="s">
        <v>73</v>
      </c>
      <c r="AU24" s="8" t="s">
        <v>330</v>
      </c>
      <c r="AV24" s="8">
        <v>69</v>
      </c>
      <c r="AW24" s="8"/>
      <c r="AX24" s="8" t="s">
        <v>387</v>
      </c>
      <c r="AY24" s="8" t="s">
        <v>229</v>
      </c>
      <c r="AZ24" s="8" t="s">
        <v>324</v>
      </c>
      <c r="BA24" s="21">
        <f>IF(OR(tblsales[[#This Row],[Invoice Value USD]]="",tblsales[[#This Row],[Collected Amount USD]]=""),"",tblsales[[#This Row],[Invoice Value USD]]-tblsales[[#This Row],[Collected Amount USD]])</f>
        <v>1676935.2690900005</v>
      </c>
      <c r="BB24" s="21">
        <f>IF(OR(tblsales[[#This Row],[Contract Value USD]]="",tblsales[[#This Row],[Cost Estimate USD]]=""),"",tblsales[[#This Row],[Contract Value USD]]-tblsales[[#This Row],[Cost Estimate USD]])</f>
        <v>5496553.5425099991</v>
      </c>
      <c r="BC24" s="21">
        <f>IF(OR(tblsales[[#This Row],[Contract Value USD]]="",tblsales[[#This Row],[Cost Estimate USD]]=""),"",tblsales[[#This Row],[Contract Value USD]]-tblsales[[#This Row],[Cost Estimate USD]])</f>
        <v>5496553.5425099991</v>
      </c>
      <c r="BD24" s="23">
        <f>IF(tblsales[[#This Row],[Invoice Value USD]]="","",tblsales[[#This Row],[Collected Amount USD]]/tblsales[[#This Row],[Invoice Value USD]])</f>
        <v>0.92146849601434566</v>
      </c>
      <c r="BE24" s="11">
        <f>IF(tblsales[[#This Row],[SalesStage]]="Won",1,0)</f>
        <v>0</v>
      </c>
      <c r="BF24" s="21" t="str">
        <f>IF(tblsales[[#This Row],[Win Flag]]=1,"Won","Lost")</f>
        <v>Lost</v>
      </c>
      <c r="BG24" s="8"/>
    </row>
    <row r="25" spans="1:61" x14ac:dyDescent="0.3">
      <c r="A25" s="10" t="s">
        <v>413</v>
      </c>
      <c r="B25" s="9">
        <v>45806</v>
      </c>
      <c r="C25" s="10" t="s">
        <v>208</v>
      </c>
      <c r="D25" s="10" t="s">
        <v>209</v>
      </c>
      <c r="E25" s="10" t="s">
        <v>113</v>
      </c>
      <c r="F25" s="10" t="s">
        <v>367</v>
      </c>
      <c r="G25" s="10" t="s">
        <v>50</v>
      </c>
      <c r="H25" s="10" t="s">
        <v>236</v>
      </c>
      <c r="I25" s="10" t="s">
        <v>203</v>
      </c>
      <c r="J25" s="10" t="s">
        <v>111</v>
      </c>
      <c r="K25" s="10" t="s">
        <v>204</v>
      </c>
      <c r="L25" s="10" t="s">
        <v>414</v>
      </c>
      <c r="M25" s="9">
        <v>45766</v>
      </c>
      <c r="N25" s="9"/>
      <c r="O25" s="9"/>
      <c r="P25" s="11">
        <v>51</v>
      </c>
      <c r="Q25" s="12">
        <v>7929154</v>
      </c>
      <c r="R25">
        <v>7929154</v>
      </c>
      <c r="S25" s="22">
        <v>0.15</v>
      </c>
      <c r="T25" s="22">
        <v>0.19</v>
      </c>
      <c r="U25" s="12">
        <v>8020339.2699999996</v>
      </c>
      <c r="V25" s="24">
        <v>8020339.2699999996</v>
      </c>
      <c r="W25" s="8">
        <v>4993511.21</v>
      </c>
      <c r="X25" s="24">
        <v>4993511.21</v>
      </c>
      <c r="Y25" s="22">
        <v>0.27</v>
      </c>
      <c r="Z25" s="22">
        <v>0.12</v>
      </c>
      <c r="AA25" s="8" t="s">
        <v>415</v>
      </c>
      <c r="AB25" s="8">
        <v>1572726</v>
      </c>
      <c r="AC25" s="24">
        <v>1572726</v>
      </c>
      <c r="AD25" s="8">
        <v>1664087.93</v>
      </c>
      <c r="AE25" s="24">
        <v>1664087.93</v>
      </c>
      <c r="AF25" s="8">
        <v>90</v>
      </c>
      <c r="AG25" s="8">
        <v>177</v>
      </c>
      <c r="AH25" s="8" t="s">
        <v>353</v>
      </c>
      <c r="AI25" s="8" t="s">
        <v>354</v>
      </c>
      <c r="AJ25" s="22">
        <v>0.91</v>
      </c>
      <c r="AK25" s="8" t="s">
        <v>152</v>
      </c>
      <c r="AL25" s="22">
        <v>0.05</v>
      </c>
      <c r="AM25" s="22">
        <v>0.05</v>
      </c>
      <c r="AN25" s="8">
        <v>3</v>
      </c>
      <c r="AO25" s="8">
        <v>2657</v>
      </c>
      <c r="AP25" s="8">
        <v>1317420.96</v>
      </c>
      <c r="AQ25" s="24">
        <v>1317420.96</v>
      </c>
      <c r="AR25" s="8">
        <v>1021105.51</v>
      </c>
      <c r="AS25" s="37">
        <v>1021105.51</v>
      </c>
      <c r="AT25" s="8" t="s">
        <v>385</v>
      </c>
      <c r="AU25" s="8" t="s">
        <v>348</v>
      </c>
      <c r="AV25" s="8">
        <v>72.400000000000006</v>
      </c>
      <c r="AW25" s="8">
        <v>36</v>
      </c>
      <c r="AX25" s="8" t="s">
        <v>332</v>
      </c>
      <c r="AY25" s="8" t="s">
        <v>229</v>
      </c>
      <c r="AZ25" s="8" t="s">
        <v>332</v>
      </c>
      <c r="BA25" s="21">
        <f>IF(OR(tblsales[[#This Row],[Invoice Value USD]]="",tblsales[[#This Row],[Collected Amount USD]]=""),"",tblsales[[#This Row],[Invoice Value USD]]-tblsales[[#This Row],[Collected Amount USD]])</f>
        <v>-91361.929999999935</v>
      </c>
      <c r="BB25" s="21">
        <f>IF(OR(tblsales[[#This Row],[Contract Value USD]]="",tblsales[[#This Row],[Cost Estimate USD]]=""),"",tblsales[[#This Row],[Contract Value USD]]-tblsales[[#This Row],[Cost Estimate USD]])</f>
        <v>3026828.0599999996</v>
      </c>
      <c r="BC25" s="21">
        <f>IF(OR(tblsales[[#This Row],[Contract Value USD]]="",tblsales[[#This Row],[Cost Estimate USD]]=""),"",tblsales[[#This Row],[Contract Value USD]]-tblsales[[#This Row],[Cost Estimate USD]])</f>
        <v>3026828.0599999996</v>
      </c>
      <c r="BD25" s="23">
        <f>IF(tblsales[[#This Row],[Invoice Value USD]]="","",tblsales[[#This Row],[Collected Amount USD]]/tblsales[[#This Row],[Invoice Value USD]])</f>
        <v>1.0580914475884546</v>
      </c>
      <c r="BE25" s="11">
        <f>IF(tblsales[[#This Row],[SalesStage]]="Won",1,0)</f>
        <v>0</v>
      </c>
      <c r="BF25" s="21" t="str">
        <f>IF(tblsales[[#This Row],[Win Flag]]=1,"Won","Lost")</f>
        <v>Lost</v>
      </c>
      <c r="BG25" s="8"/>
    </row>
    <row r="26" spans="1:61" x14ac:dyDescent="0.3">
      <c r="A26" s="10" t="s">
        <v>416</v>
      </c>
      <c r="B26" s="9">
        <v>45677</v>
      </c>
      <c r="C26" s="10" t="s">
        <v>214</v>
      </c>
      <c r="D26" s="10" t="s">
        <v>242</v>
      </c>
      <c r="E26" s="10" t="s">
        <v>41</v>
      </c>
      <c r="F26" s="10" t="s">
        <v>332</v>
      </c>
      <c r="G26" s="10" t="s">
        <v>62</v>
      </c>
      <c r="H26" s="10" t="s">
        <v>216</v>
      </c>
      <c r="I26" s="10" t="s">
        <v>183</v>
      </c>
      <c r="J26" s="10" t="s">
        <v>130</v>
      </c>
      <c r="K26" s="10" t="s">
        <v>184</v>
      </c>
      <c r="L26" s="10" t="s">
        <v>417</v>
      </c>
      <c r="M26" s="9">
        <v>45577</v>
      </c>
      <c r="N26" s="9">
        <v>45710</v>
      </c>
      <c r="O26" s="9">
        <v>45743</v>
      </c>
      <c r="P26" s="11">
        <v>24</v>
      </c>
      <c r="Q26" s="12">
        <v>4017826</v>
      </c>
      <c r="R26">
        <v>1094054.0197999999</v>
      </c>
      <c r="S26" s="22">
        <v>0.14000000000000001</v>
      </c>
      <c r="T26" s="22">
        <v>0.02</v>
      </c>
      <c r="U26" s="12">
        <v>3524436.97</v>
      </c>
      <c r="V26" s="24">
        <v>959704.18693099997</v>
      </c>
      <c r="W26" s="8">
        <v>2170029.87</v>
      </c>
      <c r="X26" s="24">
        <v>590899.13360099995</v>
      </c>
      <c r="Y26" s="22">
        <v>0.17</v>
      </c>
      <c r="Z26" s="22">
        <v>0.1</v>
      </c>
      <c r="AA26" s="8" t="s">
        <v>418</v>
      </c>
      <c r="AB26" s="8">
        <v>2107495.2400000002</v>
      </c>
      <c r="AC26" s="24">
        <v>573870.95385200006</v>
      </c>
      <c r="AD26" s="8">
        <v>2280088.2000000002</v>
      </c>
      <c r="AE26" s="24">
        <v>620868.01685999997</v>
      </c>
      <c r="AF26" s="8">
        <v>30</v>
      </c>
      <c r="AG26" s="8">
        <v>158</v>
      </c>
      <c r="AH26" s="8" t="s">
        <v>329</v>
      </c>
      <c r="AI26" s="8" t="s">
        <v>381</v>
      </c>
      <c r="AJ26" s="22">
        <v>0.61</v>
      </c>
      <c r="AK26" s="8" t="s">
        <v>153</v>
      </c>
      <c r="AL26" s="22">
        <v>0.1</v>
      </c>
      <c r="AM26" s="22">
        <v>0.05</v>
      </c>
      <c r="AN26" s="8">
        <v>1</v>
      </c>
      <c r="AO26" s="8">
        <v>2740</v>
      </c>
      <c r="AP26" s="8">
        <v>608426.31999999995</v>
      </c>
      <c r="AQ26" s="24">
        <v>165674.48693599997</v>
      </c>
      <c r="AR26" s="8">
        <v>789800.58</v>
      </c>
      <c r="AS26" s="37">
        <v>215062.69793399997</v>
      </c>
      <c r="AT26" s="8" t="s">
        <v>73</v>
      </c>
      <c r="AU26" s="8" t="s">
        <v>348</v>
      </c>
      <c r="AV26" s="8">
        <v>64.2</v>
      </c>
      <c r="AW26" s="8">
        <v>48</v>
      </c>
      <c r="AX26" s="8" t="s">
        <v>337</v>
      </c>
      <c r="AY26" s="8" t="s">
        <v>186</v>
      </c>
      <c r="AZ26" s="8" t="s">
        <v>324</v>
      </c>
      <c r="BA26" s="21">
        <f>IF(OR(tblsales[[#This Row],[Invoice Value USD]]="",tblsales[[#This Row],[Collected Amount USD]]=""),"",tblsales[[#This Row],[Invoice Value USD]]-tblsales[[#This Row],[Collected Amount USD]])</f>
        <v>-46997.06300799991</v>
      </c>
      <c r="BB26" s="21">
        <f>IF(OR(tblsales[[#This Row],[Contract Value USD]]="",tblsales[[#This Row],[Cost Estimate USD]]=""),"",tblsales[[#This Row],[Contract Value USD]]-tblsales[[#This Row],[Cost Estimate USD]])</f>
        <v>368805.05333000002</v>
      </c>
      <c r="BC26" s="21">
        <f>IF(OR(tblsales[[#This Row],[Contract Value USD]]="",tblsales[[#This Row],[Cost Estimate USD]]=""),"",tblsales[[#This Row],[Contract Value USD]]-tblsales[[#This Row],[Cost Estimate USD]])</f>
        <v>368805.05333000002</v>
      </c>
      <c r="BD26" s="23">
        <f>IF(tblsales[[#This Row],[Invoice Value USD]]="","",tblsales[[#This Row],[Collected Amount USD]]/tblsales[[#This Row],[Invoice Value USD]])</f>
        <v>1.0818948279095519</v>
      </c>
      <c r="BE26" s="11">
        <f>IF(tblsales[[#This Row],[SalesStage]]="Won",1,0)</f>
        <v>0</v>
      </c>
      <c r="BF26" s="21" t="str">
        <f>IF(tblsales[[#This Row],[Win Flag]]=1,"Won","Lost")</f>
        <v>Lost</v>
      </c>
      <c r="BG26" s="8"/>
    </row>
    <row r="27" spans="1:61" x14ac:dyDescent="0.3">
      <c r="A27" s="10" t="s">
        <v>419</v>
      </c>
      <c r="B27" s="9">
        <v>46074</v>
      </c>
      <c r="C27" s="10" t="s">
        <v>241</v>
      </c>
      <c r="D27" s="10" t="s">
        <v>238</v>
      </c>
      <c r="E27" s="10" t="s">
        <v>52</v>
      </c>
      <c r="F27" s="10" t="s">
        <v>332</v>
      </c>
      <c r="G27" s="10" t="s">
        <v>33</v>
      </c>
      <c r="H27" s="10" t="s">
        <v>197</v>
      </c>
      <c r="I27" s="10" t="s">
        <v>240</v>
      </c>
      <c r="J27" s="10" t="s">
        <v>119</v>
      </c>
      <c r="K27" s="10" t="s">
        <v>184</v>
      </c>
      <c r="L27" s="10" t="s">
        <v>420</v>
      </c>
      <c r="M27" s="9">
        <v>46021</v>
      </c>
      <c r="N27" s="9">
        <v>46056</v>
      </c>
      <c r="O27" s="9"/>
      <c r="P27" s="11">
        <v>42</v>
      </c>
      <c r="Q27" s="12">
        <v>8776094</v>
      </c>
      <c r="R27">
        <v>10189045.134</v>
      </c>
      <c r="S27" s="22">
        <v>0.24</v>
      </c>
      <c r="T27" s="22">
        <v>0.16</v>
      </c>
      <c r="U27" s="12">
        <v>7737004.4699999997</v>
      </c>
      <c r="V27" s="24">
        <v>8982662.1896700002</v>
      </c>
      <c r="W27" s="8">
        <v>5026435.8600000003</v>
      </c>
      <c r="X27" s="24">
        <v>5835692.0334600005</v>
      </c>
      <c r="Y27" s="22">
        <v>0.19</v>
      </c>
      <c r="Z27" s="22">
        <v>0.15</v>
      </c>
      <c r="AA27" s="8" t="s">
        <v>421</v>
      </c>
      <c r="AB27" s="8">
        <v>5245367.72</v>
      </c>
      <c r="AC27" s="24">
        <v>6089871.9229199998</v>
      </c>
      <c r="AD27" s="8">
        <v>4449810.9400000004</v>
      </c>
      <c r="AE27" s="24">
        <v>5166230.5013400009</v>
      </c>
      <c r="AF27" s="8">
        <v>120</v>
      </c>
      <c r="AG27" s="8">
        <v>24</v>
      </c>
      <c r="AH27" s="8" t="s">
        <v>342</v>
      </c>
      <c r="AI27" s="8" t="s">
        <v>354</v>
      </c>
      <c r="AJ27" s="22">
        <v>0.66</v>
      </c>
      <c r="AK27" s="8" t="s">
        <v>159</v>
      </c>
      <c r="AL27" s="22">
        <v>0.1</v>
      </c>
      <c r="AM27" s="22">
        <v>0.06</v>
      </c>
      <c r="AN27" s="8">
        <v>0</v>
      </c>
      <c r="AO27" s="8">
        <v>2545</v>
      </c>
      <c r="AP27" s="8">
        <v>1550535.58</v>
      </c>
      <c r="AQ27" s="24">
        <v>1800171.8083800001</v>
      </c>
      <c r="AR27" s="8">
        <v>1374142.06</v>
      </c>
      <c r="AS27" s="37">
        <v>1595378.93166</v>
      </c>
      <c r="AT27" s="8" t="s">
        <v>343</v>
      </c>
      <c r="AU27" s="8" t="s">
        <v>322</v>
      </c>
      <c r="AV27" s="8">
        <v>80.5</v>
      </c>
      <c r="AW27" s="8">
        <v>60</v>
      </c>
      <c r="AX27" s="8" t="s">
        <v>387</v>
      </c>
      <c r="AY27" s="8" t="s">
        <v>224</v>
      </c>
      <c r="AZ27" s="8" t="s">
        <v>324</v>
      </c>
      <c r="BA27" s="21">
        <f>IF(OR(tblsales[[#This Row],[Invoice Value USD]]="",tblsales[[#This Row],[Collected Amount USD]]=""),"",tblsales[[#This Row],[Invoice Value USD]]-tblsales[[#This Row],[Collected Amount USD]])</f>
        <v>923641.42157999892</v>
      </c>
      <c r="BB27" s="21">
        <f>IF(OR(tblsales[[#This Row],[Contract Value USD]]="",tblsales[[#This Row],[Cost Estimate USD]]=""),"",tblsales[[#This Row],[Contract Value USD]]-tblsales[[#This Row],[Cost Estimate USD]])</f>
        <v>3146970.1562099997</v>
      </c>
      <c r="BC27" s="21">
        <f>IF(OR(tblsales[[#This Row],[Contract Value USD]]="",tblsales[[#This Row],[Cost Estimate USD]]=""),"",tblsales[[#This Row],[Contract Value USD]]-tblsales[[#This Row],[Cost Estimate USD]])</f>
        <v>3146970.1562099997</v>
      </c>
      <c r="BD27" s="23">
        <f>IF(tblsales[[#This Row],[Invoice Value USD]]="","",tblsales[[#This Row],[Collected Amount USD]]/tblsales[[#This Row],[Invoice Value USD]])</f>
        <v>0.84833155224434886</v>
      </c>
      <c r="BE27" s="11">
        <f>IF(tblsales[[#This Row],[SalesStage]]="Won",1,0)</f>
        <v>0</v>
      </c>
      <c r="BF27" s="21" t="str">
        <f>IF(tblsales[[#This Row],[Win Flag]]=1,"Won","Lost")</f>
        <v>Lost</v>
      </c>
      <c r="BG27" s="8"/>
    </row>
    <row r="28" spans="1:61" x14ac:dyDescent="0.3">
      <c r="A28" s="10" t="s">
        <v>422</v>
      </c>
      <c r="B28" s="9">
        <v>46076</v>
      </c>
      <c r="C28" s="10" t="s">
        <v>258</v>
      </c>
      <c r="D28" s="10" t="s">
        <v>274</v>
      </c>
      <c r="E28" s="10" t="s">
        <v>20</v>
      </c>
      <c r="F28" s="10" t="s">
        <v>31</v>
      </c>
      <c r="G28" s="10" t="s">
        <v>28</v>
      </c>
      <c r="H28" s="10" t="s">
        <v>212</v>
      </c>
      <c r="I28" s="10" t="s">
        <v>246</v>
      </c>
      <c r="J28" s="10" t="s">
        <v>136</v>
      </c>
      <c r="K28" s="10" t="s">
        <v>326</v>
      </c>
      <c r="L28" s="10" t="s">
        <v>423</v>
      </c>
      <c r="M28" s="9">
        <v>46056</v>
      </c>
      <c r="N28" s="9"/>
      <c r="O28" s="9">
        <v>46118</v>
      </c>
      <c r="P28" s="11">
        <v>11</v>
      </c>
      <c r="Q28" s="12">
        <v>13601487</v>
      </c>
      <c r="R28">
        <v>3703684.9101</v>
      </c>
      <c r="S28" s="22">
        <v>0.28000000000000003</v>
      </c>
      <c r="T28" s="22">
        <v>-0.02</v>
      </c>
      <c r="U28" s="12">
        <v>9597209.2300000004</v>
      </c>
      <c r="V28" s="24">
        <v>2613320.0733289998</v>
      </c>
      <c r="W28" s="8"/>
      <c r="X28" s="24"/>
      <c r="Y28" s="22">
        <v>0.22</v>
      </c>
      <c r="Z28" s="22">
        <v>0.17</v>
      </c>
      <c r="AA28" s="8"/>
      <c r="AB28" s="8">
        <v>2519293.62</v>
      </c>
      <c r="AC28" s="24">
        <v>686003.65272599994</v>
      </c>
      <c r="AD28" s="8">
        <v>2048042.69</v>
      </c>
      <c r="AE28" s="24">
        <v>557682.02448699996</v>
      </c>
      <c r="AF28" s="8">
        <v>60</v>
      </c>
      <c r="AG28" s="8">
        <v>142</v>
      </c>
      <c r="AH28" s="8" t="s">
        <v>347</v>
      </c>
      <c r="AI28" s="8" t="s">
        <v>354</v>
      </c>
      <c r="AJ28" s="22">
        <v>0.93</v>
      </c>
      <c r="AK28" s="8" t="s">
        <v>153</v>
      </c>
      <c r="AL28" s="22">
        <v>0.15</v>
      </c>
      <c r="AM28" s="22">
        <v>0.09</v>
      </c>
      <c r="AN28" s="8">
        <v>3</v>
      </c>
      <c r="AO28" s="8">
        <v>1234</v>
      </c>
      <c r="AP28" s="8">
        <v>1797211.8</v>
      </c>
      <c r="AQ28" s="24">
        <v>489380.77314</v>
      </c>
      <c r="AR28" s="8">
        <v>1386554.35</v>
      </c>
      <c r="AS28" s="37">
        <v>377558.74950500001</v>
      </c>
      <c r="AT28" s="8" t="s">
        <v>321</v>
      </c>
      <c r="AU28" s="8" t="s">
        <v>332</v>
      </c>
      <c r="AV28" s="8">
        <v>72.400000000000006</v>
      </c>
      <c r="AW28" s="8">
        <v>36</v>
      </c>
      <c r="AX28" s="8" t="s">
        <v>387</v>
      </c>
      <c r="AY28" s="8" t="s">
        <v>192</v>
      </c>
      <c r="AZ28" s="8" t="s">
        <v>188</v>
      </c>
      <c r="BA28" s="21">
        <f>IF(OR(tblsales[[#This Row],[Invoice Value USD]]="",tblsales[[#This Row],[Collected Amount USD]]=""),"",tblsales[[#This Row],[Invoice Value USD]]-tblsales[[#This Row],[Collected Amount USD]])</f>
        <v>128321.62823899998</v>
      </c>
      <c r="BB28" s="21" t="str">
        <f>IF(OR(tblsales[[#This Row],[Contract Value USD]]="",tblsales[[#This Row],[Cost Estimate USD]]=""),"",tblsales[[#This Row],[Contract Value USD]]-tblsales[[#This Row],[Cost Estimate USD]])</f>
        <v/>
      </c>
      <c r="BC28" s="21" t="str">
        <f>IF(OR(tblsales[[#This Row],[Contract Value USD]]="",tblsales[[#This Row],[Cost Estimate USD]]=""),"",tblsales[[#This Row],[Contract Value USD]]-tblsales[[#This Row],[Cost Estimate USD]])</f>
        <v/>
      </c>
      <c r="BD28" s="23">
        <f>IF(tblsales[[#This Row],[Invoice Value USD]]="","",tblsales[[#This Row],[Collected Amount USD]]/tblsales[[#This Row],[Invoice Value USD]])</f>
        <v>0.81294322890398141</v>
      </c>
      <c r="BE28" s="11">
        <f>IF(tblsales[[#This Row],[SalesStage]]="Won",1,0)</f>
        <v>0</v>
      </c>
      <c r="BF28" s="21" t="str">
        <f>IF(tblsales[[#This Row],[Win Flag]]=1,"Won","Lost")</f>
        <v>Lost</v>
      </c>
      <c r="BG28" s="8"/>
    </row>
    <row r="29" spans="1:61" x14ac:dyDescent="0.3">
      <c r="A29" s="10" t="s">
        <v>424</v>
      </c>
      <c r="B29" s="9">
        <v>45714</v>
      </c>
      <c r="C29" s="10" t="s">
        <v>251</v>
      </c>
      <c r="D29" s="10" t="s">
        <v>245</v>
      </c>
      <c r="E29" s="10" t="s">
        <v>41</v>
      </c>
      <c r="F29" s="10" t="s">
        <v>228</v>
      </c>
      <c r="G29" s="10" t="s">
        <v>23</v>
      </c>
      <c r="H29" s="10" t="s">
        <v>236</v>
      </c>
      <c r="I29" s="10" t="s">
        <v>213</v>
      </c>
      <c r="J29" s="10" t="s">
        <v>105</v>
      </c>
      <c r="K29" s="10" t="s">
        <v>210</v>
      </c>
      <c r="L29" s="10" t="s">
        <v>425</v>
      </c>
      <c r="M29" s="9">
        <v>45630</v>
      </c>
      <c r="N29" s="9"/>
      <c r="O29" s="9">
        <v>45935</v>
      </c>
      <c r="P29" s="11">
        <v>46</v>
      </c>
      <c r="Q29" s="12">
        <v>33742971</v>
      </c>
      <c r="R29">
        <v>33742971</v>
      </c>
      <c r="S29" s="22">
        <v>0.21</v>
      </c>
      <c r="T29" s="22">
        <v>-0.05</v>
      </c>
      <c r="U29" s="12">
        <v>25324099.739999998</v>
      </c>
      <c r="V29" s="24">
        <v>25324099.739999998</v>
      </c>
      <c r="W29" s="8">
        <v>20477491.879999999</v>
      </c>
      <c r="X29" s="24">
        <v>20477491.879999999</v>
      </c>
      <c r="Y29" s="22">
        <v>0.33</v>
      </c>
      <c r="Z29" s="22">
        <v>0.06</v>
      </c>
      <c r="AA29" s="8" t="s">
        <v>426</v>
      </c>
      <c r="AB29" s="8"/>
      <c r="AC29" s="24"/>
      <c r="AD29" s="8">
        <v>6100243.5199999996</v>
      </c>
      <c r="AE29" s="24">
        <v>6100243.5199999996</v>
      </c>
      <c r="AF29" s="8">
        <v>45</v>
      </c>
      <c r="AG29" s="8">
        <v>75</v>
      </c>
      <c r="AH29" s="8" t="s">
        <v>332</v>
      </c>
      <c r="AI29" s="8" t="s">
        <v>406</v>
      </c>
      <c r="AJ29" s="22">
        <v>0.45</v>
      </c>
      <c r="AK29" s="8" t="s">
        <v>152</v>
      </c>
      <c r="AL29" s="22">
        <v>0.15</v>
      </c>
      <c r="AM29" s="22">
        <v>0.04</v>
      </c>
      <c r="AN29" s="8">
        <v>13</v>
      </c>
      <c r="AO29" s="8">
        <v>353</v>
      </c>
      <c r="AP29" s="8">
        <v>2312532.29</v>
      </c>
      <c r="AQ29" s="24">
        <v>2312532.29</v>
      </c>
      <c r="AR29" s="8">
        <v>10792179.939999999</v>
      </c>
      <c r="AS29" s="37">
        <v>10792179.939999999</v>
      </c>
      <c r="AT29" s="8" t="s">
        <v>332</v>
      </c>
      <c r="AU29" s="8" t="s">
        <v>332</v>
      </c>
      <c r="AV29" s="8">
        <v>51.8</v>
      </c>
      <c r="AW29" s="8">
        <v>12</v>
      </c>
      <c r="AX29" s="8" t="s">
        <v>323</v>
      </c>
      <c r="AY29" s="8" t="s">
        <v>192</v>
      </c>
      <c r="AZ29" s="8" t="s">
        <v>332</v>
      </c>
      <c r="BA29" s="21" t="str">
        <f>IF(OR(tblsales[[#This Row],[Invoice Value USD]]="",tblsales[[#This Row],[Collected Amount USD]]=""),"",tblsales[[#This Row],[Invoice Value USD]]-tblsales[[#This Row],[Collected Amount USD]])</f>
        <v/>
      </c>
      <c r="BB29" s="21">
        <f>IF(OR(tblsales[[#This Row],[Contract Value USD]]="",tblsales[[#This Row],[Cost Estimate USD]]=""),"",tblsales[[#This Row],[Contract Value USD]]-tblsales[[#This Row],[Cost Estimate USD]])</f>
        <v>4846607.8599999994</v>
      </c>
      <c r="BC29" s="21">
        <f>IF(OR(tblsales[[#This Row],[Contract Value USD]]="",tblsales[[#This Row],[Cost Estimate USD]]=""),"",tblsales[[#This Row],[Contract Value USD]]-tblsales[[#This Row],[Cost Estimate USD]])</f>
        <v>4846607.8599999994</v>
      </c>
      <c r="BD29" s="23" t="str">
        <f>IF(tblsales[[#This Row],[Invoice Value USD]]="","",tblsales[[#This Row],[Collected Amount USD]]/tblsales[[#This Row],[Invoice Value USD]])</f>
        <v/>
      </c>
      <c r="BE29" s="11">
        <f>IF(tblsales[[#This Row],[SalesStage]]="Won",1,0)</f>
        <v>0</v>
      </c>
      <c r="BF29" s="21" t="str">
        <f>IF(tblsales[[#This Row],[Win Flag]]=1,"Won","Lost")</f>
        <v>Lost</v>
      </c>
      <c r="BG29" s="8"/>
      <c r="BI29" s="28"/>
    </row>
    <row r="30" spans="1:61" x14ac:dyDescent="0.3">
      <c r="A30" s="10" t="s">
        <v>427</v>
      </c>
      <c r="B30" s="9">
        <v>46067</v>
      </c>
      <c r="C30" s="10" t="s">
        <v>244</v>
      </c>
      <c r="D30" s="10" t="s">
        <v>238</v>
      </c>
      <c r="E30" s="10" t="s">
        <v>332</v>
      </c>
      <c r="F30" s="10" t="s">
        <v>367</v>
      </c>
      <c r="G30" s="10" t="s">
        <v>50</v>
      </c>
      <c r="H30" s="10" t="s">
        <v>263</v>
      </c>
      <c r="I30" s="10" t="s">
        <v>233</v>
      </c>
      <c r="J30" s="10" t="s">
        <v>105</v>
      </c>
      <c r="K30" s="10" t="s">
        <v>223</v>
      </c>
      <c r="L30" s="10" t="s">
        <v>428</v>
      </c>
      <c r="M30" s="9">
        <v>45912</v>
      </c>
      <c r="N30" s="9">
        <v>46125</v>
      </c>
      <c r="O30" s="9">
        <v>46300</v>
      </c>
      <c r="P30" s="11">
        <v>53</v>
      </c>
      <c r="Q30" s="12">
        <v>24897348</v>
      </c>
      <c r="R30">
        <v>6779547.8603999997</v>
      </c>
      <c r="S30" s="22">
        <v>0.16</v>
      </c>
      <c r="T30" s="22">
        <v>0.05</v>
      </c>
      <c r="U30" s="12">
        <v>21959460.940000001</v>
      </c>
      <c r="V30" s="24">
        <v>5979561.2139619999</v>
      </c>
      <c r="W30" s="8">
        <v>13670035.619999999</v>
      </c>
      <c r="X30" s="24">
        <v>3722350.6993259997</v>
      </c>
      <c r="Y30" s="22">
        <v>0.18</v>
      </c>
      <c r="Z30" s="22">
        <v>0.17</v>
      </c>
      <c r="AA30" s="8" t="s">
        <v>429</v>
      </c>
      <c r="AB30" s="8">
        <v>9305895.5600000005</v>
      </c>
      <c r="AC30" s="24">
        <v>2533995.3609879999</v>
      </c>
      <c r="AD30" s="8">
        <v>9912481.5099999998</v>
      </c>
      <c r="AE30" s="24">
        <v>2699168.715173</v>
      </c>
      <c r="AF30" s="8">
        <v>60</v>
      </c>
      <c r="AG30" s="8">
        <v>48</v>
      </c>
      <c r="AH30" s="8" t="s">
        <v>347</v>
      </c>
      <c r="AI30" s="8" t="s">
        <v>354</v>
      </c>
      <c r="AJ30" s="22">
        <v>0.52</v>
      </c>
      <c r="AK30" s="8" t="s">
        <v>153</v>
      </c>
      <c r="AL30" s="22">
        <v>0.1</v>
      </c>
      <c r="AM30" s="22">
        <v>0.04</v>
      </c>
      <c r="AN30" s="8">
        <v>8</v>
      </c>
      <c r="AO30" s="8">
        <v>1044</v>
      </c>
      <c r="AP30" s="8"/>
      <c r="AQ30" s="24"/>
      <c r="AR30" s="8">
        <v>5413696.4100000001</v>
      </c>
      <c r="AS30" s="37">
        <v>1474149.532443</v>
      </c>
      <c r="AT30" s="8" t="s">
        <v>332</v>
      </c>
      <c r="AU30" s="8" t="s">
        <v>356</v>
      </c>
      <c r="AV30" s="8">
        <v>51.6</v>
      </c>
      <c r="AW30" s="8">
        <v>60</v>
      </c>
      <c r="AX30" s="8" t="s">
        <v>387</v>
      </c>
      <c r="AY30" s="8" t="s">
        <v>192</v>
      </c>
      <c r="AZ30" s="8" t="s">
        <v>361</v>
      </c>
      <c r="BA30" s="21">
        <f>IF(OR(tblsales[[#This Row],[Invoice Value USD]]="",tblsales[[#This Row],[Collected Amount USD]]=""),"",tblsales[[#This Row],[Invoice Value USD]]-tblsales[[#This Row],[Collected Amount USD]])</f>
        <v>-165173.35418500006</v>
      </c>
      <c r="BB30" s="21">
        <f>IF(OR(tblsales[[#This Row],[Contract Value USD]]="",tblsales[[#This Row],[Cost Estimate USD]]=""),"",tblsales[[#This Row],[Contract Value USD]]-tblsales[[#This Row],[Cost Estimate USD]])</f>
        <v>2257210.5146360002</v>
      </c>
      <c r="BC30" s="21">
        <f>IF(OR(tblsales[[#This Row],[Contract Value USD]]="",tblsales[[#This Row],[Cost Estimate USD]]=""),"",tblsales[[#This Row],[Contract Value USD]]-tblsales[[#This Row],[Cost Estimate USD]])</f>
        <v>2257210.5146360002</v>
      </c>
      <c r="BD30" s="23">
        <f>IF(tblsales[[#This Row],[Invoice Value USD]]="","",tblsales[[#This Row],[Collected Amount USD]]/tblsales[[#This Row],[Invoice Value USD]])</f>
        <v>1.0651829741790053</v>
      </c>
      <c r="BE30" s="11">
        <f>IF(tblsales[[#This Row],[SalesStage]]="Won",1,0)</f>
        <v>0</v>
      </c>
      <c r="BF30" s="21" t="str">
        <f>IF(tblsales[[#This Row],[Win Flag]]=1,"Won","Lost")</f>
        <v>Lost</v>
      </c>
      <c r="BG30" s="8"/>
    </row>
    <row r="31" spans="1:61" x14ac:dyDescent="0.3">
      <c r="A31" s="10" t="s">
        <v>430</v>
      </c>
      <c r="B31" s="9">
        <v>45951</v>
      </c>
      <c r="C31" s="10" t="s">
        <v>217</v>
      </c>
      <c r="D31" s="10" t="s">
        <v>220</v>
      </c>
      <c r="E31" s="10" t="s">
        <v>41</v>
      </c>
      <c r="F31" s="10" t="s">
        <v>363</v>
      </c>
      <c r="G31" s="10" t="s">
        <v>70</v>
      </c>
      <c r="H31" s="10" t="s">
        <v>182</v>
      </c>
      <c r="I31" s="10" t="s">
        <v>183</v>
      </c>
      <c r="J31" s="10" t="s">
        <v>105</v>
      </c>
      <c r="K31" s="10" t="s">
        <v>223</v>
      </c>
      <c r="L31" s="10" t="s">
        <v>431</v>
      </c>
      <c r="M31" s="9">
        <v>45897</v>
      </c>
      <c r="N31" s="9">
        <v>45880</v>
      </c>
      <c r="O31" s="9">
        <v>46071</v>
      </c>
      <c r="P31" s="11">
        <v>35</v>
      </c>
      <c r="Q31" s="12">
        <v>9440562</v>
      </c>
      <c r="R31">
        <v>2570665.0326</v>
      </c>
      <c r="S31" s="22">
        <v>0.19</v>
      </c>
      <c r="T31" s="22">
        <v>0.05</v>
      </c>
      <c r="U31" s="12">
        <v>8029197.9800000004</v>
      </c>
      <c r="V31" s="24">
        <v>2186350.609954</v>
      </c>
      <c r="W31" s="8">
        <v>7190466.0599999996</v>
      </c>
      <c r="X31" s="24">
        <v>1957963.9081379997</v>
      </c>
      <c r="Y31" s="22">
        <v>0.13</v>
      </c>
      <c r="Z31" s="22">
        <v>0.12</v>
      </c>
      <c r="AA31" s="8" t="s">
        <v>432</v>
      </c>
      <c r="AB31" s="8">
        <v>4834593.8899999997</v>
      </c>
      <c r="AC31" s="24">
        <v>1316459.9162469998</v>
      </c>
      <c r="AD31" s="8">
        <v>2415794.9500000002</v>
      </c>
      <c r="AE31" s="24">
        <v>657820.96488500002</v>
      </c>
      <c r="AF31" s="8">
        <v>30</v>
      </c>
      <c r="AG31" s="8">
        <v>7</v>
      </c>
      <c r="AH31" s="8" t="s">
        <v>347</v>
      </c>
      <c r="AI31" s="8" t="s">
        <v>354</v>
      </c>
      <c r="AJ31" s="22">
        <v>0.74</v>
      </c>
      <c r="AK31" s="8" t="s">
        <v>153</v>
      </c>
      <c r="AL31" s="22">
        <v>0.1</v>
      </c>
      <c r="AM31" s="22">
        <v>0.06</v>
      </c>
      <c r="AN31" s="8">
        <v>3</v>
      </c>
      <c r="AO31" s="8">
        <v>548</v>
      </c>
      <c r="AP31" s="8">
        <v>2006551.66</v>
      </c>
      <c r="AQ31" s="24">
        <v>546384.0170179999</v>
      </c>
      <c r="AR31" s="8">
        <v>2491285.59</v>
      </c>
      <c r="AS31" s="37">
        <v>678377.06615699991</v>
      </c>
      <c r="AT31" s="8" t="s">
        <v>73</v>
      </c>
      <c r="AU31" s="8" t="s">
        <v>386</v>
      </c>
      <c r="AV31" s="8">
        <v>68.400000000000006</v>
      </c>
      <c r="AW31" s="8">
        <v>60</v>
      </c>
      <c r="AX31" s="8" t="s">
        <v>332</v>
      </c>
      <c r="AY31" s="8" t="s">
        <v>206</v>
      </c>
      <c r="AZ31" s="8" t="s">
        <v>332</v>
      </c>
      <c r="BA31" s="21">
        <f>IF(OR(tblsales[[#This Row],[Invoice Value USD]]="",tblsales[[#This Row],[Collected Amount USD]]=""),"",tblsales[[#This Row],[Invoice Value USD]]-tblsales[[#This Row],[Collected Amount USD]])</f>
        <v>658638.95136199973</v>
      </c>
      <c r="BB31" s="21">
        <f>IF(OR(tblsales[[#This Row],[Contract Value USD]]="",tblsales[[#This Row],[Cost Estimate USD]]=""),"",tblsales[[#This Row],[Contract Value USD]]-tblsales[[#This Row],[Cost Estimate USD]])</f>
        <v>228386.70181600028</v>
      </c>
      <c r="BC31" s="21">
        <f>IF(OR(tblsales[[#This Row],[Contract Value USD]]="",tblsales[[#This Row],[Cost Estimate USD]]=""),"",tblsales[[#This Row],[Contract Value USD]]-tblsales[[#This Row],[Cost Estimate USD]])</f>
        <v>228386.70181600028</v>
      </c>
      <c r="BD31" s="23">
        <f>IF(tblsales[[#This Row],[Invoice Value USD]]="","",tblsales[[#This Row],[Collected Amount USD]]/tblsales[[#This Row],[Invoice Value USD]])</f>
        <v>0.49968932343973993</v>
      </c>
      <c r="BE31" s="11">
        <f>IF(tblsales[[#This Row],[SalesStage]]="Won",1,0)</f>
        <v>0</v>
      </c>
      <c r="BF31" s="21" t="str">
        <f>IF(tblsales[[#This Row],[Win Flag]]=1,"Won","Lost")</f>
        <v>Lost</v>
      </c>
      <c r="BG31" s="8"/>
    </row>
    <row r="32" spans="1:61" x14ac:dyDescent="0.3">
      <c r="A32" s="10" t="s">
        <v>433</v>
      </c>
      <c r="B32" s="9">
        <v>45834</v>
      </c>
      <c r="C32" s="10" t="s">
        <v>239</v>
      </c>
      <c r="D32" s="10" t="s">
        <v>262</v>
      </c>
      <c r="E32" s="10" t="s">
        <v>41</v>
      </c>
      <c r="F32" s="10" t="s">
        <v>350</v>
      </c>
      <c r="G32" s="10" t="s">
        <v>46</v>
      </c>
      <c r="H32" s="10" t="s">
        <v>332</v>
      </c>
      <c r="I32" s="10" t="s">
        <v>183</v>
      </c>
      <c r="J32" s="10" t="s">
        <v>130</v>
      </c>
      <c r="K32" s="10" t="s">
        <v>204</v>
      </c>
      <c r="L32" s="10" t="s">
        <v>434</v>
      </c>
      <c r="M32" s="9">
        <v>45803</v>
      </c>
      <c r="N32" s="9">
        <v>45665</v>
      </c>
      <c r="O32" s="9">
        <v>45867</v>
      </c>
      <c r="P32" s="11"/>
      <c r="Q32" s="12">
        <v>8812389</v>
      </c>
      <c r="R32">
        <v>2399613.5247</v>
      </c>
      <c r="S32" s="22">
        <v>0.31</v>
      </c>
      <c r="T32" s="22">
        <v>0.15</v>
      </c>
      <c r="U32" s="12">
        <v>6992630.6699999999</v>
      </c>
      <c r="V32" s="24">
        <v>1904093.3314409999</v>
      </c>
      <c r="W32" s="8">
        <v>5405522.8600000003</v>
      </c>
      <c r="X32" s="24">
        <v>1471923.8747779999</v>
      </c>
      <c r="Y32" s="22">
        <v>0.32</v>
      </c>
      <c r="Z32" s="22">
        <v>0.11</v>
      </c>
      <c r="AA32" s="8" t="s">
        <v>435</v>
      </c>
      <c r="AB32" s="8">
        <v>4152397.79</v>
      </c>
      <c r="AC32" s="24">
        <v>1130697.9182169999</v>
      </c>
      <c r="AD32" s="8">
        <v>1850186</v>
      </c>
      <c r="AE32" s="24">
        <v>503805.64779999998</v>
      </c>
      <c r="AF32" s="8">
        <v>45</v>
      </c>
      <c r="AG32" s="8">
        <v>111</v>
      </c>
      <c r="AH32" s="8" t="s">
        <v>347</v>
      </c>
      <c r="AI32" s="8" t="s">
        <v>406</v>
      </c>
      <c r="AJ32" s="22">
        <v>0.52</v>
      </c>
      <c r="AK32" s="8" t="s">
        <v>153</v>
      </c>
      <c r="AL32" s="22">
        <v>0.05</v>
      </c>
      <c r="AM32" s="22">
        <v>0.08</v>
      </c>
      <c r="AN32" s="8">
        <v>4</v>
      </c>
      <c r="AO32" s="8">
        <v>2484</v>
      </c>
      <c r="AP32" s="8">
        <v>1434036.64</v>
      </c>
      <c r="AQ32" s="24">
        <v>390488.17707199993</v>
      </c>
      <c r="AR32" s="8">
        <v>1531201.15</v>
      </c>
      <c r="AS32" s="37">
        <v>416946.07314499997</v>
      </c>
      <c r="AT32" s="8" t="s">
        <v>355</v>
      </c>
      <c r="AU32" s="8" t="s">
        <v>356</v>
      </c>
      <c r="AV32" s="8"/>
      <c r="AW32" s="8"/>
      <c r="AX32" s="8" t="s">
        <v>387</v>
      </c>
      <c r="AY32" s="8" t="s">
        <v>206</v>
      </c>
      <c r="AZ32" s="8" t="s">
        <v>377</v>
      </c>
      <c r="BA32" s="21">
        <f>IF(OR(tblsales[[#This Row],[Invoice Value USD]]="",tblsales[[#This Row],[Collected Amount USD]]=""),"",tblsales[[#This Row],[Invoice Value USD]]-tblsales[[#This Row],[Collected Amount USD]])</f>
        <v>626892.27041699993</v>
      </c>
      <c r="BB32" s="21">
        <f>IF(OR(tblsales[[#This Row],[Contract Value USD]]="",tblsales[[#This Row],[Cost Estimate USD]]=""),"",tblsales[[#This Row],[Contract Value USD]]-tblsales[[#This Row],[Cost Estimate USD]])</f>
        <v>432169.45666299993</v>
      </c>
      <c r="BC32" s="21">
        <f>IF(OR(tblsales[[#This Row],[Contract Value USD]]="",tblsales[[#This Row],[Cost Estimate USD]]=""),"",tblsales[[#This Row],[Contract Value USD]]-tblsales[[#This Row],[Cost Estimate USD]])</f>
        <v>432169.45666299993</v>
      </c>
      <c r="BD32" s="23">
        <f>IF(tblsales[[#This Row],[Invoice Value USD]]="","",tblsales[[#This Row],[Collected Amount USD]]/tblsales[[#This Row],[Invoice Value USD]])</f>
        <v>0.44557050975600299</v>
      </c>
      <c r="BE32" s="11">
        <f>IF(tblsales[[#This Row],[SalesStage]]="Won",1,0)</f>
        <v>0</v>
      </c>
      <c r="BF32" s="21" t="str">
        <f>IF(tblsales[[#This Row],[Win Flag]]=1,"Won","Lost")</f>
        <v>Lost</v>
      </c>
      <c r="BG32" s="8"/>
    </row>
    <row r="33" spans="1:61" x14ac:dyDescent="0.3">
      <c r="A33" s="10" t="s">
        <v>436</v>
      </c>
      <c r="B33" s="9">
        <v>45731</v>
      </c>
      <c r="C33" s="10" t="s">
        <v>256</v>
      </c>
      <c r="D33" s="10" t="s">
        <v>250</v>
      </c>
      <c r="E33" s="10" t="s">
        <v>41</v>
      </c>
      <c r="F33" s="10" t="s">
        <v>350</v>
      </c>
      <c r="G33" s="10" t="s">
        <v>38</v>
      </c>
      <c r="H33" s="10" t="s">
        <v>182</v>
      </c>
      <c r="I33" s="10" t="s">
        <v>183</v>
      </c>
      <c r="J33" s="10" t="s">
        <v>130</v>
      </c>
      <c r="K33" s="10" t="s">
        <v>223</v>
      </c>
      <c r="L33" s="10" t="s">
        <v>437</v>
      </c>
      <c r="M33" s="9">
        <v>45902</v>
      </c>
      <c r="N33" s="9" t="s">
        <v>438</v>
      </c>
      <c r="O33" s="9">
        <v>45800</v>
      </c>
      <c r="P33" s="11"/>
      <c r="Q33" s="12">
        <v>21177056</v>
      </c>
      <c r="R33">
        <v>24586562.015999999</v>
      </c>
      <c r="S33" s="22">
        <v>0.3</v>
      </c>
      <c r="T33" s="22">
        <v>0.03</v>
      </c>
      <c r="U33" s="12">
        <v>15268657.380000001</v>
      </c>
      <c r="V33" s="24">
        <v>17726911.218180001</v>
      </c>
      <c r="W33" s="8">
        <v>11476431.93</v>
      </c>
      <c r="X33" s="24">
        <v>13324137.470729999</v>
      </c>
      <c r="Y33" s="22">
        <v>0.13</v>
      </c>
      <c r="Z33" s="22">
        <v>0.1</v>
      </c>
      <c r="AA33" s="8" t="s">
        <v>439</v>
      </c>
      <c r="AB33" s="8">
        <v>13586354.630000001</v>
      </c>
      <c r="AC33" s="24">
        <v>15773757.725430001</v>
      </c>
      <c r="AD33" s="8">
        <v>7829767.9199999999</v>
      </c>
      <c r="AE33" s="24">
        <v>9090360.5551200006</v>
      </c>
      <c r="AF33" s="8">
        <v>90</v>
      </c>
      <c r="AG33" s="8">
        <v>34</v>
      </c>
      <c r="AH33" s="8" t="s">
        <v>347</v>
      </c>
      <c r="AI33" s="8" t="s">
        <v>320</v>
      </c>
      <c r="AJ33" s="22">
        <v>0.77</v>
      </c>
      <c r="AK33" s="8" t="s">
        <v>159</v>
      </c>
      <c r="AL33" s="22">
        <v>0.15</v>
      </c>
      <c r="AM33" s="22">
        <v>0.06</v>
      </c>
      <c r="AN33" s="8">
        <v>10</v>
      </c>
      <c r="AO33" s="8">
        <v>76</v>
      </c>
      <c r="AP33" s="8">
        <v>1818701.49</v>
      </c>
      <c r="AQ33" s="24">
        <v>2111512.4298900003</v>
      </c>
      <c r="AR33" s="8">
        <v>5970094.2800000003</v>
      </c>
      <c r="AS33" s="37">
        <v>6931279.4590800004</v>
      </c>
      <c r="AT33" s="8" t="s">
        <v>391</v>
      </c>
      <c r="AU33" s="8" t="s">
        <v>321</v>
      </c>
      <c r="AV33" s="8">
        <v>79.900000000000006</v>
      </c>
      <c r="AW33" s="8">
        <v>36</v>
      </c>
      <c r="AX33" s="8" t="s">
        <v>332</v>
      </c>
      <c r="AY33" s="8" t="s">
        <v>186</v>
      </c>
      <c r="AZ33" s="8" t="s">
        <v>357</v>
      </c>
      <c r="BA33" s="21">
        <f>IF(OR(tblsales[[#This Row],[Invoice Value USD]]="",tblsales[[#This Row],[Collected Amount USD]]=""),"",tblsales[[#This Row],[Invoice Value USD]]-tblsales[[#This Row],[Collected Amount USD]])</f>
        <v>6683397.17031</v>
      </c>
      <c r="BB33" s="21">
        <f>IF(OR(tblsales[[#This Row],[Contract Value USD]]="",tblsales[[#This Row],[Cost Estimate USD]]=""),"",tblsales[[#This Row],[Contract Value USD]]-tblsales[[#This Row],[Cost Estimate USD]])</f>
        <v>4402773.7474500015</v>
      </c>
      <c r="BC33" s="21">
        <f>IF(OR(tblsales[[#This Row],[Contract Value USD]]="",tblsales[[#This Row],[Cost Estimate USD]]=""),"",tblsales[[#This Row],[Contract Value USD]]-tblsales[[#This Row],[Cost Estimate USD]])</f>
        <v>4402773.7474500015</v>
      </c>
      <c r="BD33" s="23">
        <f>IF(tblsales[[#This Row],[Invoice Value USD]]="","",tblsales[[#This Row],[Collected Amount USD]]/tblsales[[#This Row],[Invoice Value USD]])</f>
        <v>0.57629644840206851</v>
      </c>
      <c r="BE33" s="11">
        <f>IF(tblsales[[#This Row],[SalesStage]]="Won",1,0)</f>
        <v>1</v>
      </c>
      <c r="BF33" s="21" t="str">
        <f>IF(tblsales[[#This Row],[Win Flag]]=1,"Won","Lost")</f>
        <v>Won</v>
      </c>
      <c r="BG33" s="8"/>
    </row>
    <row r="34" spans="1:61" x14ac:dyDescent="0.3">
      <c r="A34" s="10" t="s">
        <v>440</v>
      </c>
      <c r="B34" s="9">
        <v>45695</v>
      </c>
      <c r="C34" s="10" t="s">
        <v>280</v>
      </c>
      <c r="D34" s="10" t="s">
        <v>281</v>
      </c>
      <c r="E34" s="10" t="s">
        <v>113</v>
      </c>
      <c r="F34" s="10" t="s">
        <v>181</v>
      </c>
      <c r="G34" s="10" t="s">
        <v>73</v>
      </c>
      <c r="H34" s="10" t="s">
        <v>236</v>
      </c>
      <c r="I34" s="10" t="s">
        <v>183</v>
      </c>
      <c r="J34" s="10" t="s">
        <v>123</v>
      </c>
      <c r="K34" s="10" t="s">
        <v>223</v>
      </c>
      <c r="L34" s="10" t="s">
        <v>441</v>
      </c>
      <c r="M34" s="9">
        <v>45607</v>
      </c>
      <c r="N34" s="9"/>
      <c r="O34" s="9">
        <v>45763</v>
      </c>
      <c r="P34" s="11">
        <v>35</v>
      </c>
      <c r="Q34" s="12">
        <v>26127430</v>
      </c>
      <c r="R34">
        <v>7114499.1889999993</v>
      </c>
      <c r="S34" s="22">
        <v>0.18</v>
      </c>
      <c r="T34" s="22">
        <v>0.14000000000000001</v>
      </c>
      <c r="U34" s="12">
        <v>24423921.559999999</v>
      </c>
      <c r="V34" s="24">
        <v>6650633.8407879993</v>
      </c>
      <c r="W34" s="8">
        <v>19847414.57</v>
      </c>
      <c r="X34" s="24">
        <v>5404450.9874109998</v>
      </c>
      <c r="Y34" s="22">
        <v>0.34</v>
      </c>
      <c r="Z34" s="22">
        <v>0.11</v>
      </c>
      <c r="AA34" s="8" t="s">
        <v>442</v>
      </c>
      <c r="AB34" s="8">
        <v>7028290.5800000001</v>
      </c>
      <c r="AC34" s="24">
        <v>1913803.5249339999</v>
      </c>
      <c r="AD34" s="8">
        <v>7669780.6600000001</v>
      </c>
      <c r="AE34" s="24">
        <v>2088481.2737179999</v>
      </c>
      <c r="AF34" s="8">
        <v>120</v>
      </c>
      <c r="AG34" s="8">
        <v>31</v>
      </c>
      <c r="AH34" s="8" t="s">
        <v>342</v>
      </c>
      <c r="AI34" s="8" t="s">
        <v>336</v>
      </c>
      <c r="AJ34" s="22">
        <v>0.17</v>
      </c>
      <c r="AK34" s="8" t="s">
        <v>153</v>
      </c>
      <c r="AL34" s="22">
        <v>0.05</v>
      </c>
      <c r="AM34" s="22">
        <v>0.05</v>
      </c>
      <c r="AN34" s="8">
        <v>10</v>
      </c>
      <c r="AO34" s="8">
        <v>2185</v>
      </c>
      <c r="AP34" s="8">
        <v>4886443.1399999997</v>
      </c>
      <c r="AQ34" s="24">
        <v>1330578.4670219999</v>
      </c>
      <c r="AR34" s="8">
        <v>8085631.0300000003</v>
      </c>
      <c r="AS34" s="37">
        <v>2201717.329469</v>
      </c>
      <c r="AT34" s="8" t="s">
        <v>321</v>
      </c>
      <c r="AU34" s="8" t="s">
        <v>356</v>
      </c>
      <c r="AV34" s="8">
        <v>70.8</v>
      </c>
      <c r="AW34" s="8">
        <v>60</v>
      </c>
      <c r="AX34" s="8" t="s">
        <v>332</v>
      </c>
      <c r="AY34" s="8" t="s">
        <v>224</v>
      </c>
      <c r="AZ34" s="8" t="s">
        <v>324</v>
      </c>
      <c r="BA34" s="21">
        <f>IF(OR(tblsales[[#This Row],[Invoice Value USD]]="",tblsales[[#This Row],[Collected Amount USD]]=""),"",tblsales[[#This Row],[Invoice Value USD]]-tblsales[[#This Row],[Collected Amount USD]])</f>
        <v>-174677.74878400005</v>
      </c>
      <c r="BB34" s="21">
        <f>IF(OR(tblsales[[#This Row],[Contract Value USD]]="",tblsales[[#This Row],[Cost Estimate USD]]=""),"",tblsales[[#This Row],[Contract Value USD]]-tblsales[[#This Row],[Cost Estimate USD]])</f>
        <v>1246182.8533769995</v>
      </c>
      <c r="BC34" s="21">
        <f>IF(OR(tblsales[[#This Row],[Contract Value USD]]="",tblsales[[#This Row],[Cost Estimate USD]]=""),"",tblsales[[#This Row],[Contract Value USD]]-tblsales[[#This Row],[Cost Estimate USD]])</f>
        <v>1246182.8533769995</v>
      </c>
      <c r="BD34" s="23">
        <f>IF(tblsales[[#This Row],[Invoice Value USD]]="","",tblsales[[#This Row],[Collected Amount USD]]/tblsales[[#This Row],[Invoice Value USD]])</f>
        <v>1.0912725609019995</v>
      </c>
      <c r="BE34" s="11">
        <f>IF(tblsales[[#This Row],[SalesStage]]="Won",1,0)</f>
        <v>0</v>
      </c>
      <c r="BF34" s="21" t="str">
        <f>IF(tblsales[[#This Row],[Win Flag]]=1,"Won","Lost")</f>
        <v>Lost</v>
      </c>
      <c r="BG34" s="8"/>
    </row>
    <row r="35" spans="1:61" x14ac:dyDescent="0.3">
      <c r="A35" s="10" t="s">
        <v>443</v>
      </c>
      <c r="B35" s="9">
        <v>45674</v>
      </c>
      <c r="C35" s="10" t="s">
        <v>267</v>
      </c>
      <c r="D35" s="10" t="s">
        <v>202</v>
      </c>
      <c r="E35" s="10" t="s">
        <v>332</v>
      </c>
      <c r="F35" s="10" t="s">
        <v>181</v>
      </c>
      <c r="G35" s="10" t="s">
        <v>70</v>
      </c>
      <c r="H35" s="10" t="s">
        <v>182</v>
      </c>
      <c r="I35" s="10" t="s">
        <v>183</v>
      </c>
      <c r="J35" s="10" t="s">
        <v>105</v>
      </c>
      <c r="K35" s="10" t="s">
        <v>199</v>
      </c>
      <c r="L35" s="10" t="s">
        <v>444</v>
      </c>
      <c r="M35" s="9">
        <v>45586</v>
      </c>
      <c r="N35" s="9"/>
      <c r="O35" s="9">
        <v>45775</v>
      </c>
      <c r="P35" s="11">
        <v>22</v>
      </c>
      <c r="Q35" s="12">
        <v>38624540</v>
      </c>
      <c r="R35">
        <v>44843090.939999998</v>
      </c>
      <c r="S35" s="22">
        <v>0.33</v>
      </c>
      <c r="T35" s="22">
        <v>-0.02</v>
      </c>
      <c r="U35" s="12">
        <v>25360872.960000001</v>
      </c>
      <c r="V35" s="24">
        <v>29443973.506560002</v>
      </c>
      <c r="W35" s="8">
        <v>20579594.710000001</v>
      </c>
      <c r="X35" s="24">
        <v>23892909.458310001</v>
      </c>
      <c r="Y35" s="22">
        <v>0.22</v>
      </c>
      <c r="Z35" s="22">
        <v>0.12</v>
      </c>
      <c r="AA35" s="8" t="s">
        <v>445</v>
      </c>
      <c r="AB35" s="8">
        <v>1676271.59</v>
      </c>
      <c r="AC35" s="24">
        <v>1946151.3159900003</v>
      </c>
      <c r="AD35" s="8">
        <v>923548.52</v>
      </c>
      <c r="AE35" s="24">
        <v>1072239.8317200001</v>
      </c>
      <c r="AF35" s="8">
        <v>45</v>
      </c>
      <c r="AG35" s="8">
        <v>106</v>
      </c>
      <c r="AH35" s="8" t="s">
        <v>347</v>
      </c>
      <c r="AI35" s="8" t="s">
        <v>381</v>
      </c>
      <c r="AJ35" s="22">
        <v>0.7</v>
      </c>
      <c r="AK35" s="8" t="s">
        <v>159</v>
      </c>
      <c r="AL35" s="22">
        <v>0.1</v>
      </c>
      <c r="AM35" s="22">
        <v>0.06</v>
      </c>
      <c r="AN35" s="8">
        <v>15</v>
      </c>
      <c r="AO35" s="8">
        <v>4459</v>
      </c>
      <c r="AP35" s="8">
        <v>6224494.6399999997</v>
      </c>
      <c r="AQ35" s="24">
        <v>7226638.2770400001</v>
      </c>
      <c r="AR35" s="8">
        <v>12219972.939999999</v>
      </c>
      <c r="AS35" s="37">
        <v>14187388.58334</v>
      </c>
      <c r="AT35" s="8" t="s">
        <v>321</v>
      </c>
      <c r="AU35" s="8" t="s">
        <v>348</v>
      </c>
      <c r="AV35" s="8">
        <v>89.8</v>
      </c>
      <c r="AW35" s="8">
        <v>36</v>
      </c>
      <c r="AX35" s="8" t="s">
        <v>337</v>
      </c>
      <c r="AY35" s="8" t="s">
        <v>229</v>
      </c>
      <c r="AZ35" s="8" t="s">
        <v>377</v>
      </c>
      <c r="BA35" s="21">
        <f>IF(OR(tblsales[[#This Row],[Invoice Value USD]]="",tblsales[[#This Row],[Collected Amount USD]]=""),"",tblsales[[#This Row],[Invoice Value USD]]-tblsales[[#This Row],[Collected Amount USD]])</f>
        <v>873911.48427000013</v>
      </c>
      <c r="BB35" s="21">
        <f>IF(OR(tblsales[[#This Row],[Contract Value USD]]="",tblsales[[#This Row],[Cost Estimate USD]]=""),"",tblsales[[#This Row],[Contract Value USD]]-tblsales[[#This Row],[Cost Estimate USD]])</f>
        <v>5551064.0482500009</v>
      </c>
      <c r="BC35" s="21">
        <f>IF(OR(tblsales[[#This Row],[Contract Value USD]]="",tblsales[[#This Row],[Cost Estimate USD]]=""),"",tblsales[[#This Row],[Contract Value USD]]-tblsales[[#This Row],[Cost Estimate USD]])</f>
        <v>5551064.0482500009</v>
      </c>
      <c r="BD35" s="23">
        <f>IF(tblsales[[#This Row],[Invoice Value USD]]="","",tblsales[[#This Row],[Collected Amount USD]]/tblsales[[#This Row],[Invoice Value USD]])</f>
        <v>0.55095398950238128</v>
      </c>
      <c r="BE35" s="11">
        <f>IF(tblsales[[#This Row],[SalesStage]]="Won",1,0)</f>
        <v>0</v>
      </c>
      <c r="BF35" s="21" t="str">
        <f>IF(tblsales[[#This Row],[Win Flag]]=1,"Won","Lost")</f>
        <v>Lost</v>
      </c>
      <c r="BG35" s="8"/>
    </row>
    <row r="36" spans="1:61" x14ac:dyDescent="0.3">
      <c r="A36" s="10" t="s">
        <v>446</v>
      </c>
      <c r="B36" s="9">
        <v>45767</v>
      </c>
      <c r="C36" s="10" t="s">
        <v>269</v>
      </c>
      <c r="D36" s="10" t="s">
        <v>265</v>
      </c>
      <c r="E36" s="10" t="s">
        <v>20</v>
      </c>
      <c r="F36" s="10" t="s">
        <v>31</v>
      </c>
      <c r="G36" s="10" t="s">
        <v>23</v>
      </c>
      <c r="H36" s="10" t="s">
        <v>182</v>
      </c>
      <c r="I36" s="10" t="s">
        <v>213</v>
      </c>
      <c r="J36" s="10" t="s">
        <v>136</v>
      </c>
      <c r="K36" s="10" t="s">
        <v>221</v>
      </c>
      <c r="L36" s="10" t="s">
        <v>447</v>
      </c>
      <c r="M36" s="9">
        <v>45721</v>
      </c>
      <c r="N36" s="9"/>
      <c r="O36" s="9"/>
      <c r="P36" s="11">
        <v>44</v>
      </c>
      <c r="Q36" s="12">
        <v>13760554</v>
      </c>
      <c r="R36">
        <v>13760554</v>
      </c>
      <c r="S36" s="22">
        <v>0.28999999999999998</v>
      </c>
      <c r="T36" s="22">
        <v>0.02</v>
      </c>
      <c r="U36" s="12">
        <v>9965393.2100000009</v>
      </c>
      <c r="V36" s="24">
        <v>9965393.2100000009</v>
      </c>
      <c r="W36" s="8">
        <v>7579136.79</v>
      </c>
      <c r="X36" s="24">
        <v>7579136.79</v>
      </c>
      <c r="Y36" s="22">
        <v>0.38</v>
      </c>
      <c r="Z36" s="22">
        <v>0.19</v>
      </c>
      <c r="AA36" s="8" t="s">
        <v>448</v>
      </c>
      <c r="AB36" s="8">
        <v>5258890.63</v>
      </c>
      <c r="AC36" s="24">
        <v>5258890.63</v>
      </c>
      <c r="AD36" s="8">
        <v>2720409.26</v>
      </c>
      <c r="AE36" s="24">
        <v>2720409.26</v>
      </c>
      <c r="AF36" s="8">
        <v>30</v>
      </c>
      <c r="AG36" s="8">
        <v>158</v>
      </c>
      <c r="AH36" s="8" t="s">
        <v>342</v>
      </c>
      <c r="AI36" s="8" t="s">
        <v>226</v>
      </c>
      <c r="AJ36" s="22">
        <v>0.75</v>
      </c>
      <c r="AK36" s="8" t="s">
        <v>152</v>
      </c>
      <c r="AL36" s="22">
        <v>0.05</v>
      </c>
      <c r="AM36" s="22">
        <v>0.03</v>
      </c>
      <c r="AN36" s="8">
        <v>7</v>
      </c>
      <c r="AO36" s="8">
        <v>2381</v>
      </c>
      <c r="AP36" s="8">
        <v>220548.59</v>
      </c>
      <c r="AQ36" s="24">
        <v>220548.59</v>
      </c>
      <c r="AR36" s="8">
        <v>1424256.75</v>
      </c>
      <c r="AS36" s="37">
        <v>1424256.75</v>
      </c>
      <c r="AT36" s="8" t="s">
        <v>332</v>
      </c>
      <c r="AU36" s="8" t="s">
        <v>322</v>
      </c>
      <c r="AV36" s="8">
        <v>91.9</v>
      </c>
      <c r="AW36" s="8">
        <v>36</v>
      </c>
      <c r="AX36" s="8" t="s">
        <v>332</v>
      </c>
      <c r="AY36" s="8" t="s">
        <v>206</v>
      </c>
      <c r="AZ36" s="8" t="s">
        <v>377</v>
      </c>
      <c r="BA36" s="21">
        <f>IF(OR(tblsales[[#This Row],[Invoice Value USD]]="",tblsales[[#This Row],[Collected Amount USD]]=""),"",tblsales[[#This Row],[Invoice Value USD]]-tblsales[[#This Row],[Collected Amount USD]])</f>
        <v>2538481.37</v>
      </c>
      <c r="BB36" s="21">
        <f>IF(OR(tblsales[[#This Row],[Contract Value USD]]="",tblsales[[#This Row],[Cost Estimate USD]]=""),"",tblsales[[#This Row],[Contract Value USD]]-tblsales[[#This Row],[Cost Estimate USD]])</f>
        <v>2386256.4200000009</v>
      </c>
      <c r="BC36" s="21">
        <f>IF(OR(tblsales[[#This Row],[Contract Value USD]]="",tblsales[[#This Row],[Cost Estimate USD]]=""),"",tblsales[[#This Row],[Contract Value USD]]-tblsales[[#This Row],[Cost Estimate USD]])</f>
        <v>2386256.4200000009</v>
      </c>
      <c r="BD36" s="23">
        <f>IF(tblsales[[#This Row],[Invoice Value USD]]="","",tblsales[[#This Row],[Collected Amount USD]]/tblsales[[#This Row],[Invoice Value USD]])</f>
        <v>0.51729717375772843</v>
      </c>
      <c r="BE36" s="11">
        <f>IF(tblsales[[#This Row],[SalesStage]]="Won",1,0)</f>
        <v>0</v>
      </c>
      <c r="BF36" s="21" t="str">
        <f>IF(tblsales[[#This Row],[Win Flag]]=1,"Won","Lost")</f>
        <v>Lost</v>
      </c>
      <c r="BG36" s="8"/>
      <c r="BI36" s="28"/>
    </row>
    <row r="37" spans="1:61" x14ac:dyDescent="0.3">
      <c r="A37" s="10" t="s">
        <v>449</v>
      </c>
      <c r="B37" s="9">
        <v>45897</v>
      </c>
      <c r="C37" s="10" t="s">
        <v>219</v>
      </c>
      <c r="D37" s="10" t="s">
        <v>209</v>
      </c>
      <c r="E37" s="10" t="s">
        <v>41</v>
      </c>
      <c r="F37" s="10" t="s">
        <v>350</v>
      </c>
      <c r="G37" s="10" t="s">
        <v>66</v>
      </c>
      <c r="H37" s="10" t="s">
        <v>182</v>
      </c>
      <c r="I37" s="10" t="s">
        <v>332</v>
      </c>
      <c r="J37" s="10" t="s">
        <v>130</v>
      </c>
      <c r="K37" s="10" t="s">
        <v>199</v>
      </c>
      <c r="L37" s="10" t="s">
        <v>450</v>
      </c>
      <c r="M37" s="9">
        <v>45845</v>
      </c>
      <c r="N37" s="9">
        <v>45726</v>
      </c>
      <c r="O37" s="9">
        <v>45973</v>
      </c>
      <c r="P37" s="11"/>
      <c r="Q37" s="12">
        <v>18509786</v>
      </c>
      <c r="R37">
        <v>18509786</v>
      </c>
      <c r="S37" s="22">
        <v>0.08</v>
      </c>
      <c r="T37" s="22">
        <v>-0.02</v>
      </c>
      <c r="U37" s="12">
        <v>16688423.060000001</v>
      </c>
      <c r="V37" s="24">
        <v>16688423.060000001</v>
      </c>
      <c r="W37" s="8">
        <v>11549088.050000001</v>
      </c>
      <c r="X37" s="24">
        <v>11549088.050000001</v>
      </c>
      <c r="Y37" s="22">
        <v>0.23</v>
      </c>
      <c r="Z37" s="22">
        <v>0.18</v>
      </c>
      <c r="AA37" s="8" t="s">
        <v>451</v>
      </c>
      <c r="AB37" s="8">
        <v>3139428.2</v>
      </c>
      <c r="AC37" s="24">
        <v>3139428.2</v>
      </c>
      <c r="AD37" s="8"/>
      <c r="AE37" s="24"/>
      <c r="AF37" s="8">
        <v>60</v>
      </c>
      <c r="AG37" s="8">
        <v>48</v>
      </c>
      <c r="AH37" s="8" t="s">
        <v>342</v>
      </c>
      <c r="AI37" s="8" t="s">
        <v>381</v>
      </c>
      <c r="AJ37" s="22">
        <v>0.06</v>
      </c>
      <c r="AK37" s="8" t="s">
        <v>152</v>
      </c>
      <c r="AL37" s="22">
        <v>0.1</v>
      </c>
      <c r="AM37" s="22">
        <v>0.08</v>
      </c>
      <c r="AN37" s="8">
        <v>6</v>
      </c>
      <c r="AO37" s="8">
        <v>1805</v>
      </c>
      <c r="AP37" s="8">
        <v>2169191.88</v>
      </c>
      <c r="AQ37" s="24">
        <v>2169191.88</v>
      </c>
      <c r="AR37" s="8">
        <v>8269700.7999999998</v>
      </c>
      <c r="AS37" s="37">
        <v>8269700.7999999998</v>
      </c>
      <c r="AT37" s="8" t="s">
        <v>355</v>
      </c>
      <c r="AU37" s="8" t="s">
        <v>356</v>
      </c>
      <c r="AV37" s="8">
        <v>84.5</v>
      </c>
      <c r="AW37" s="8">
        <v>60</v>
      </c>
      <c r="AX37" s="8" t="s">
        <v>392</v>
      </c>
      <c r="AY37" s="8" t="s">
        <v>206</v>
      </c>
      <c r="AZ37" s="8" t="s">
        <v>332</v>
      </c>
      <c r="BA37" s="21" t="str">
        <f>IF(OR(tblsales[[#This Row],[Invoice Value USD]]="",tblsales[[#This Row],[Collected Amount USD]]=""),"",tblsales[[#This Row],[Invoice Value USD]]-tblsales[[#This Row],[Collected Amount USD]])</f>
        <v/>
      </c>
      <c r="BB37" s="21">
        <f>IF(OR(tblsales[[#This Row],[Contract Value USD]]="",tblsales[[#This Row],[Cost Estimate USD]]=""),"",tblsales[[#This Row],[Contract Value USD]]-tblsales[[#This Row],[Cost Estimate USD]])</f>
        <v>5139335.01</v>
      </c>
      <c r="BC37" s="21">
        <f>IF(OR(tblsales[[#This Row],[Contract Value USD]]="",tblsales[[#This Row],[Cost Estimate USD]]=""),"",tblsales[[#This Row],[Contract Value USD]]-tblsales[[#This Row],[Cost Estimate USD]])</f>
        <v>5139335.01</v>
      </c>
      <c r="BD37" s="23">
        <f>IF(tblsales[[#This Row],[Invoice Value USD]]="","",tblsales[[#This Row],[Collected Amount USD]]/tblsales[[#This Row],[Invoice Value USD]])</f>
        <v>0</v>
      </c>
      <c r="BE37" s="11">
        <f>IF(tblsales[[#This Row],[SalesStage]]="Won",1,0)</f>
        <v>0</v>
      </c>
      <c r="BF37" s="21" t="str">
        <f>IF(tblsales[[#This Row],[Win Flag]]=1,"Won","Lost")</f>
        <v>Lost</v>
      </c>
      <c r="BG37" s="8"/>
    </row>
    <row r="38" spans="1:61" x14ac:dyDescent="0.3">
      <c r="A38" s="10" t="s">
        <v>452</v>
      </c>
      <c r="B38" s="9">
        <v>46236</v>
      </c>
      <c r="C38" s="10" t="s">
        <v>258</v>
      </c>
      <c r="D38" s="10" t="s">
        <v>253</v>
      </c>
      <c r="E38" s="10" t="s">
        <v>52</v>
      </c>
      <c r="F38" s="10" t="s">
        <v>75</v>
      </c>
      <c r="G38" s="10" t="s">
        <v>57</v>
      </c>
      <c r="H38" s="10" t="s">
        <v>182</v>
      </c>
      <c r="I38" s="10" t="s">
        <v>203</v>
      </c>
      <c r="J38" s="10" t="s">
        <v>119</v>
      </c>
      <c r="K38" s="10" t="s">
        <v>333</v>
      </c>
      <c r="L38" s="10" t="s">
        <v>453</v>
      </c>
      <c r="M38" s="9">
        <v>46012</v>
      </c>
      <c r="N38" s="9">
        <v>46026</v>
      </c>
      <c r="O38" s="9">
        <v>46165</v>
      </c>
      <c r="P38" s="11"/>
      <c r="Q38" s="12">
        <v>5694223</v>
      </c>
      <c r="R38">
        <v>5694223</v>
      </c>
      <c r="S38" s="22">
        <v>0.19</v>
      </c>
      <c r="T38" s="22">
        <v>0.08</v>
      </c>
      <c r="U38" s="12">
        <v>4981306.28</v>
      </c>
      <c r="V38" s="24">
        <v>4981306.28</v>
      </c>
      <c r="W38" s="8">
        <v>3084066.06</v>
      </c>
      <c r="X38" s="24">
        <v>3084066.06</v>
      </c>
      <c r="Y38" s="22">
        <v>0.38</v>
      </c>
      <c r="Z38" s="22">
        <v>0.06</v>
      </c>
      <c r="AA38" s="8" t="s">
        <v>454</v>
      </c>
      <c r="AB38" s="8">
        <v>1780902.37</v>
      </c>
      <c r="AC38" s="24">
        <v>1780902.37</v>
      </c>
      <c r="AD38" s="8">
        <v>1841089.33</v>
      </c>
      <c r="AE38" s="24">
        <v>1841089.33</v>
      </c>
      <c r="AF38" s="8">
        <v>30</v>
      </c>
      <c r="AG38" s="8">
        <v>16</v>
      </c>
      <c r="AH38" s="8" t="s">
        <v>332</v>
      </c>
      <c r="AI38" s="8" t="s">
        <v>455</v>
      </c>
      <c r="AJ38" s="22">
        <v>0.83</v>
      </c>
      <c r="AK38" s="8" t="s">
        <v>152</v>
      </c>
      <c r="AL38" s="22">
        <v>0.15</v>
      </c>
      <c r="AM38" s="22">
        <v>0.03</v>
      </c>
      <c r="AN38" s="8">
        <v>4</v>
      </c>
      <c r="AO38" s="8">
        <v>3453</v>
      </c>
      <c r="AP38" s="8">
        <v>1120827.43</v>
      </c>
      <c r="AQ38" s="24">
        <v>1120827.43</v>
      </c>
      <c r="AR38" s="8">
        <v>2325503.06</v>
      </c>
      <c r="AS38" s="37">
        <v>2325503.06</v>
      </c>
      <c r="AT38" s="8" t="s">
        <v>332</v>
      </c>
      <c r="AU38" s="8" t="s">
        <v>330</v>
      </c>
      <c r="AV38" s="8"/>
      <c r="AW38" s="8">
        <v>12</v>
      </c>
      <c r="AX38" s="8" t="s">
        <v>392</v>
      </c>
      <c r="AY38" s="8" t="s">
        <v>224</v>
      </c>
      <c r="AZ38" s="8" t="s">
        <v>188</v>
      </c>
      <c r="BA38" s="21">
        <f>IF(OR(tblsales[[#This Row],[Invoice Value USD]]="",tblsales[[#This Row],[Collected Amount USD]]=""),"",tblsales[[#This Row],[Invoice Value USD]]-tblsales[[#This Row],[Collected Amount USD]])</f>
        <v>-60186.959999999963</v>
      </c>
      <c r="BB38" s="21">
        <f>IF(OR(tblsales[[#This Row],[Contract Value USD]]="",tblsales[[#This Row],[Cost Estimate USD]]=""),"",tblsales[[#This Row],[Contract Value USD]]-tblsales[[#This Row],[Cost Estimate USD]])</f>
        <v>1897240.2200000002</v>
      </c>
      <c r="BC38" s="21">
        <f>IF(OR(tblsales[[#This Row],[Contract Value USD]]="",tblsales[[#This Row],[Cost Estimate USD]]=""),"",tblsales[[#This Row],[Contract Value USD]]-tblsales[[#This Row],[Cost Estimate USD]])</f>
        <v>1897240.2200000002</v>
      </c>
      <c r="BD38" s="23">
        <f>IF(tblsales[[#This Row],[Invoice Value USD]]="","",tblsales[[#This Row],[Collected Amount USD]]/tblsales[[#This Row],[Invoice Value USD]])</f>
        <v>1.0337957661317503</v>
      </c>
      <c r="BE38" s="11">
        <f>IF(tblsales[[#This Row],[SalesStage]]="Won",1,0)</f>
        <v>0</v>
      </c>
      <c r="BF38" s="21" t="str">
        <f>IF(tblsales[[#This Row],[Win Flag]]=1,"Won","Lost")</f>
        <v>Lost</v>
      </c>
      <c r="BG38" s="8"/>
    </row>
    <row r="39" spans="1:61" x14ac:dyDescent="0.3">
      <c r="A39" s="10" t="s">
        <v>456</v>
      </c>
      <c r="B39" s="9">
        <v>45726</v>
      </c>
      <c r="C39" s="10" t="s">
        <v>195</v>
      </c>
      <c r="D39" s="10" t="s">
        <v>255</v>
      </c>
      <c r="E39" s="10" t="s">
        <v>332</v>
      </c>
      <c r="F39" s="10" t="s">
        <v>367</v>
      </c>
      <c r="G39" s="10" t="s">
        <v>66</v>
      </c>
      <c r="H39" s="10" t="s">
        <v>197</v>
      </c>
      <c r="I39" s="10" t="s">
        <v>191</v>
      </c>
      <c r="J39" s="10" t="s">
        <v>105</v>
      </c>
      <c r="K39" s="10" t="s">
        <v>221</v>
      </c>
      <c r="L39" s="10" t="s">
        <v>457</v>
      </c>
      <c r="M39" s="9">
        <v>45915</v>
      </c>
      <c r="N39" s="9">
        <v>45961</v>
      </c>
      <c r="O39" s="9">
        <v>45849</v>
      </c>
      <c r="P39" s="11">
        <v>37</v>
      </c>
      <c r="Q39" s="12">
        <v>26577718</v>
      </c>
      <c r="R39">
        <v>7300899.1346000005</v>
      </c>
      <c r="S39" s="22">
        <v>0.19</v>
      </c>
      <c r="T39" s="22">
        <v>0.13</v>
      </c>
      <c r="U39" s="12">
        <v>24326585.289999999</v>
      </c>
      <c r="V39" s="24">
        <v>6682512.9791629994</v>
      </c>
      <c r="W39" s="8">
        <v>20899433.399999999</v>
      </c>
      <c r="X39" s="24">
        <v>5741074.3549799994</v>
      </c>
      <c r="Y39" s="22">
        <v>0.23</v>
      </c>
      <c r="Z39" s="22">
        <v>0.09</v>
      </c>
      <c r="AA39" s="8" t="s">
        <v>458</v>
      </c>
      <c r="AB39" s="8">
        <v>5821027.9199999999</v>
      </c>
      <c r="AC39" s="24">
        <v>1599036.369624</v>
      </c>
      <c r="AD39" s="8">
        <v>1762482.89</v>
      </c>
      <c r="AE39" s="24">
        <v>484154.04988299997</v>
      </c>
      <c r="AF39" s="8">
        <v>30</v>
      </c>
      <c r="AG39" s="8">
        <v>77</v>
      </c>
      <c r="AH39" s="8" t="s">
        <v>347</v>
      </c>
      <c r="AI39" s="8" t="s">
        <v>320</v>
      </c>
      <c r="AJ39" s="22">
        <v>0.49</v>
      </c>
      <c r="AK39" s="8" t="s">
        <v>155</v>
      </c>
      <c r="AL39" s="22">
        <v>0.15</v>
      </c>
      <c r="AM39" s="22">
        <v>0.06</v>
      </c>
      <c r="AN39" s="8">
        <v>12</v>
      </c>
      <c r="AO39" s="8">
        <v>2636</v>
      </c>
      <c r="AP39" s="8">
        <v>5389297.4500000002</v>
      </c>
      <c r="AQ39" s="24">
        <v>1480440.009515</v>
      </c>
      <c r="AR39" s="8">
        <v>7504761.8200000003</v>
      </c>
      <c r="AS39" s="37">
        <v>2061558.071954</v>
      </c>
      <c r="AT39" s="8" t="s">
        <v>332</v>
      </c>
      <c r="AU39" s="8" t="s">
        <v>332</v>
      </c>
      <c r="AV39" s="8">
        <v>78.8</v>
      </c>
      <c r="AW39" s="8">
        <v>36</v>
      </c>
      <c r="AX39" s="8" t="s">
        <v>332</v>
      </c>
      <c r="AY39" s="8" t="s">
        <v>229</v>
      </c>
      <c r="AZ39" s="8" t="s">
        <v>357</v>
      </c>
      <c r="BA39" s="21">
        <f>IF(OR(tblsales[[#This Row],[Invoice Value USD]]="",tblsales[[#This Row],[Collected Amount USD]]=""),"",tblsales[[#This Row],[Invoice Value USD]]-tblsales[[#This Row],[Collected Amount USD]])</f>
        <v>1114882.319741</v>
      </c>
      <c r="BB39" s="21">
        <f>IF(OR(tblsales[[#This Row],[Contract Value USD]]="",tblsales[[#This Row],[Cost Estimate USD]]=""),"",tblsales[[#This Row],[Contract Value USD]]-tblsales[[#This Row],[Cost Estimate USD]])</f>
        <v>941438.62418300007</v>
      </c>
      <c r="BC39" s="21">
        <f>IF(OR(tblsales[[#This Row],[Contract Value USD]]="",tblsales[[#This Row],[Cost Estimate USD]]=""),"",tblsales[[#This Row],[Contract Value USD]]-tblsales[[#This Row],[Cost Estimate USD]])</f>
        <v>941438.62418300007</v>
      </c>
      <c r="BD39" s="23">
        <f>IF(tblsales[[#This Row],[Invoice Value USD]]="","",tblsales[[#This Row],[Collected Amount USD]]/tblsales[[#This Row],[Invoice Value USD]])</f>
        <v>0.30277863535827187</v>
      </c>
      <c r="BE39" s="11">
        <f>IF(tblsales[[#This Row],[SalesStage]]="Won",1,0)</f>
        <v>1</v>
      </c>
      <c r="BF39" s="21" t="str">
        <f>IF(tblsales[[#This Row],[Win Flag]]=1,"Won","Lost")</f>
        <v>Won</v>
      </c>
      <c r="BG39" s="8"/>
    </row>
    <row r="40" spans="1:61" x14ac:dyDescent="0.3">
      <c r="A40" s="10" t="s">
        <v>459</v>
      </c>
      <c r="B40" s="9">
        <v>45682</v>
      </c>
      <c r="C40" s="10" t="s">
        <v>269</v>
      </c>
      <c r="D40" s="10" t="s">
        <v>248</v>
      </c>
      <c r="E40" s="10" t="s">
        <v>36</v>
      </c>
      <c r="F40" s="10" t="s">
        <v>19</v>
      </c>
      <c r="G40" s="10" t="s">
        <v>38</v>
      </c>
      <c r="H40" s="10" t="s">
        <v>212</v>
      </c>
      <c r="I40" s="10" t="s">
        <v>183</v>
      </c>
      <c r="J40" s="10" t="s">
        <v>115</v>
      </c>
      <c r="K40" s="10" t="s">
        <v>333</v>
      </c>
      <c r="L40" s="10" t="s">
        <v>460</v>
      </c>
      <c r="M40" s="9">
        <v>45625</v>
      </c>
      <c r="N40" s="9">
        <v>45735</v>
      </c>
      <c r="O40" s="9"/>
      <c r="P40" s="11">
        <v>41</v>
      </c>
      <c r="Q40" s="12">
        <v>23313287</v>
      </c>
      <c r="R40">
        <v>27066726.207000002</v>
      </c>
      <c r="S40" s="22">
        <v>0.33</v>
      </c>
      <c r="T40" s="22">
        <v>0.12</v>
      </c>
      <c r="U40" s="12">
        <v>17494290.559999999</v>
      </c>
      <c r="V40" s="24">
        <v>20310871.340159997</v>
      </c>
      <c r="W40" s="8">
        <v>15081585.380000001</v>
      </c>
      <c r="X40" s="24">
        <v>17509720.626180001</v>
      </c>
      <c r="Y40" s="22">
        <v>0.32</v>
      </c>
      <c r="Z40" s="22">
        <v>0.16</v>
      </c>
      <c r="AA40" s="8" t="s">
        <v>461</v>
      </c>
      <c r="AB40" s="8">
        <v>12559744.359999999</v>
      </c>
      <c r="AC40" s="24">
        <v>14581863.201959999</v>
      </c>
      <c r="AD40" s="8">
        <v>6970501.9500000002</v>
      </c>
      <c r="AE40" s="24">
        <v>8092752.7639500005</v>
      </c>
      <c r="AF40" s="8">
        <v>90</v>
      </c>
      <c r="AG40" s="8">
        <v>105</v>
      </c>
      <c r="AH40" s="8" t="s">
        <v>332</v>
      </c>
      <c r="AI40" s="8" t="s">
        <v>354</v>
      </c>
      <c r="AJ40" s="22">
        <v>0.19</v>
      </c>
      <c r="AK40" s="8" t="s">
        <v>159</v>
      </c>
      <c r="AL40" s="22">
        <v>0.1</v>
      </c>
      <c r="AM40" s="22">
        <v>0.03</v>
      </c>
      <c r="AN40" s="8">
        <v>15</v>
      </c>
      <c r="AO40" s="8">
        <v>1566</v>
      </c>
      <c r="AP40" s="8">
        <v>821929.46</v>
      </c>
      <c r="AQ40" s="24">
        <v>954260.10305999999</v>
      </c>
      <c r="AR40" s="8">
        <v>5100781.4400000004</v>
      </c>
      <c r="AS40" s="37">
        <v>5922007.251840001</v>
      </c>
      <c r="AT40" s="8" t="s">
        <v>321</v>
      </c>
      <c r="AU40" s="8" t="s">
        <v>348</v>
      </c>
      <c r="AV40" s="8">
        <v>60.4</v>
      </c>
      <c r="AW40" s="8">
        <v>60</v>
      </c>
      <c r="AX40" s="8" t="s">
        <v>332</v>
      </c>
      <c r="AY40" s="8" t="s">
        <v>229</v>
      </c>
      <c r="AZ40" s="8" t="s">
        <v>361</v>
      </c>
      <c r="BA40" s="21">
        <f>IF(OR(tblsales[[#This Row],[Invoice Value USD]]="",tblsales[[#This Row],[Collected Amount USD]]=""),"",tblsales[[#This Row],[Invoice Value USD]]-tblsales[[#This Row],[Collected Amount USD]])</f>
        <v>6489110.4380099988</v>
      </c>
      <c r="BB40" s="21">
        <f>IF(OR(tblsales[[#This Row],[Contract Value USD]]="",tblsales[[#This Row],[Cost Estimate USD]]=""),"",tblsales[[#This Row],[Contract Value USD]]-tblsales[[#This Row],[Cost Estimate USD]])</f>
        <v>2801150.7139799967</v>
      </c>
      <c r="BC40" s="21">
        <f>IF(OR(tblsales[[#This Row],[Contract Value USD]]="",tblsales[[#This Row],[Cost Estimate USD]]=""),"",tblsales[[#This Row],[Contract Value USD]]-tblsales[[#This Row],[Cost Estimate USD]])</f>
        <v>2801150.7139799967</v>
      </c>
      <c r="BD40" s="23">
        <f>IF(tblsales[[#This Row],[Invoice Value USD]]="","",tblsales[[#This Row],[Collected Amount USD]]/tblsales[[#This Row],[Invoice Value USD]])</f>
        <v>0.55498756584564757</v>
      </c>
      <c r="BE40" s="11">
        <f>IF(tblsales[[#This Row],[SalesStage]]="Won",1,0)</f>
        <v>0</v>
      </c>
      <c r="BF40" s="21" t="str">
        <f>IF(tblsales[[#This Row],[Win Flag]]=1,"Won","Lost")</f>
        <v>Lost</v>
      </c>
      <c r="BG40" s="8"/>
    </row>
    <row r="41" spans="1:61" x14ac:dyDescent="0.3">
      <c r="A41" s="10" t="s">
        <v>5777</v>
      </c>
      <c r="B41" s="9">
        <v>45931</v>
      </c>
      <c r="C41" s="10" t="s">
        <v>282</v>
      </c>
      <c r="D41" s="10" t="s">
        <v>394</v>
      </c>
      <c r="E41" s="10" t="s">
        <v>41</v>
      </c>
      <c r="F41" s="10" t="s">
        <v>363</v>
      </c>
      <c r="G41" s="10" t="s">
        <v>62</v>
      </c>
      <c r="H41" s="10" t="s">
        <v>212</v>
      </c>
      <c r="I41" s="10" t="s">
        <v>183</v>
      </c>
      <c r="J41" s="10" t="s">
        <v>105</v>
      </c>
      <c r="K41" s="10" t="s">
        <v>333</v>
      </c>
      <c r="L41" s="10" t="s">
        <v>3350</v>
      </c>
      <c r="M41" s="9">
        <v>45851</v>
      </c>
      <c r="N41" s="9"/>
      <c r="O41" s="9">
        <v>46043</v>
      </c>
      <c r="P41" s="11">
        <v>49</v>
      </c>
      <c r="Q41" s="12">
        <v>43734952</v>
      </c>
      <c r="R41">
        <v>43734952</v>
      </c>
      <c r="S41" s="22">
        <v>0.13</v>
      </c>
      <c r="T41" s="22">
        <v>0.02</v>
      </c>
      <c r="U41" s="12">
        <v>38810396.399999999</v>
      </c>
      <c r="V41" s="24">
        <v>38810396.399999999</v>
      </c>
      <c r="W41" s="8">
        <v>25257018.640000001</v>
      </c>
      <c r="X41" s="24">
        <v>25257018.640000001</v>
      </c>
      <c r="Y41" s="22">
        <v>0.22</v>
      </c>
      <c r="Z41" s="22">
        <v>0.19</v>
      </c>
      <c r="AA41" s="8" t="s">
        <v>3351</v>
      </c>
      <c r="AB41" s="8">
        <v>18857741.039999999</v>
      </c>
      <c r="AC41" s="24">
        <v>18857741.039999999</v>
      </c>
      <c r="AD41" s="8">
        <v>13159343.449999999</v>
      </c>
      <c r="AE41" s="24">
        <v>13159343.449999999</v>
      </c>
      <c r="AF41" s="8">
        <v>30</v>
      </c>
      <c r="AG41" s="8">
        <v>121</v>
      </c>
      <c r="AH41" s="8" t="s">
        <v>329</v>
      </c>
      <c r="AI41" s="8" t="s">
        <v>354</v>
      </c>
      <c r="AJ41" s="22">
        <v>0.77</v>
      </c>
      <c r="AK41" s="8" t="s">
        <v>152</v>
      </c>
      <c r="AL41" s="22">
        <v>0.1</v>
      </c>
      <c r="AM41" s="22">
        <v>0.09</v>
      </c>
      <c r="AN41" s="8">
        <v>11</v>
      </c>
      <c r="AO41" s="8">
        <v>407</v>
      </c>
      <c r="AP41" s="8">
        <v>4457382.22</v>
      </c>
      <c r="AQ41" s="24">
        <v>4457382.22</v>
      </c>
      <c r="AR41" s="8">
        <v>7473848.3099999996</v>
      </c>
      <c r="AS41" s="37">
        <v>7473848.3099999996</v>
      </c>
      <c r="AT41" s="8" t="s">
        <v>332</v>
      </c>
      <c r="AU41" s="8" t="s">
        <v>348</v>
      </c>
      <c r="AV41" s="8">
        <v>97.9</v>
      </c>
      <c r="AW41" s="8">
        <v>12</v>
      </c>
      <c r="AX41" s="8" t="s">
        <v>323</v>
      </c>
      <c r="AY41" s="8" t="s">
        <v>229</v>
      </c>
      <c r="AZ41" s="8" t="s">
        <v>324</v>
      </c>
      <c r="BA41" s="21">
        <f>IF(OR(tblsales[[#This Row],[Invoice Value USD]]="",tblsales[[#This Row],[Collected Amount USD]]=""),"",tblsales[[#This Row],[Invoice Value USD]]-tblsales[[#This Row],[Collected Amount USD]])</f>
        <v>5698397.5899999999</v>
      </c>
      <c r="BB41" s="21">
        <f>IF(OR(tblsales[[#This Row],[Contract Value USD]]="",tblsales[[#This Row],[Cost Estimate USD]]=""),"",tblsales[[#This Row],[Contract Value USD]]-tblsales[[#This Row],[Cost Estimate USD]])</f>
        <v>13553377.759999998</v>
      </c>
      <c r="BC41" s="21">
        <f>IF(OR(tblsales[[#This Row],[Contract Value USD]]="",tblsales[[#This Row],[Cost Estimate USD]]=""),"",tblsales[[#This Row],[Contract Value USD]]-tblsales[[#This Row],[Cost Estimate USD]])</f>
        <v>13553377.759999998</v>
      </c>
      <c r="BD41" s="23">
        <f>IF(tblsales[[#This Row],[Invoice Value USD]]="","",tblsales[[#This Row],[Collected Amount USD]]/tblsales[[#This Row],[Invoice Value USD]])</f>
        <v>0.69782183465597103</v>
      </c>
      <c r="BE41" s="11">
        <f>IF(tblsales[[#This Row],[SalesStage]]="Won",1,0)</f>
        <v>0</v>
      </c>
      <c r="BF41" s="21" t="str">
        <f>IF(tblsales[[#This Row],[Win Flag]]=1,"Won","Lost")</f>
        <v>Lost</v>
      </c>
      <c r="BG41" s="8"/>
    </row>
    <row r="42" spans="1:61" x14ac:dyDescent="0.3">
      <c r="A42" s="10" t="s">
        <v>462</v>
      </c>
      <c r="B42" s="9">
        <v>45666</v>
      </c>
      <c r="C42" s="10" t="s">
        <v>211</v>
      </c>
      <c r="D42" s="10" t="s">
        <v>245</v>
      </c>
      <c r="E42" s="10" t="s">
        <v>20</v>
      </c>
      <c r="F42" s="10" t="s">
        <v>31</v>
      </c>
      <c r="G42" s="10" t="s">
        <v>57</v>
      </c>
      <c r="H42" s="10" t="s">
        <v>236</v>
      </c>
      <c r="I42" s="10" t="s">
        <v>183</v>
      </c>
      <c r="J42" s="10" t="s">
        <v>136</v>
      </c>
      <c r="K42" s="10" t="s">
        <v>210</v>
      </c>
      <c r="L42" s="10" t="s">
        <v>463</v>
      </c>
      <c r="M42" s="9">
        <v>45652</v>
      </c>
      <c r="N42" s="9">
        <v>45690</v>
      </c>
      <c r="O42" s="9"/>
      <c r="P42" s="11"/>
      <c r="Q42" s="12">
        <v>643747</v>
      </c>
      <c r="R42">
        <v>171687.32490000001</v>
      </c>
      <c r="S42" s="22">
        <v>0.19</v>
      </c>
      <c r="T42" s="22">
        <v>0.05</v>
      </c>
      <c r="U42" s="12">
        <v>547506.81999999995</v>
      </c>
      <c r="V42" s="24">
        <v>146020.068894</v>
      </c>
      <c r="W42" s="8">
        <v>410606.86</v>
      </c>
      <c r="X42" s="24">
        <v>109508.84956199999</v>
      </c>
      <c r="Y42" s="22">
        <v>0.32</v>
      </c>
      <c r="Z42" s="22">
        <v>0.13</v>
      </c>
      <c r="AA42" s="8" t="s">
        <v>464</v>
      </c>
      <c r="AB42" s="8">
        <v>35159.370000000003</v>
      </c>
      <c r="AC42" s="24">
        <v>9377.003979000001</v>
      </c>
      <c r="AD42" s="8">
        <v>30861.279999999999</v>
      </c>
      <c r="AE42" s="24">
        <v>8230.7033759999995</v>
      </c>
      <c r="AF42" s="8">
        <v>120</v>
      </c>
      <c r="AG42" s="8">
        <v>74</v>
      </c>
      <c r="AH42" s="8" t="s">
        <v>376</v>
      </c>
      <c r="AI42" s="8" t="s">
        <v>320</v>
      </c>
      <c r="AJ42" s="22">
        <v>7.0000000000000007E-2</v>
      </c>
      <c r="AK42" s="8" t="s">
        <v>162</v>
      </c>
      <c r="AL42" s="22">
        <v>0.15</v>
      </c>
      <c r="AM42" s="22">
        <v>7.0000000000000007E-2</v>
      </c>
      <c r="AN42" s="8">
        <v>5</v>
      </c>
      <c r="AO42" s="8">
        <v>4653</v>
      </c>
      <c r="AP42" s="8">
        <v>16813.53</v>
      </c>
      <c r="AQ42" s="24">
        <v>4484.1684509999995</v>
      </c>
      <c r="AR42" s="8"/>
      <c r="AS42" s="37"/>
      <c r="AT42" s="8" t="s">
        <v>343</v>
      </c>
      <c r="AU42" s="8" t="s">
        <v>332</v>
      </c>
      <c r="AV42" s="8">
        <v>94.7</v>
      </c>
      <c r="AW42" s="8">
        <v>60</v>
      </c>
      <c r="AX42" s="8" t="s">
        <v>337</v>
      </c>
      <c r="AY42" s="8" t="s">
        <v>224</v>
      </c>
      <c r="AZ42" s="8" t="s">
        <v>332</v>
      </c>
      <c r="BA42" s="21">
        <f>IF(OR(tblsales[[#This Row],[Invoice Value USD]]="",tblsales[[#This Row],[Collected Amount USD]]=""),"",tblsales[[#This Row],[Invoice Value USD]]-tblsales[[#This Row],[Collected Amount USD]])</f>
        <v>1146.3006030000015</v>
      </c>
      <c r="BB42" s="21">
        <f>IF(OR(tblsales[[#This Row],[Contract Value USD]]="",tblsales[[#This Row],[Cost Estimate USD]]=""),"",tblsales[[#This Row],[Contract Value USD]]-tblsales[[#This Row],[Cost Estimate USD]])</f>
        <v>36511.219332000008</v>
      </c>
      <c r="BC42" s="21">
        <f>IF(OR(tblsales[[#This Row],[Contract Value USD]]="",tblsales[[#This Row],[Cost Estimate USD]]=""),"",tblsales[[#This Row],[Contract Value USD]]-tblsales[[#This Row],[Cost Estimate USD]])</f>
        <v>36511.219332000008</v>
      </c>
      <c r="BD42" s="23">
        <f>IF(tblsales[[#This Row],[Invoice Value USD]]="","",tblsales[[#This Row],[Collected Amount USD]]/tblsales[[#This Row],[Invoice Value USD]])</f>
        <v>0.87775406669687184</v>
      </c>
      <c r="BE42" s="11">
        <f>IF(tblsales[[#This Row],[SalesStage]]="Won",1,0)</f>
        <v>1</v>
      </c>
      <c r="BF42" s="21" t="str">
        <f>IF(tblsales[[#This Row],[Win Flag]]=1,"Won","Lost")</f>
        <v>Won</v>
      </c>
      <c r="BG42" s="8"/>
    </row>
    <row r="43" spans="1:61" x14ac:dyDescent="0.3">
      <c r="A43" s="10" t="s">
        <v>465</v>
      </c>
      <c r="B43" s="9">
        <v>46043</v>
      </c>
      <c r="C43" s="10" t="s">
        <v>247</v>
      </c>
      <c r="D43" s="10" t="s">
        <v>238</v>
      </c>
      <c r="E43" s="10" t="s">
        <v>332</v>
      </c>
      <c r="F43" s="10" t="s">
        <v>350</v>
      </c>
      <c r="G43" s="10" t="s">
        <v>70</v>
      </c>
      <c r="H43" s="10" t="s">
        <v>263</v>
      </c>
      <c r="I43" s="10" t="s">
        <v>198</v>
      </c>
      <c r="J43" s="10" t="s">
        <v>105</v>
      </c>
      <c r="K43" s="10" t="s">
        <v>199</v>
      </c>
      <c r="L43" s="10" t="s">
        <v>466</v>
      </c>
      <c r="M43" s="9">
        <v>45976</v>
      </c>
      <c r="N43" s="9"/>
      <c r="O43" s="9">
        <v>46269</v>
      </c>
      <c r="P43" s="11">
        <v>40</v>
      </c>
      <c r="Q43" s="12">
        <v>48029252</v>
      </c>
      <c r="R43">
        <v>48029252</v>
      </c>
      <c r="S43" s="22">
        <v>0.28999999999999998</v>
      </c>
      <c r="T43" s="22">
        <v>0.18</v>
      </c>
      <c r="U43" s="12">
        <v>40238907.329999998</v>
      </c>
      <c r="V43" s="24">
        <v>40238907.329999998</v>
      </c>
      <c r="W43" s="8">
        <v>25177815.699999999</v>
      </c>
      <c r="X43" s="24">
        <v>25177815.699999999</v>
      </c>
      <c r="Y43" s="22">
        <v>0.33</v>
      </c>
      <c r="Z43" s="22">
        <v>0.16</v>
      </c>
      <c r="AA43" s="8" t="s">
        <v>467</v>
      </c>
      <c r="AB43" s="8">
        <v>12248134.140000001</v>
      </c>
      <c r="AC43" s="24">
        <v>12248134.140000001</v>
      </c>
      <c r="AD43" s="8">
        <v>9200388.7799999993</v>
      </c>
      <c r="AE43" s="24">
        <v>9200388.7799999993</v>
      </c>
      <c r="AF43" s="8">
        <v>120</v>
      </c>
      <c r="AG43" s="8">
        <v>100</v>
      </c>
      <c r="AH43" s="8" t="s">
        <v>347</v>
      </c>
      <c r="AI43" s="8" t="s">
        <v>354</v>
      </c>
      <c r="AJ43" s="22">
        <v>0.69</v>
      </c>
      <c r="AK43" s="8" t="s">
        <v>152</v>
      </c>
      <c r="AL43" s="22">
        <v>0.15</v>
      </c>
      <c r="AM43" s="22">
        <v>0.04</v>
      </c>
      <c r="AN43" s="8">
        <v>4</v>
      </c>
      <c r="AO43" s="8">
        <v>2964</v>
      </c>
      <c r="AP43" s="8">
        <v>852859.66</v>
      </c>
      <c r="AQ43" s="24">
        <v>852859.66</v>
      </c>
      <c r="AR43" s="8">
        <v>9816965.4600000009</v>
      </c>
      <c r="AS43" s="37">
        <v>9816965.4600000009</v>
      </c>
      <c r="AT43" s="8" t="s">
        <v>385</v>
      </c>
      <c r="AU43" s="8" t="s">
        <v>321</v>
      </c>
      <c r="AV43" s="8">
        <v>69</v>
      </c>
      <c r="AW43" s="8">
        <v>24</v>
      </c>
      <c r="AX43" s="8" t="s">
        <v>332</v>
      </c>
      <c r="AY43" s="8" t="s">
        <v>192</v>
      </c>
      <c r="AZ43" s="8" t="s">
        <v>324</v>
      </c>
      <c r="BA43" s="21">
        <f>IF(OR(tblsales[[#This Row],[Invoice Value USD]]="",tblsales[[#This Row],[Collected Amount USD]]=""),"",tblsales[[#This Row],[Invoice Value USD]]-tblsales[[#This Row],[Collected Amount USD]])</f>
        <v>3047745.3600000013</v>
      </c>
      <c r="BB43" s="21">
        <f>IF(OR(tblsales[[#This Row],[Contract Value USD]]="",tblsales[[#This Row],[Cost Estimate USD]]=""),"",tblsales[[#This Row],[Contract Value USD]]-tblsales[[#This Row],[Cost Estimate USD]])</f>
        <v>15061091.629999999</v>
      </c>
      <c r="BC43" s="21">
        <f>IF(OR(tblsales[[#This Row],[Contract Value USD]]="",tblsales[[#This Row],[Cost Estimate USD]]=""),"",tblsales[[#This Row],[Contract Value USD]]-tblsales[[#This Row],[Cost Estimate USD]])</f>
        <v>15061091.629999999</v>
      </c>
      <c r="BD43" s="23">
        <f>IF(tblsales[[#This Row],[Invoice Value USD]]="","",tblsales[[#This Row],[Collected Amount USD]]/tblsales[[#This Row],[Invoice Value USD]])</f>
        <v>0.7511665593172544</v>
      </c>
      <c r="BE43" s="11">
        <f>IF(tblsales[[#This Row],[SalesStage]]="Won",1,0)</f>
        <v>0</v>
      </c>
      <c r="BF43" s="21" t="str">
        <f>IF(tblsales[[#This Row],[Win Flag]]=1,"Won","Lost")</f>
        <v>Lost</v>
      </c>
      <c r="BG43" s="8"/>
    </row>
    <row r="44" spans="1:61" x14ac:dyDescent="0.3">
      <c r="A44" s="10" t="s">
        <v>468</v>
      </c>
      <c r="B44" s="9">
        <v>45671</v>
      </c>
      <c r="C44" s="10" t="s">
        <v>225</v>
      </c>
      <c r="D44" s="10" t="s">
        <v>238</v>
      </c>
      <c r="E44" s="10" t="s">
        <v>113</v>
      </c>
      <c r="F44" s="10" t="s">
        <v>367</v>
      </c>
      <c r="G44" s="10" t="s">
        <v>66</v>
      </c>
      <c r="H44" s="10" t="s">
        <v>182</v>
      </c>
      <c r="I44" s="10" t="s">
        <v>191</v>
      </c>
      <c r="J44" s="10" t="s">
        <v>127</v>
      </c>
      <c r="K44" s="10" t="s">
        <v>221</v>
      </c>
      <c r="L44" s="10" t="s">
        <v>469</v>
      </c>
      <c r="M44" s="9">
        <v>45581</v>
      </c>
      <c r="N44" s="9" t="s">
        <v>470</v>
      </c>
      <c r="O44" s="9"/>
      <c r="P44" s="11">
        <v>28</v>
      </c>
      <c r="Q44" s="12">
        <v>6214218</v>
      </c>
      <c r="R44">
        <v>7214707.0980000002</v>
      </c>
      <c r="S44" s="22">
        <v>0.13</v>
      </c>
      <c r="T44" s="22">
        <v>-0.03</v>
      </c>
      <c r="U44" s="12">
        <v>5244178.57</v>
      </c>
      <c r="V44" s="24">
        <v>6088491.3197700009</v>
      </c>
      <c r="W44" s="8">
        <v>4122226.72</v>
      </c>
      <c r="X44" s="24">
        <v>4785905.2219200004</v>
      </c>
      <c r="Y44" s="22">
        <v>0.17</v>
      </c>
      <c r="Z44" s="22">
        <v>0.1</v>
      </c>
      <c r="AA44" s="8" t="s">
        <v>471</v>
      </c>
      <c r="AB44" s="8">
        <v>2928020.13</v>
      </c>
      <c r="AC44" s="24">
        <v>3399431.3709299997</v>
      </c>
      <c r="AD44" s="8">
        <v>1638356.87</v>
      </c>
      <c r="AE44" s="24">
        <v>1902132.3260700002</v>
      </c>
      <c r="AF44" s="8">
        <v>90</v>
      </c>
      <c r="AG44" s="8">
        <v>4</v>
      </c>
      <c r="AH44" s="8" t="s">
        <v>376</v>
      </c>
      <c r="AI44" s="8" t="s">
        <v>406</v>
      </c>
      <c r="AJ44" s="22">
        <v>0.32</v>
      </c>
      <c r="AK44" s="8" t="s">
        <v>159</v>
      </c>
      <c r="AL44" s="22">
        <v>0.1</v>
      </c>
      <c r="AM44" s="22">
        <v>0.08</v>
      </c>
      <c r="AN44" s="8">
        <v>7</v>
      </c>
      <c r="AO44" s="8">
        <v>1655</v>
      </c>
      <c r="AP44" s="8">
        <v>319142.73</v>
      </c>
      <c r="AQ44" s="24">
        <v>370524.70952999999</v>
      </c>
      <c r="AR44" s="8">
        <v>1193863.82</v>
      </c>
      <c r="AS44" s="37">
        <v>1386075.8950200002</v>
      </c>
      <c r="AT44" s="8" t="s">
        <v>355</v>
      </c>
      <c r="AU44" s="8" t="s">
        <v>332</v>
      </c>
      <c r="AV44" s="8">
        <v>82.6</v>
      </c>
      <c r="AW44" s="8">
        <v>48</v>
      </c>
      <c r="AX44" s="8" t="s">
        <v>387</v>
      </c>
      <c r="AY44" s="8" t="s">
        <v>192</v>
      </c>
      <c r="AZ44" s="8" t="s">
        <v>361</v>
      </c>
      <c r="BA44" s="21">
        <f>IF(OR(tblsales[[#This Row],[Invoice Value USD]]="",tblsales[[#This Row],[Collected Amount USD]]=""),"",tblsales[[#This Row],[Invoice Value USD]]-tblsales[[#This Row],[Collected Amount USD]])</f>
        <v>1497299.0448599996</v>
      </c>
      <c r="BB44" s="21">
        <f>IF(OR(tblsales[[#This Row],[Contract Value USD]]="",tblsales[[#This Row],[Cost Estimate USD]]=""),"",tblsales[[#This Row],[Contract Value USD]]-tblsales[[#This Row],[Cost Estimate USD]])</f>
        <v>1302586.0978500005</v>
      </c>
      <c r="BC44" s="21">
        <f>IF(OR(tblsales[[#This Row],[Contract Value USD]]="",tblsales[[#This Row],[Cost Estimate USD]]=""),"",tblsales[[#This Row],[Contract Value USD]]-tblsales[[#This Row],[Cost Estimate USD]])</f>
        <v>1302586.0978500005</v>
      </c>
      <c r="BD44" s="23">
        <f>IF(tblsales[[#This Row],[Invoice Value USD]]="","",tblsales[[#This Row],[Collected Amount USD]]/tblsales[[#This Row],[Invoice Value USD]])</f>
        <v>0.55954426447197969</v>
      </c>
      <c r="BE44" s="11">
        <f>IF(tblsales[[#This Row],[SalesStage]]="Won",1,0)</f>
        <v>0</v>
      </c>
      <c r="BF44" s="21" t="str">
        <f>IF(tblsales[[#This Row],[Win Flag]]=1,"Won","Lost")</f>
        <v>Lost</v>
      </c>
      <c r="BG44" s="8"/>
    </row>
    <row r="45" spans="1:61" x14ac:dyDescent="0.3">
      <c r="A45" s="10" t="s">
        <v>472</v>
      </c>
      <c r="B45" s="9">
        <v>45946</v>
      </c>
      <c r="C45" s="10" t="s">
        <v>280</v>
      </c>
      <c r="D45" s="10" t="s">
        <v>281</v>
      </c>
      <c r="E45" s="10" t="s">
        <v>332</v>
      </c>
      <c r="F45" s="10" t="s">
        <v>19</v>
      </c>
      <c r="G45" s="10" t="s">
        <v>73</v>
      </c>
      <c r="H45" s="10" t="s">
        <v>182</v>
      </c>
      <c r="I45" s="10" t="s">
        <v>203</v>
      </c>
      <c r="J45" s="10" t="s">
        <v>105</v>
      </c>
      <c r="K45" s="10" t="s">
        <v>326</v>
      </c>
      <c r="L45" s="10" t="s">
        <v>473</v>
      </c>
      <c r="M45" s="9">
        <v>45867</v>
      </c>
      <c r="N45" s="9">
        <v>45880</v>
      </c>
      <c r="O45" s="9"/>
      <c r="P45" s="11">
        <v>45</v>
      </c>
      <c r="Q45" s="12">
        <v>13608354</v>
      </c>
      <c r="R45">
        <v>15799298.994000001</v>
      </c>
      <c r="S45" s="22">
        <v>0.21</v>
      </c>
      <c r="T45" s="22">
        <v>0.09</v>
      </c>
      <c r="U45" s="12">
        <v>11718153.630000001</v>
      </c>
      <c r="V45" s="24">
        <v>13604776.364430001</v>
      </c>
      <c r="W45" s="8">
        <v>9305385.2599999998</v>
      </c>
      <c r="X45" s="24">
        <v>10803552.28686</v>
      </c>
      <c r="Y45" s="22"/>
      <c r="Z45" s="22">
        <v>0.2</v>
      </c>
      <c r="AA45" s="8" t="s">
        <v>474</v>
      </c>
      <c r="AB45" s="8">
        <v>7376059.04</v>
      </c>
      <c r="AC45" s="24">
        <v>8563604.5454399996</v>
      </c>
      <c r="AD45" s="8">
        <v>5458868.7999999998</v>
      </c>
      <c r="AE45" s="24">
        <v>6337746.6767999995</v>
      </c>
      <c r="AF45" s="8">
        <v>90</v>
      </c>
      <c r="AG45" s="8">
        <v>54</v>
      </c>
      <c r="AH45" s="8" t="s">
        <v>353</v>
      </c>
      <c r="AI45" s="8" t="s">
        <v>336</v>
      </c>
      <c r="AJ45" s="22">
        <v>0.46</v>
      </c>
      <c r="AK45" s="8" t="s">
        <v>159</v>
      </c>
      <c r="AL45" s="22">
        <v>0.1</v>
      </c>
      <c r="AM45" s="22">
        <v>0.08</v>
      </c>
      <c r="AN45" s="8">
        <v>2</v>
      </c>
      <c r="AO45" s="8"/>
      <c r="AP45" s="8">
        <v>1610725.08</v>
      </c>
      <c r="AQ45" s="24">
        <v>1870051.8178800002</v>
      </c>
      <c r="AR45" s="8">
        <v>3892856.39</v>
      </c>
      <c r="AS45" s="37">
        <v>4519606.2687900001</v>
      </c>
      <c r="AT45" s="8" t="s">
        <v>321</v>
      </c>
      <c r="AU45" s="8" t="s">
        <v>356</v>
      </c>
      <c r="AV45" s="8">
        <v>98.3</v>
      </c>
      <c r="AW45" s="8">
        <v>48</v>
      </c>
      <c r="AX45" s="8" t="s">
        <v>332</v>
      </c>
      <c r="AY45" s="8" t="s">
        <v>186</v>
      </c>
      <c r="AZ45" s="8" t="s">
        <v>188</v>
      </c>
      <c r="BA45" s="21">
        <f>IF(OR(tblsales[[#This Row],[Invoice Value USD]]="",tblsales[[#This Row],[Collected Amount USD]]=""),"",tblsales[[#This Row],[Invoice Value USD]]-tblsales[[#This Row],[Collected Amount USD]])</f>
        <v>2225857.86864</v>
      </c>
      <c r="BB45" s="21">
        <f>IF(OR(tblsales[[#This Row],[Contract Value USD]]="",tblsales[[#This Row],[Cost Estimate USD]]=""),"",tblsales[[#This Row],[Contract Value USD]]-tblsales[[#This Row],[Cost Estimate USD]])</f>
        <v>2801224.0775700007</v>
      </c>
      <c r="BC45" s="21">
        <f>IF(OR(tblsales[[#This Row],[Contract Value USD]]="",tblsales[[#This Row],[Cost Estimate USD]]=""),"",tblsales[[#This Row],[Contract Value USD]]-tblsales[[#This Row],[Cost Estimate USD]])</f>
        <v>2801224.0775700007</v>
      </c>
      <c r="BD45" s="23">
        <f>IF(tblsales[[#This Row],[Invoice Value USD]]="","",tblsales[[#This Row],[Collected Amount USD]]/tblsales[[#This Row],[Invoice Value USD]])</f>
        <v>0.74007932561233947</v>
      </c>
      <c r="BE45" s="11">
        <f>IF(tblsales[[#This Row],[SalesStage]]="Won",1,0)</f>
        <v>0</v>
      </c>
      <c r="BF45" s="21" t="str">
        <f>IF(tblsales[[#This Row],[Win Flag]]=1,"Won","Lost")</f>
        <v>Lost</v>
      </c>
      <c r="BG45" s="8"/>
    </row>
    <row r="46" spans="1:61" x14ac:dyDescent="0.3">
      <c r="A46" s="10" t="s">
        <v>475</v>
      </c>
      <c r="B46" s="9">
        <v>45670</v>
      </c>
      <c r="C46" s="10" t="s">
        <v>189</v>
      </c>
      <c r="D46" s="10" t="s">
        <v>255</v>
      </c>
      <c r="E46" s="10" t="s">
        <v>20</v>
      </c>
      <c r="F46" s="10" t="s">
        <v>31</v>
      </c>
      <c r="G46" s="10" t="s">
        <v>66</v>
      </c>
      <c r="H46" s="10" t="s">
        <v>332</v>
      </c>
      <c r="I46" s="10" t="s">
        <v>183</v>
      </c>
      <c r="J46" s="10" t="s">
        <v>136</v>
      </c>
      <c r="K46" s="10" t="s">
        <v>221</v>
      </c>
      <c r="L46" s="10" t="s">
        <v>476</v>
      </c>
      <c r="M46" s="9">
        <v>45594</v>
      </c>
      <c r="N46" s="9">
        <v>45718</v>
      </c>
      <c r="O46" s="9">
        <v>45729</v>
      </c>
      <c r="P46" s="11">
        <v>14</v>
      </c>
      <c r="Q46" s="12">
        <v>32598219</v>
      </c>
      <c r="R46">
        <v>37846532.259000003</v>
      </c>
      <c r="S46" s="22">
        <v>0.05</v>
      </c>
      <c r="T46" s="22">
        <v>0.05</v>
      </c>
      <c r="U46" s="12">
        <v>32516723.449999999</v>
      </c>
      <c r="V46" s="24">
        <v>37751915.925449997</v>
      </c>
      <c r="W46" s="8">
        <v>23725513.010000002</v>
      </c>
      <c r="X46" s="24">
        <v>27545320.604610004</v>
      </c>
      <c r="Y46" s="22"/>
      <c r="Z46" s="22">
        <v>0.14000000000000001</v>
      </c>
      <c r="AA46" s="8" t="s">
        <v>477</v>
      </c>
      <c r="AB46" s="8">
        <v>28207239.359999999</v>
      </c>
      <c r="AC46" s="24">
        <v>32748604.896960001</v>
      </c>
      <c r="AD46" s="8">
        <v>11081368.289999999</v>
      </c>
      <c r="AE46" s="24">
        <v>12865468.584689999</v>
      </c>
      <c r="AF46" s="8">
        <v>45</v>
      </c>
      <c r="AG46" s="8">
        <v>90</v>
      </c>
      <c r="AH46" s="8" t="s">
        <v>353</v>
      </c>
      <c r="AI46" s="8" t="s">
        <v>320</v>
      </c>
      <c r="AJ46" s="22">
        <v>0.34</v>
      </c>
      <c r="AK46" s="8" t="s">
        <v>159</v>
      </c>
      <c r="AL46" s="22">
        <v>0.1</v>
      </c>
      <c r="AM46" s="22">
        <v>0.08</v>
      </c>
      <c r="AN46" s="8">
        <v>15</v>
      </c>
      <c r="AO46" s="8">
        <v>522</v>
      </c>
      <c r="AP46" s="8">
        <v>6629689.79</v>
      </c>
      <c r="AQ46" s="24">
        <v>7697069.84619</v>
      </c>
      <c r="AR46" s="8">
        <v>8009428.6600000001</v>
      </c>
      <c r="AS46" s="37">
        <v>9298946.6742599998</v>
      </c>
      <c r="AT46" s="8" t="s">
        <v>343</v>
      </c>
      <c r="AU46" s="8" t="s">
        <v>322</v>
      </c>
      <c r="AV46" s="8">
        <v>71.5</v>
      </c>
      <c r="AW46" s="8">
        <v>12</v>
      </c>
      <c r="AX46" s="8" t="s">
        <v>332</v>
      </c>
      <c r="AY46" s="8" t="s">
        <v>229</v>
      </c>
      <c r="AZ46" s="8" t="s">
        <v>188</v>
      </c>
      <c r="BA46" s="21">
        <f>IF(OR(tblsales[[#This Row],[Invoice Value USD]]="",tblsales[[#This Row],[Collected Amount USD]]=""),"",tblsales[[#This Row],[Invoice Value USD]]-tblsales[[#This Row],[Collected Amount USD]])</f>
        <v>19883136.312270001</v>
      </c>
      <c r="BB46" s="21">
        <f>IF(OR(tblsales[[#This Row],[Contract Value USD]]="",tblsales[[#This Row],[Cost Estimate USD]]=""),"",tblsales[[#This Row],[Contract Value USD]]-tblsales[[#This Row],[Cost Estimate USD]])</f>
        <v>10206595.320839994</v>
      </c>
      <c r="BC46" s="21">
        <f>IF(OR(tblsales[[#This Row],[Contract Value USD]]="",tblsales[[#This Row],[Cost Estimate USD]]=""),"",tblsales[[#This Row],[Contract Value USD]]-tblsales[[#This Row],[Cost Estimate USD]])</f>
        <v>10206595.320839994</v>
      </c>
      <c r="BD46" s="23">
        <f>IF(tblsales[[#This Row],[Invoice Value USD]]="","",tblsales[[#This Row],[Collected Amount USD]]/tblsales[[#This Row],[Invoice Value USD]])</f>
        <v>0.39285547049011177</v>
      </c>
      <c r="BE46" s="11">
        <f>IF(tblsales[[#This Row],[SalesStage]]="Won",1,0)</f>
        <v>1</v>
      </c>
      <c r="BF46" s="21" t="str">
        <f>IF(tblsales[[#This Row],[Win Flag]]=1,"Won","Lost")</f>
        <v>Won</v>
      </c>
      <c r="BG46" s="8"/>
    </row>
    <row r="47" spans="1:61" x14ac:dyDescent="0.3">
      <c r="A47" s="10" t="s">
        <v>478</v>
      </c>
      <c r="B47" s="9">
        <v>45970</v>
      </c>
      <c r="C47" s="10" t="s">
        <v>257</v>
      </c>
      <c r="D47" s="10" t="s">
        <v>245</v>
      </c>
      <c r="E47" s="10" t="s">
        <v>36</v>
      </c>
      <c r="F47" s="10" t="s">
        <v>339</v>
      </c>
      <c r="G47" s="10" t="s">
        <v>28</v>
      </c>
      <c r="H47" s="10" t="s">
        <v>197</v>
      </c>
      <c r="I47" s="10" t="s">
        <v>183</v>
      </c>
      <c r="J47" s="10" t="s">
        <v>115</v>
      </c>
      <c r="K47" s="10" t="s">
        <v>204</v>
      </c>
      <c r="L47" s="10" t="s">
        <v>479</v>
      </c>
      <c r="M47" s="9">
        <v>45898</v>
      </c>
      <c r="N47" s="9"/>
      <c r="O47" s="9">
        <v>46114</v>
      </c>
      <c r="P47" s="11">
        <v>3</v>
      </c>
      <c r="Q47" s="12">
        <v>26543182</v>
      </c>
      <c r="R47">
        <v>30816634.302000001</v>
      </c>
      <c r="S47" s="22">
        <v>0.21</v>
      </c>
      <c r="T47" s="22">
        <v>0.04</v>
      </c>
      <c r="U47" s="12">
        <v>21807878.329999998</v>
      </c>
      <c r="V47" s="24">
        <v>25318946.741129998</v>
      </c>
      <c r="W47" s="8">
        <v>14361328.52</v>
      </c>
      <c r="X47" s="24">
        <v>16673502.41172</v>
      </c>
      <c r="Y47" s="22">
        <v>0.25</v>
      </c>
      <c r="Z47" s="22">
        <v>0.15</v>
      </c>
      <c r="AA47" s="8" t="s">
        <v>480</v>
      </c>
      <c r="AB47" s="8">
        <v>16763500.880000001</v>
      </c>
      <c r="AC47" s="24">
        <v>19462424.521680001</v>
      </c>
      <c r="AD47" s="8">
        <v>13308378.119999999</v>
      </c>
      <c r="AE47" s="24">
        <v>15451026.99732</v>
      </c>
      <c r="AF47" s="8">
        <v>60</v>
      </c>
      <c r="AG47" s="8">
        <v>158</v>
      </c>
      <c r="AH47" s="8" t="s">
        <v>329</v>
      </c>
      <c r="AI47" s="8" t="s">
        <v>320</v>
      </c>
      <c r="AJ47" s="22">
        <v>0.6</v>
      </c>
      <c r="AK47" s="8" t="s">
        <v>159</v>
      </c>
      <c r="AL47" s="22">
        <v>0.15</v>
      </c>
      <c r="AM47" s="22">
        <v>0.02</v>
      </c>
      <c r="AN47" s="8">
        <v>3</v>
      </c>
      <c r="AO47" s="8">
        <v>262</v>
      </c>
      <c r="AP47" s="8">
        <v>1542292.11</v>
      </c>
      <c r="AQ47" s="24">
        <v>1790601.1397100003</v>
      </c>
      <c r="AR47" s="8"/>
      <c r="AS47" s="37"/>
      <c r="AT47" s="8" t="s">
        <v>343</v>
      </c>
      <c r="AU47" s="8" t="s">
        <v>330</v>
      </c>
      <c r="AV47" s="8">
        <v>70.8</v>
      </c>
      <c r="AW47" s="8">
        <v>36</v>
      </c>
      <c r="AX47" s="8" t="s">
        <v>332</v>
      </c>
      <c r="AY47" s="8" t="s">
        <v>206</v>
      </c>
      <c r="AZ47" s="8" t="s">
        <v>332</v>
      </c>
      <c r="BA47" s="21">
        <f>IF(OR(tblsales[[#This Row],[Invoice Value USD]]="",tblsales[[#This Row],[Collected Amount USD]]=""),"",tblsales[[#This Row],[Invoice Value USD]]-tblsales[[#This Row],[Collected Amount USD]])</f>
        <v>4011397.5243600011</v>
      </c>
      <c r="BB47" s="21">
        <f>IF(OR(tblsales[[#This Row],[Contract Value USD]]="",tblsales[[#This Row],[Cost Estimate USD]]=""),"",tblsales[[#This Row],[Contract Value USD]]-tblsales[[#This Row],[Cost Estimate USD]])</f>
        <v>8645444.3294099979</v>
      </c>
      <c r="BC47" s="21">
        <f>IF(OR(tblsales[[#This Row],[Contract Value USD]]="",tblsales[[#This Row],[Cost Estimate USD]]=""),"",tblsales[[#This Row],[Contract Value USD]]-tblsales[[#This Row],[Cost Estimate USD]])</f>
        <v>8645444.3294099979</v>
      </c>
      <c r="BD47" s="23">
        <f>IF(tblsales[[#This Row],[Invoice Value USD]]="","",tblsales[[#This Row],[Collected Amount USD]]/tblsales[[#This Row],[Invoice Value USD]])</f>
        <v>0.79389014354858312</v>
      </c>
      <c r="BE47" s="11">
        <f>IF(tblsales[[#This Row],[SalesStage]]="Won",1,0)</f>
        <v>1</v>
      </c>
      <c r="BF47" s="21" t="str">
        <f>IF(tblsales[[#This Row],[Win Flag]]=1,"Won","Lost")</f>
        <v>Won</v>
      </c>
      <c r="BG47" s="8"/>
    </row>
    <row r="48" spans="1:61" x14ac:dyDescent="0.3">
      <c r="A48" s="10" t="s">
        <v>481</v>
      </c>
      <c r="B48" s="9">
        <v>45715</v>
      </c>
      <c r="C48" s="10" t="s">
        <v>231</v>
      </c>
      <c r="D48" s="10" t="s">
        <v>274</v>
      </c>
      <c r="E48" s="10" t="s">
        <v>20</v>
      </c>
      <c r="F48" s="10" t="s">
        <v>35</v>
      </c>
      <c r="G48" s="10" t="s">
        <v>16</v>
      </c>
      <c r="H48" s="10" t="s">
        <v>182</v>
      </c>
      <c r="I48" s="10" t="s">
        <v>240</v>
      </c>
      <c r="J48" s="10" t="s">
        <v>136</v>
      </c>
      <c r="K48" s="10" t="s">
        <v>204</v>
      </c>
      <c r="L48" s="10" t="s">
        <v>482</v>
      </c>
      <c r="M48" s="9">
        <v>45303</v>
      </c>
      <c r="N48" s="9">
        <v>45767</v>
      </c>
      <c r="O48" s="9">
        <v>45817</v>
      </c>
      <c r="P48" s="11">
        <v>41</v>
      </c>
      <c r="Q48" s="12">
        <v>38634189</v>
      </c>
      <c r="R48">
        <v>10520089.6647</v>
      </c>
      <c r="S48" s="22">
        <v>0.05</v>
      </c>
      <c r="T48" s="22">
        <v>0.14000000000000001</v>
      </c>
      <c r="U48" s="12">
        <v>41840826.689999998</v>
      </c>
      <c r="V48" s="24">
        <v>11393257.107686998</v>
      </c>
      <c r="W48" s="8">
        <v>29167076.469999999</v>
      </c>
      <c r="X48" s="24">
        <v>7942194.922780999</v>
      </c>
      <c r="Y48" s="22">
        <v>0.15</v>
      </c>
      <c r="Z48" s="22">
        <v>0.09</v>
      </c>
      <c r="AA48" s="8" t="s">
        <v>483</v>
      </c>
      <c r="AB48" s="8">
        <v>31371849.629999999</v>
      </c>
      <c r="AC48" s="24">
        <v>8542554.6542489994</v>
      </c>
      <c r="AD48" s="8">
        <v>18618860.77</v>
      </c>
      <c r="AE48" s="24">
        <v>5069915.7876709998</v>
      </c>
      <c r="AF48" s="8">
        <v>30</v>
      </c>
      <c r="AG48" s="8">
        <v>113</v>
      </c>
      <c r="AH48" s="8" t="s">
        <v>329</v>
      </c>
      <c r="AI48" s="8" t="s">
        <v>320</v>
      </c>
      <c r="AJ48" s="22">
        <v>0.56000000000000005</v>
      </c>
      <c r="AK48" s="8" t="s">
        <v>153</v>
      </c>
      <c r="AL48" s="22">
        <v>0.1</v>
      </c>
      <c r="AM48" s="22">
        <v>0.02</v>
      </c>
      <c r="AN48" s="8">
        <v>7</v>
      </c>
      <c r="AO48" s="8">
        <v>495</v>
      </c>
      <c r="AP48" s="8">
        <v>9180753.7699999996</v>
      </c>
      <c r="AQ48" s="24">
        <v>2499919.2515709996</v>
      </c>
      <c r="AR48" s="8">
        <v>18679063.77</v>
      </c>
      <c r="AS48" s="37">
        <v>5086309.0645709997</v>
      </c>
      <c r="AT48" s="8" t="s">
        <v>332</v>
      </c>
      <c r="AU48" s="8" t="s">
        <v>332</v>
      </c>
      <c r="AV48" s="8">
        <v>95</v>
      </c>
      <c r="AW48" s="8">
        <v>36</v>
      </c>
      <c r="AX48" s="8" t="s">
        <v>387</v>
      </c>
      <c r="AY48" s="8" t="s">
        <v>186</v>
      </c>
      <c r="AZ48" s="8" t="s">
        <v>377</v>
      </c>
      <c r="BA48" s="21">
        <f>IF(OR(tblsales[[#This Row],[Invoice Value USD]]="",tblsales[[#This Row],[Collected Amount USD]]=""),"",tblsales[[#This Row],[Invoice Value USD]]-tblsales[[#This Row],[Collected Amount USD]])</f>
        <v>3472638.8665779997</v>
      </c>
      <c r="BB48" s="21">
        <f>IF(OR(tblsales[[#This Row],[Contract Value USD]]="",tblsales[[#This Row],[Cost Estimate USD]]=""),"",tblsales[[#This Row],[Contract Value USD]]-tblsales[[#This Row],[Cost Estimate USD]])</f>
        <v>3451062.1849059993</v>
      </c>
      <c r="BC48" s="21">
        <f>IF(OR(tblsales[[#This Row],[Contract Value USD]]="",tblsales[[#This Row],[Cost Estimate USD]]=""),"",tblsales[[#This Row],[Contract Value USD]]-tblsales[[#This Row],[Cost Estimate USD]])</f>
        <v>3451062.1849059993</v>
      </c>
      <c r="BD48" s="23">
        <f>IF(tblsales[[#This Row],[Invoice Value USD]]="","",tblsales[[#This Row],[Collected Amount USD]]/tblsales[[#This Row],[Invoice Value USD]])</f>
        <v>0.59348941772930464</v>
      </c>
      <c r="BE48" s="11">
        <f>IF(tblsales[[#This Row],[SalesStage]]="Won",1,0)</f>
        <v>1</v>
      </c>
      <c r="BF48" s="21" t="str">
        <f>IF(tblsales[[#This Row],[Win Flag]]=1,"Won","Lost")</f>
        <v>Won</v>
      </c>
      <c r="BG48" s="8"/>
    </row>
    <row r="49" spans="1:59" x14ac:dyDescent="0.3">
      <c r="A49" s="10" t="s">
        <v>484</v>
      </c>
      <c r="B49" s="9">
        <v>45979</v>
      </c>
      <c r="C49" s="10" t="s">
        <v>208</v>
      </c>
      <c r="D49" s="10" t="s">
        <v>190</v>
      </c>
      <c r="E49" s="10" t="s">
        <v>52</v>
      </c>
      <c r="F49" s="10" t="s">
        <v>75</v>
      </c>
      <c r="G49" s="10" t="s">
        <v>46</v>
      </c>
      <c r="H49" s="10" t="s">
        <v>263</v>
      </c>
      <c r="I49" s="10" t="s">
        <v>198</v>
      </c>
      <c r="J49" s="10" t="s">
        <v>133</v>
      </c>
      <c r="K49" s="10" t="s">
        <v>223</v>
      </c>
      <c r="L49" s="10" t="s">
        <v>485</v>
      </c>
      <c r="M49" s="9">
        <v>45933</v>
      </c>
      <c r="N49" s="9" t="s">
        <v>486</v>
      </c>
      <c r="O49" s="9">
        <v>46096</v>
      </c>
      <c r="P49" s="11"/>
      <c r="Q49" s="12">
        <v>27998175</v>
      </c>
      <c r="R49">
        <v>27998175</v>
      </c>
      <c r="S49" s="22">
        <v>0.14000000000000001</v>
      </c>
      <c r="T49" s="22">
        <v>-0.03</v>
      </c>
      <c r="U49" s="12">
        <v>23356077.59</v>
      </c>
      <c r="V49" s="24">
        <v>23356077.59</v>
      </c>
      <c r="W49" s="8">
        <v>19876270.859999999</v>
      </c>
      <c r="X49" s="24">
        <v>19876270.859999999</v>
      </c>
      <c r="Y49" s="22"/>
      <c r="Z49" s="22">
        <v>0.19</v>
      </c>
      <c r="AA49" s="8" t="s">
        <v>487</v>
      </c>
      <c r="AB49" s="8">
        <v>16942705.059999999</v>
      </c>
      <c r="AC49" s="24">
        <v>16942705.059999999</v>
      </c>
      <c r="AD49" s="8">
        <v>15504394.57</v>
      </c>
      <c r="AE49" s="24">
        <v>15504394.57</v>
      </c>
      <c r="AF49" s="8">
        <v>90</v>
      </c>
      <c r="AG49" s="8">
        <v>132</v>
      </c>
      <c r="AH49" s="8" t="s">
        <v>332</v>
      </c>
      <c r="AI49" s="8" t="s">
        <v>381</v>
      </c>
      <c r="AJ49" s="22">
        <v>0.75</v>
      </c>
      <c r="AK49" s="8" t="s">
        <v>152</v>
      </c>
      <c r="AL49" s="22">
        <v>0.15</v>
      </c>
      <c r="AM49" s="22">
        <v>0.09</v>
      </c>
      <c r="AN49" s="8">
        <v>11</v>
      </c>
      <c r="AO49" s="8">
        <v>2482</v>
      </c>
      <c r="AP49" s="8">
        <v>5477627.9900000002</v>
      </c>
      <c r="AQ49" s="24">
        <v>5477627.9900000002</v>
      </c>
      <c r="AR49" s="8">
        <v>8451050.6699999999</v>
      </c>
      <c r="AS49" s="37">
        <v>8451050.6699999999</v>
      </c>
      <c r="AT49" s="8" t="s">
        <v>385</v>
      </c>
      <c r="AU49" s="8" t="s">
        <v>322</v>
      </c>
      <c r="AV49" s="8">
        <v>50</v>
      </c>
      <c r="AW49" s="8">
        <v>36</v>
      </c>
      <c r="AX49" s="8" t="s">
        <v>323</v>
      </c>
      <c r="AY49" s="8" t="s">
        <v>224</v>
      </c>
      <c r="AZ49" s="8" t="s">
        <v>377</v>
      </c>
      <c r="BA49" s="21">
        <f>IF(OR(tblsales[[#This Row],[Invoice Value USD]]="",tblsales[[#This Row],[Collected Amount USD]]=""),"",tblsales[[#This Row],[Invoice Value USD]]-tblsales[[#This Row],[Collected Amount USD]])</f>
        <v>1438310.4899999984</v>
      </c>
      <c r="BB49" s="21">
        <f>IF(OR(tblsales[[#This Row],[Contract Value USD]]="",tblsales[[#This Row],[Cost Estimate USD]]=""),"",tblsales[[#This Row],[Contract Value USD]]-tblsales[[#This Row],[Cost Estimate USD]])</f>
        <v>3479806.7300000004</v>
      </c>
      <c r="BC49" s="21">
        <f>IF(OR(tblsales[[#This Row],[Contract Value USD]]="",tblsales[[#This Row],[Cost Estimate USD]]=""),"",tblsales[[#This Row],[Contract Value USD]]-tblsales[[#This Row],[Cost Estimate USD]])</f>
        <v>3479806.7300000004</v>
      </c>
      <c r="BD49" s="23">
        <f>IF(tblsales[[#This Row],[Invoice Value USD]]="","",tblsales[[#This Row],[Collected Amount USD]]/tblsales[[#This Row],[Invoice Value USD]])</f>
        <v>0.91510738781638223</v>
      </c>
      <c r="BE49" s="11">
        <f>IF(tblsales[[#This Row],[SalesStage]]="Won",1,0)</f>
        <v>0</v>
      </c>
      <c r="BF49" s="21" t="str">
        <f>IF(tblsales[[#This Row],[Win Flag]]=1,"Won","Lost")</f>
        <v>Lost</v>
      </c>
      <c r="BG49" s="8"/>
    </row>
    <row r="50" spans="1:59" x14ac:dyDescent="0.3">
      <c r="A50" s="10" t="s">
        <v>488</v>
      </c>
      <c r="B50" s="9">
        <v>45877</v>
      </c>
      <c r="C50" s="10" t="s">
        <v>214</v>
      </c>
      <c r="D50" s="10" t="s">
        <v>255</v>
      </c>
      <c r="E50" s="10" t="s">
        <v>332</v>
      </c>
      <c r="F50" s="10" t="s">
        <v>75</v>
      </c>
      <c r="G50" s="10" t="s">
        <v>78</v>
      </c>
      <c r="H50" s="10" t="s">
        <v>182</v>
      </c>
      <c r="I50" s="10" t="s">
        <v>183</v>
      </c>
      <c r="J50" s="10" t="s">
        <v>105</v>
      </c>
      <c r="K50" s="10" t="s">
        <v>204</v>
      </c>
      <c r="L50" s="10" t="s">
        <v>489</v>
      </c>
      <c r="M50" s="9">
        <v>45968</v>
      </c>
      <c r="N50" s="9">
        <v>45877</v>
      </c>
      <c r="O50" s="9">
        <v>45757</v>
      </c>
      <c r="P50" s="11">
        <v>42</v>
      </c>
      <c r="Q50" s="12">
        <v>44188869</v>
      </c>
      <c r="R50">
        <v>51303276.909000002</v>
      </c>
      <c r="S50" s="22">
        <v>0.04</v>
      </c>
      <c r="T50" s="22">
        <v>-0.03</v>
      </c>
      <c r="U50" s="12">
        <v>41148674.810000002</v>
      </c>
      <c r="V50" s="24">
        <v>47773611.454410002</v>
      </c>
      <c r="W50" s="8">
        <v>35305100.369999997</v>
      </c>
      <c r="X50" s="24">
        <v>40989221.529569998</v>
      </c>
      <c r="Y50" s="22">
        <v>0.09</v>
      </c>
      <c r="Z50" s="22">
        <v>0.16</v>
      </c>
      <c r="AA50" s="8" t="s">
        <v>490</v>
      </c>
      <c r="AB50" s="8">
        <v>9522132.5600000005</v>
      </c>
      <c r="AC50" s="24">
        <v>11055195.90216</v>
      </c>
      <c r="AD50" s="8">
        <v>3450354.04</v>
      </c>
      <c r="AE50" s="24">
        <v>4005861.0404400001</v>
      </c>
      <c r="AF50" s="8">
        <v>120</v>
      </c>
      <c r="AG50" s="8">
        <v>58</v>
      </c>
      <c r="AH50" s="8" t="s">
        <v>332</v>
      </c>
      <c r="AI50" s="8" t="s">
        <v>336</v>
      </c>
      <c r="AJ50" s="22">
        <v>0.54</v>
      </c>
      <c r="AK50" s="8" t="s">
        <v>159</v>
      </c>
      <c r="AL50" s="22">
        <v>0.1</v>
      </c>
      <c r="AM50" s="22">
        <v>0.01</v>
      </c>
      <c r="AN50" s="8">
        <v>10</v>
      </c>
      <c r="AO50" s="8">
        <v>2278</v>
      </c>
      <c r="AP50" s="8">
        <v>3171674.69</v>
      </c>
      <c r="AQ50" s="24">
        <v>3682314.3150900002</v>
      </c>
      <c r="AR50" s="8">
        <v>15985102.060000001</v>
      </c>
      <c r="AS50" s="37">
        <v>18558703.491660003</v>
      </c>
      <c r="AT50" s="8" t="s">
        <v>332</v>
      </c>
      <c r="AU50" s="8" t="s">
        <v>348</v>
      </c>
      <c r="AV50" s="8">
        <v>67.599999999999994</v>
      </c>
      <c r="AW50" s="8">
        <v>12</v>
      </c>
      <c r="AX50" s="8" t="s">
        <v>332</v>
      </c>
      <c r="AY50" s="8" t="s">
        <v>229</v>
      </c>
      <c r="AZ50" s="8" t="s">
        <v>324</v>
      </c>
      <c r="BA50" s="21">
        <f>IF(OR(tblsales[[#This Row],[Invoice Value USD]]="",tblsales[[#This Row],[Collected Amount USD]]=""),"",tblsales[[#This Row],[Invoice Value USD]]-tblsales[[#This Row],[Collected Amount USD]])</f>
        <v>7049334.8617199995</v>
      </c>
      <c r="BB50" s="21">
        <f>IF(OR(tblsales[[#This Row],[Contract Value USD]]="",tblsales[[#This Row],[Cost Estimate USD]]=""),"",tblsales[[#This Row],[Contract Value USD]]-tblsales[[#This Row],[Cost Estimate USD]])</f>
        <v>6784389.9248400033</v>
      </c>
      <c r="BC50" s="21">
        <f>IF(OR(tblsales[[#This Row],[Contract Value USD]]="",tblsales[[#This Row],[Cost Estimate USD]]=""),"",tblsales[[#This Row],[Contract Value USD]]-tblsales[[#This Row],[Cost Estimate USD]])</f>
        <v>6784389.9248400033</v>
      </c>
      <c r="BD50" s="23">
        <f>IF(tblsales[[#This Row],[Invoice Value USD]]="","",tblsales[[#This Row],[Collected Amount USD]]/tblsales[[#This Row],[Invoice Value USD]])</f>
        <v>0.36235097739492089</v>
      </c>
      <c r="BE50" s="11">
        <f>IF(tblsales[[#This Row],[SalesStage]]="Won",1,0)</f>
        <v>0</v>
      </c>
      <c r="BF50" s="21" t="str">
        <f>IF(tblsales[[#This Row],[Win Flag]]=1,"Won","Lost")</f>
        <v>Lost</v>
      </c>
      <c r="BG50" s="8"/>
    </row>
    <row r="51" spans="1:59" x14ac:dyDescent="0.3">
      <c r="A51" s="10" t="s">
        <v>491</v>
      </c>
      <c r="B51" s="9">
        <v>45809</v>
      </c>
      <c r="C51" s="10" t="s">
        <v>285</v>
      </c>
      <c r="D51" s="10" t="s">
        <v>202</v>
      </c>
      <c r="E51" s="10" t="s">
        <v>113</v>
      </c>
      <c r="F51" s="10" t="s">
        <v>367</v>
      </c>
      <c r="G51" s="10" t="s">
        <v>28</v>
      </c>
      <c r="H51" s="10" t="s">
        <v>182</v>
      </c>
      <c r="I51" s="10" t="s">
        <v>332</v>
      </c>
      <c r="J51" s="10" t="s">
        <v>111</v>
      </c>
      <c r="K51" s="10" t="s">
        <v>326</v>
      </c>
      <c r="L51" s="10" t="s">
        <v>492</v>
      </c>
      <c r="M51" s="9">
        <v>45735</v>
      </c>
      <c r="N51" s="9">
        <v>45723</v>
      </c>
      <c r="O51" s="9">
        <v>45890</v>
      </c>
      <c r="P51" s="11">
        <v>37</v>
      </c>
      <c r="Q51" s="12">
        <v>43563719</v>
      </c>
      <c r="R51">
        <v>11862400.683699999</v>
      </c>
      <c r="S51" s="22">
        <v>0.03</v>
      </c>
      <c r="T51" s="22">
        <v>0.17</v>
      </c>
      <c r="U51" s="12">
        <v>49440464.689999998</v>
      </c>
      <c r="V51" s="24">
        <v>13462638.535086999</v>
      </c>
      <c r="W51" s="8">
        <v>33779718.950000003</v>
      </c>
      <c r="X51" s="24">
        <v>9198217.4700850006</v>
      </c>
      <c r="Y51" s="22">
        <v>0.23</v>
      </c>
      <c r="Z51" s="22">
        <v>0.08</v>
      </c>
      <c r="AA51" s="8" t="s">
        <v>493</v>
      </c>
      <c r="AB51" s="8">
        <v>42591515.909999996</v>
      </c>
      <c r="AC51" s="24">
        <v>11597669.782292999</v>
      </c>
      <c r="AD51" s="8"/>
      <c r="AE51" s="24"/>
      <c r="AF51" s="8">
        <v>30</v>
      </c>
      <c r="AG51" s="8">
        <v>62</v>
      </c>
      <c r="AH51" s="8" t="s">
        <v>347</v>
      </c>
      <c r="AI51" s="8" t="s">
        <v>455</v>
      </c>
      <c r="AJ51" s="22">
        <v>0.52</v>
      </c>
      <c r="AK51" s="8" t="s">
        <v>153</v>
      </c>
      <c r="AL51" s="22">
        <v>0.15</v>
      </c>
      <c r="AM51" s="22">
        <v>0.02</v>
      </c>
      <c r="AN51" s="8">
        <v>0</v>
      </c>
      <c r="AO51" s="8">
        <v>551</v>
      </c>
      <c r="AP51" s="8">
        <v>5963597.3399999999</v>
      </c>
      <c r="AQ51" s="24">
        <v>1623887.5556819998</v>
      </c>
      <c r="AR51" s="8">
        <v>9663383.8100000005</v>
      </c>
      <c r="AS51" s="37">
        <v>2631339.4114629999</v>
      </c>
      <c r="AT51" s="8" t="s">
        <v>332</v>
      </c>
      <c r="AU51" s="8" t="s">
        <v>332</v>
      </c>
      <c r="AV51" s="8">
        <v>66.3</v>
      </c>
      <c r="AW51" s="8">
        <v>48</v>
      </c>
      <c r="AX51" s="8" t="s">
        <v>323</v>
      </c>
      <c r="AY51" s="8" t="s">
        <v>192</v>
      </c>
      <c r="AZ51" s="8" t="s">
        <v>361</v>
      </c>
      <c r="BA51" s="21" t="str">
        <f>IF(OR(tblsales[[#This Row],[Invoice Value USD]]="",tblsales[[#This Row],[Collected Amount USD]]=""),"",tblsales[[#This Row],[Invoice Value USD]]-tblsales[[#This Row],[Collected Amount USD]])</f>
        <v/>
      </c>
      <c r="BB51" s="21">
        <f>IF(OR(tblsales[[#This Row],[Contract Value USD]]="",tblsales[[#This Row],[Cost Estimate USD]]=""),"",tblsales[[#This Row],[Contract Value USD]]-tblsales[[#This Row],[Cost Estimate USD]])</f>
        <v>4264421.0650019981</v>
      </c>
      <c r="BC51" s="21">
        <f>IF(OR(tblsales[[#This Row],[Contract Value USD]]="",tblsales[[#This Row],[Cost Estimate USD]]=""),"",tblsales[[#This Row],[Contract Value USD]]-tblsales[[#This Row],[Cost Estimate USD]])</f>
        <v>4264421.0650019981</v>
      </c>
      <c r="BD51" s="23">
        <f>IF(tblsales[[#This Row],[Invoice Value USD]]="","",tblsales[[#This Row],[Collected Amount USD]]/tblsales[[#This Row],[Invoice Value USD]])</f>
        <v>0</v>
      </c>
      <c r="BE51" s="11">
        <f>IF(tblsales[[#This Row],[SalesStage]]="Won",1,0)</f>
        <v>0</v>
      </c>
      <c r="BF51" s="21" t="str">
        <f>IF(tblsales[[#This Row],[Win Flag]]=1,"Won","Lost")</f>
        <v>Lost</v>
      </c>
      <c r="BG51" s="8"/>
    </row>
    <row r="52" spans="1:59" x14ac:dyDescent="0.3">
      <c r="A52" s="10" t="s">
        <v>494</v>
      </c>
      <c r="B52" s="9">
        <v>46020</v>
      </c>
      <c r="C52" s="10" t="s">
        <v>275</v>
      </c>
      <c r="D52" s="10" t="s">
        <v>394</v>
      </c>
      <c r="E52" s="10" t="s">
        <v>52</v>
      </c>
      <c r="F52" s="10" t="s">
        <v>332</v>
      </c>
      <c r="G52" s="10" t="s">
        <v>73</v>
      </c>
      <c r="H52" s="10" t="s">
        <v>182</v>
      </c>
      <c r="I52" s="10" t="s">
        <v>213</v>
      </c>
      <c r="J52" s="10" t="s">
        <v>133</v>
      </c>
      <c r="K52" s="10" t="s">
        <v>223</v>
      </c>
      <c r="L52" s="10" t="s">
        <v>495</v>
      </c>
      <c r="M52" s="9">
        <v>45990</v>
      </c>
      <c r="N52" s="9">
        <v>46077</v>
      </c>
      <c r="O52" s="9">
        <v>46085</v>
      </c>
      <c r="P52" s="11"/>
      <c r="Q52" s="12">
        <v>9408127</v>
      </c>
      <c r="R52">
        <v>9408127</v>
      </c>
      <c r="S52" s="22">
        <v>0.25</v>
      </c>
      <c r="T52" s="22">
        <v>-0.01</v>
      </c>
      <c r="U52" s="12">
        <v>6985534.2999999998</v>
      </c>
      <c r="V52" s="24">
        <v>6985534.2999999998</v>
      </c>
      <c r="W52" s="8">
        <v>4703817.34</v>
      </c>
      <c r="X52" s="24">
        <v>4703817.34</v>
      </c>
      <c r="Y52" s="22">
        <v>0.18</v>
      </c>
      <c r="Z52" s="22">
        <v>7.0000000000000007E-2</v>
      </c>
      <c r="AA52" s="8" t="s">
        <v>496</v>
      </c>
      <c r="AB52" s="8">
        <v>6008004.9800000004</v>
      </c>
      <c r="AC52" s="24">
        <v>6008004.9800000004</v>
      </c>
      <c r="AD52" s="8">
        <v>4316176.55</v>
      </c>
      <c r="AE52" s="24">
        <v>4316176.55</v>
      </c>
      <c r="AF52" s="8">
        <v>60</v>
      </c>
      <c r="AG52" s="8">
        <v>43</v>
      </c>
      <c r="AH52" s="8" t="s">
        <v>332</v>
      </c>
      <c r="AI52" s="8" t="s">
        <v>455</v>
      </c>
      <c r="AJ52" s="22">
        <v>0.4</v>
      </c>
      <c r="AK52" s="8" t="s">
        <v>152</v>
      </c>
      <c r="AL52" s="22">
        <v>0.15</v>
      </c>
      <c r="AM52" s="22">
        <v>0.08</v>
      </c>
      <c r="AN52" s="8">
        <v>8</v>
      </c>
      <c r="AO52" s="8">
        <v>2043</v>
      </c>
      <c r="AP52" s="8">
        <v>1296977.76</v>
      </c>
      <c r="AQ52" s="24">
        <v>1296977.76</v>
      </c>
      <c r="AR52" s="8">
        <v>916186.55</v>
      </c>
      <c r="AS52" s="37">
        <v>916186.55</v>
      </c>
      <c r="AT52" s="8" t="s">
        <v>391</v>
      </c>
      <c r="AU52" s="8" t="s">
        <v>332</v>
      </c>
      <c r="AV52" s="8"/>
      <c r="AW52" s="8">
        <v>60</v>
      </c>
      <c r="AX52" s="8" t="s">
        <v>392</v>
      </c>
      <c r="AY52" s="8" t="s">
        <v>229</v>
      </c>
      <c r="AZ52" s="8" t="s">
        <v>332</v>
      </c>
      <c r="BA52" s="21">
        <f>IF(OR(tblsales[[#This Row],[Invoice Value USD]]="",tblsales[[#This Row],[Collected Amount USD]]=""),"",tblsales[[#This Row],[Invoice Value USD]]-tblsales[[#This Row],[Collected Amount USD]])</f>
        <v>1691828.4300000006</v>
      </c>
      <c r="BB52" s="21">
        <f>IF(OR(tblsales[[#This Row],[Contract Value USD]]="",tblsales[[#This Row],[Cost Estimate USD]]=""),"",tblsales[[#This Row],[Contract Value USD]]-tblsales[[#This Row],[Cost Estimate USD]])</f>
        <v>2281716.96</v>
      </c>
      <c r="BC52" s="21">
        <f>IF(OR(tblsales[[#This Row],[Contract Value USD]]="",tblsales[[#This Row],[Cost Estimate USD]]=""),"",tblsales[[#This Row],[Contract Value USD]]-tblsales[[#This Row],[Cost Estimate USD]])</f>
        <v>2281716.96</v>
      </c>
      <c r="BD52" s="23">
        <f>IF(tblsales[[#This Row],[Invoice Value USD]]="","",tblsales[[#This Row],[Collected Amount USD]]/tblsales[[#This Row],[Invoice Value USD]])</f>
        <v>0.71840428967154413</v>
      </c>
      <c r="BE52" s="11">
        <f>IF(tblsales[[#This Row],[SalesStage]]="Won",1,0)</f>
        <v>0</v>
      </c>
      <c r="BF52" s="21" t="str">
        <f>IF(tblsales[[#This Row],[Win Flag]]=1,"Won","Lost")</f>
        <v>Lost</v>
      </c>
      <c r="BG52" s="8"/>
    </row>
    <row r="53" spans="1:59" x14ac:dyDescent="0.3">
      <c r="A53" s="10" t="s">
        <v>497</v>
      </c>
      <c r="B53" s="9">
        <v>45779</v>
      </c>
      <c r="C53" s="10" t="s">
        <v>222</v>
      </c>
      <c r="D53" s="10" t="s">
        <v>274</v>
      </c>
      <c r="E53" s="10" t="s">
        <v>41</v>
      </c>
      <c r="F53" s="10" t="s">
        <v>363</v>
      </c>
      <c r="G53" s="10" t="s">
        <v>66</v>
      </c>
      <c r="H53" s="10" t="s">
        <v>197</v>
      </c>
      <c r="I53" s="10" t="s">
        <v>191</v>
      </c>
      <c r="J53" s="10" t="s">
        <v>105</v>
      </c>
      <c r="K53" s="10" t="s">
        <v>184</v>
      </c>
      <c r="L53" s="10" t="s">
        <v>498</v>
      </c>
      <c r="M53" s="9">
        <v>45641</v>
      </c>
      <c r="N53" s="9">
        <v>45660</v>
      </c>
      <c r="O53" s="9"/>
      <c r="P53" s="11">
        <v>18</v>
      </c>
      <c r="Q53" s="12"/>
      <c r="S53" s="22">
        <v>0.3</v>
      </c>
      <c r="T53" s="22">
        <v>0.14000000000000001</v>
      </c>
      <c r="U53" s="12">
        <v>25066728.920000002</v>
      </c>
      <c r="V53" s="24">
        <v>29102472.276120003</v>
      </c>
      <c r="W53" s="8">
        <v>22268166.960000001</v>
      </c>
      <c r="X53" s="24">
        <v>25853341.84056</v>
      </c>
      <c r="Y53" s="22">
        <v>0.1</v>
      </c>
      <c r="Z53" s="22">
        <v>0.09</v>
      </c>
      <c r="AA53" s="8" t="s">
        <v>499</v>
      </c>
      <c r="AB53" s="8">
        <v>7873286.79</v>
      </c>
      <c r="AC53" s="24">
        <v>9140885.9631900005</v>
      </c>
      <c r="AD53" s="8">
        <v>2906096.43</v>
      </c>
      <c r="AE53" s="24">
        <v>3373977.9552300004</v>
      </c>
      <c r="AF53" s="8">
        <v>90</v>
      </c>
      <c r="AG53" s="8">
        <v>3</v>
      </c>
      <c r="AH53" s="8" t="s">
        <v>376</v>
      </c>
      <c r="AI53" s="8" t="s">
        <v>406</v>
      </c>
      <c r="AJ53" s="22">
        <v>0.4</v>
      </c>
      <c r="AK53" s="8" t="s">
        <v>159</v>
      </c>
      <c r="AL53" s="22">
        <v>0.1</v>
      </c>
      <c r="AM53" s="22">
        <v>0.06</v>
      </c>
      <c r="AN53" s="8">
        <v>9</v>
      </c>
      <c r="AO53" s="8">
        <v>3765</v>
      </c>
      <c r="AP53" s="8">
        <v>990826.53</v>
      </c>
      <c r="AQ53" s="24">
        <v>1150349.60133</v>
      </c>
      <c r="AR53" s="8">
        <v>3845375.09</v>
      </c>
      <c r="AS53" s="37">
        <v>4464480.4794899998</v>
      </c>
      <c r="AT53" s="8" t="s">
        <v>385</v>
      </c>
      <c r="AU53" s="8" t="s">
        <v>321</v>
      </c>
      <c r="AV53" s="8">
        <v>94.9</v>
      </c>
      <c r="AW53" s="8">
        <v>12</v>
      </c>
      <c r="AX53" s="8" t="s">
        <v>332</v>
      </c>
      <c r="AY53" s="8" t="s">
        <v>186</v>
      </c>
      <c r="AZ53" s="8" t="s">
        <v>357</v>
      </c>
      <c r="BA53" s="21">
        <f>IF(OR(tblsales[[#This Row],[Invoice Value USD]]="",tblsales[[#This Row],[Collected Amount USD]]=""),"",tblsales[[#This Row],[Invoice Value USD]]-tblsales[[#This Row],[Collected Amount USD]])</f>
        <v>5766908.0079600001</v>
      </c>
      <c r="BB53" s="21">
        <f>IF(OR(tblsales[[#This Row],[Contract Value USD]]="",tblsales[[#This Row],[Cost Estimate USD]]=""),"",tblsales[[#This Row],[Contract Value USD]]-tblsales[[#This Row],[Cost Estimate USD]])</f>
        <v>3249130.4355600029</v>
      </c>
      <c r="BC53" s="21">
        <f>IF(OR(tblsales[[#This Row],[Contract Value USD]]="",tblsales[[#This Row],[Cost Estimate USD]]=""),"",tblsales[[#This Row],[Contract Value USD]]-tblsales[[#This Row],[Cost Estimate USD]])</f>
        <v>3249130.4355600029</v>
      </c>
      <c r="BD53" s="23">
        <f>IF(tblsales[[#This Row],[Invoice Value USD]]="","",tblsales[[#This Row],[Collected Amount USD]]/tblsales[[#This Row],[Invoice Value USD]])</f>
        <v>0.36910841780729803</v>
      </c>
      <c r="BE53" s="11">
        <f>IF(tblsales[[#This Row],[SalesStage]]="Won",1,0)</f>
        <v>0</v>
      </c>
      <c r="BF53" s="21" t="str">
        <f>IF(tblsales[[#This Row],[Win Flag]]=1,"Won","Lost")</f>
        <v>Lost</v>
      </c>
      <c r="BG53" s="8"/>
    </row>
    <row r="54" spans="1:59" x14ac:dyDescent="0.3">
      <c r="A54" s="10" t="s">
        <v>500</v>
      </c>
      <c r="B54" s="9">
        <v>45967</v>
      </c>
      <c r="C54" s="10" t="s">
        <v>260</v>
      </c>
      <c r="D54" s="10" t="s">
        <v>232</v>
      </c>
      <c r="E54" s="10" t="s">
        <v>36</v>
      </c>
      <c r="F54" s="10" t="s">
        <v>339</v>
      </c>
      <c r="G54" s="10" t="s">
        <v>46</v>
      </c>
      <c r="H54" s="10" t="s">
        <v>182</v>
      </c>
      <c r="I54" s="10" t="s">
        <v>203</v>
      </c>
      <c r="J54" s="10" t="s">
        <v>115</v>
      </c>
      <c r="K54" s="10" t="s">
        <v>184</v>
      </c>
      <c r="L54" s="10" t="s">
        <v>501</v>
      </c>
      <c r="M54" s="9">
        <v>45782</v>
      </c>
      <c r="N54" s="9"/>
      <c r="O54" s="9">
        <v>45894</v>
      </c>
      <c r="P54" s="11">
        <v>46</v>
      </c>
      <c r="Q54" s="12">
        <v>26570607</v>
      </c>
      <c r="R54">
        <v>7235176.2860999992</v>
      </c>
      <c r="S54" s="22">
        <v>0.25</v>
      </c>
      <c r="T54" s="22">
        <v>0.13</v>
      </c>
      <c r="U54" s="12">
        <v>22518589.43</v>
      </c>
      <c r="V54" s="24">
        <v>6131811.9017889993</v>
      </c>
      <c r="W54" s="8">
        <v>19051332.059999999</v>
      </c>
      <c r="X54" s="24">
        <v>5187677.7199379997</v>
      </c>
      <c r="Y54" s="22">
        <v>0.38</v>
      </c>
      <c r="Z54" s="22">
        <v>0.18</v>
      </c>
      <c r="AA54" s="8" t="s">
        <v>502</v>
      </c>
      <c r="AB54" s="8">
        <v>7213808.9900000002</v>
      </c>
      <c r="AC54" s="24">
        <v>1964320.1879769999</v>
      </c>
      <c r="AD54" s="8">
        <v>3733612.87</v>
      </c>
      <c r="AE54" s="24">
        <v>1016662.784501</v>
      </c>
      <c r="AF54" s="8">
        <v>30</v>
      </c>
      <c r="AG54" s="8">
        <v>52</v>
      </c>
      <c r="AH54" s="8" t="s">
        <v>353</v>
      </c>
      <c r="AI54" s="8" t="s">
        <v>406</v>
      </c>
      <c r="AJ54" s="22">
        <v>0.18</v>
      </c>
      <c r="AK54" s="8" t="s">
        <v>153</v>
      </c>
      <c r="AL54" s="22">
        <v>0.15</v>
      </c>
      <c r="AM54" s="22">
        <v>0.02</v>
      </c>
      <c r="AN54" s="8">
        <v>3</v>
      </c>
      <c r="AO54" s="8">
        <v>1004</v>
      </c>
      <c r="AP54" s="8"/>
      <c r="AQ54" s="24"/>
      <c r="AR54" s="8">
        <v>11102270.23</v>
      </c>
      <c r="AS54" s="37">
        <v>3023148.1836290001</v>
      </c>
      <c r="AT54" s="8" t="s">
        <v>332</v>
      </c>
      <c r="AU54" s="8" t="s">
        <v>348</v>
      </c>
      <c r="AV54" s="8">
        <v>62.5</v>
      </c>
      <c r="AW54" s="8">
        <v>48</v>
      </c>
      <c r="AX54" s="8" t="s">
        <v>323</v>
      </c>
      <c r="AY54" s="8" t="s">
        <v>192</v>
      </c>
      <c r="AZ54" s="8" t="s">
        <v>324</v>
      </c>
      <c r="BA54" s="21">
        <f>IF(OR(tblsales[[#This Row],[Invoice Value USD]]="",tblsales[[#This Row],[Collected Amount USD]]=""),"",tblsales[[#This Row],[Invoice Value USD]]-tblsales[[#This Row],[Collected Amount USD]])</f>
        <v>947657.40347599995</v>
      </c>
      <c r="BB54" s="21">
        <f>IF(OR(tblsales[[#This Row],[Contract Value USD]]="",tblsales[[#This Row],[Cost Estimate USD]]=""),"",tblsales[[#This Row],[Contract Value USD]]-tblsales[[#This Row],[Cost Estimate USD]])</f>
        <v>944134.18185099959</v>
      </c>
      <c r="BC54" s="21">
        <f>IF(OR(tblsales[[#This Row],[Contract Value USD]]="",tblsales[[#This Row],[Cost Estimate USD]]=""),"",tblsales[[#This Row],[Contract Value USD]]-tblsales[[#This Row],[Cost Estimate USD]])</f>
        <v>944134.18185099959</v>
      </c>
      <c r="BD54" s="23">
        <f>IF(tblsales[[#This Row],[Invoice Value USD]]="","",tblsales[[#This Row],[Collected Amount USD]]/tblsales[[#This Row],[Invoice Value USD]])</f>
        <v>0.51756469781437897</v>
      </c>
      <c r="BE54" s="11">
        <f>IF(tblsales[[#This Row],[SalesStage]]="Won",1,0)</f>
        <v>0</v>
      </c>
      <c r="BF54" s="21" t="str">
        <f>IF(tblsales[[#This Row],[Win Flag]]=1,"Won","Lost")</f>
        <v>Lost</v>
      </c>
      <c r="BG54" s="8"/>
    </row>
    <row r="55" spans="1:59" x14ac:dyDescent="0.3">
      <c r="A55" s="10" t="s">
        <v>503</v>
      </c>
      <c r="B55" s="9">
        <v>45669</v>
      </c>
      <c r="C55" s="10" t="s">
        <v>239</v>
      </c>
      <c r="D55" s="10" t="s">
        <v>209</v>
      </c>
      <c r="E55" s="10" t="s">
        <v>332</v>
      </c>
      <c r="F55" s="10" t="s">
        <v>75</v>
      </c>
      <c r="G55" s="10" t="s">
        <v>66</v>
      </c>
      <c r="H55" s="10" t="s">
        <v>182</v>
      </c>
      <c r="I55" s="10" t="s">
        <v>233</v>
      </c>
      <c r="J55" s="10" t="s">
        <v>105</v>
      </c>
      <c r="K55" s="10" t="s">
        <v>199</v>
      </c>
      <c r="L55" s="10" t="s">
        <v>504</v>
      </c>
      <c r="M55" s="9">
        <v>45596</v>
      </c>
      <c r="N55" s="9">
        <v>45963</v>
      </c>
      <c r="O55" s="9"/>
      <c r="P55" s="11">
        <v>29</v>
      </c>
      <c r="Q55" s="12">
        <v>4526645</v>
      </c>
      <c r="R55">
        <v>4526645</v>
      </c>
      <c r="S55" s="22">
        <v>0.08</v>
      </c>
      <c r="T55" s="22">
        <v>0.11</v>
      </c>
      <c r="U55" s="12">
        <v>4622609.87</v>
      </c>
      <c r="V55" s="24">
        <v>4622609.87</v>
      </c>
      <c r="W55" s="8">
        <v>4000386.96</v>
      </c>
      <c r="X55" s="24">
        <v>4000386.96</v>
      </c>
      <c r="Y55" s="22">
        <v>0.27</v>
      </c>
      <c r="Z55" s="22">
        <v>0.17</v>
      </c>
      <c r="AA55" s="8" t="s">
        <v>505</v>
      </c>
      <c r="AB55" s="8">
        <v>3411041.69</v>
      </c>
      <c r="AC55" s="24">
        <v>3411041.69</v>
      </c>
      <c r="AD55" s="8">
        <v>1274306.8799999999</v>
      </c>
      <c r="AE55" s="24">
        <v>1274306.8799999999</v>
      </c>
      <c r="AF55" s="8">
        <v>60</v>
      </c>
      <c r="AG55" s="8">
        <v>32</v>
      </c>
      <c r="AH55" s="8" t="s">
        <v>376</v>
      </c>
      <c r="AI55" s="8" t="s">
        <v>320</v>
      </c>
      <c r="AJ55" s="22">
        <v>0.09</v>
      </c>
      <c r="AK55" s="8" t="s">
        <v>152</v>
      </c>
      <c r="AL55" s="22">
        <v>0.1</v>
      </c>
      <c r="AM55" s="22">
        <v>0.01</v>
      </c>
      <c r="AN55" s="8">
        <v>13</v>
      </c>
      <c r="AO55" s="8">
        <v>3980</v>
      </c>
      <c r="AP55" s="8">
        <v>693852.62</v>
      </c>
      <c r="AQ55" s="24">
        <v>693852.62</v>
      </c>
      <c r="AR55" s="8">
        <v>962308.45</v>
      </c>
      <c r="AS55" s="37">
        <v>962308.45</v>
      </c>
      <c r="AT55" s="8" t="s">
        <v>391</v>
      </c>
      <c r="AU55" s="8" t="s">
        <v>332</v>
      </c>
      <c r="AV55" s="8"/>
      <c r="AW55" s="8"/>
      <c r="AX55" s="8" t="s">
        <v>323</v>
      </c>
      <c r="AY55" s="8" t="s">
        <v>186</v>
      </c>
      <c r="AZ55" s="8" t="s">
        <v>332</v>
      </c>
      <c r="BA55" s="21">
        <f>IF(OR(tblsales[[#This Row],[Invoice Value USD]]="",tblsales[[#This Row],[Collected Amount USD]]=""),"",tblsales[[#This Row],[Invoice Value USD]]-tblsales[[#This Row],[Collected Amount USD]])</f>
        <v>2136734.81</v>
      </c>
      <c r="BB55" s="21">
        <f>IF(OR(tblsales[[#This Row],[Contract Value USD]]="",tblsales[[#This Row],[Cost Estimate USD]]=""),"",tblsales[[#This Row],[Contract Value USD]]-tblsales[[#This Row],[Cost Estimate USD]])</f>
        <v>622222.91000000015</v>
      </c>
      <c r="BC55" s="21">
        <f>IF(OR(tblsales[[#This Row],[Contract Value USD]]="",tblsales[[#This Row],[Cost Estimate USD]]=""),"",tblsales[[#This Row],[Contract Value USD]]-tblsales[[#This Row],[Cost Estimate USD]])</f>
        <v>622222.91000000015</v>
      </c>
      <c r="BD55" s="23">
        <f>IF(tblsales[[#This Row],[Invoice Value USD]]="","",tblsales[[#This Row],[Collected Amount USD]]/tblsales[[#This Row],[Invoice Value USD]])</f>
        <v>0.37358290980020237</v>
      </c>
      <c r="BE55" s="11">
        <f>IF(tblsales[[#This Row],[SalesStage]]="Won",1,0)</f>
        <v>1</v>
      </c>
      <c r="BF55" s="21" t="str">
        <f>IF(tblsales[[#This Row],[Win Flag]]=1,"Won","Lost")</f>
        <v>Won</v>
      </c>
      <c r="BG55" s="8"/>
    </row>
    <row r="56" spans="1:59" x14ac:dyDescent="0.3">
      <c r="A56" s="10" t="s">
        <v>506</v>
      </c>
      <c r="B56" s="9">
        <v>46050</v>
      </c>
      <c r="C56" s="10" t="s">
        <v>271</v>
      </c>
      <c r="D56" s="10" t="s">
        <v>190</v>
      </c>
      <c r="E56" s="10" t="s">
        <v>36</v>
      </c>
      <c r="F56" s="10" t="s">
        <v>19</v>
      </c>
      <c r="G56" s="10" t="s">
        <v>73</v>
      </c>
      <c r="H56" s="10" t="s">
        <v>182</v>
      </c>
      <c r="I56" s="10" t="s">
        <v>213</v>
      </c>
      <c r="J56" s="10" t="s">
        <v>115</v>
      </c>
      <c r="K56" s="10" t="s">
        <v>221</v>
      </c>
      <c r="L56" s="10" t="s">
        <v>507</v>
      </c>
      <c r="M56" s="9">
        <v>45977</v>
      </c>
      <c r="N56" s="9"/>
      <c r="O56" s="9"/>
      <c r="P56" s="11"/>
      <c r="Q56" s="12">
        <v>39390832</v>
      </c>
      <c r="R56">
        <v>45732755.952</v>
      </c>
      <c r="S56" s="22">
        <v>0.35</v>
      </c>
      <c r="T56" s="22">
        <v>0.19</v>
      </c>
      <c r="U56" s="12">
        <v>30468808.550000001</v>
      </c>
      <c r="V56" s="24">
        <v>35374286.726550005</v>
      </c>
      <c r="W56" s="8">
        <v>18463439.760000002</v>
      </c>
      <c r="X56" s="24">
        <v>21436053.561360002</v>
      </c>
      <c r="Y56" s="22">
        <v>0.17</v>
      </c>
      <c r="Z56" s="22">
        <v>0.14000000000000001</v>
      </c>
      <c r="AA56" s="8" t="s">
        <v>508</v>
      </c>
      <c r="AB56" s="8">
        <v>4116768.29</v>
      </c>
      <c r="AC56" s="24">
        <v>4779567.9846900003</v>
      </c>
      <c r="AD56" s="8">
        <v>3398357.38</v>
      </c>
      <c r="AE56" s="24">
        <v>3945492.91818</v>
      </c>
      <c r="AF56" s="8">
        <v>60</v>
      </c>
      <c r="AG56" s="8">
        <v>137</v>
      </c>
      <c r="AH56" s="8" t="s">
        <v>376</v>
      </c>
      <c r="AI56" s="8" t="s">
        <v>381</v>
      </c>
      <c r="AJ56" s="22">
        <v>0.82</v>
      </c>
      <c r="AK56" s="8" t="s">
        <v>159</v>
      </c>
      <c r="AL56" s="22">
        <v>0.15</v>
      </c>
      <c r="AM56" s="22">
        <v>0.02</v>
      </c>
      <c r="AN56" s="8">
        <v>7</v>
      </c>
      <c r="AO56" s="8">
        <v>1170</v>
      </c>
      <c r="AP56" s="8">
        <v>6541366.9199999999</v>
      </c>
      <c r="AQ56" s="24">
        <v>7594526.9941199999</v>
      </c>
      <c r="AR56" s="8">
        <v>14753713.119999999</v>
      </c>
      <c r="AS56" s="37">
        <v>17129060.932319999</v>
      </c>
      <c r="AT56" s="8" t="s">
        <v>321</v>
      </c>
      <c r="AU56" s="8" t="s">
        <v>332</v>
      </c>
      <c r="AV56" s="8">
        <v>85.8</v>
      </c>
      <c r="AW56" s="8">
        <v>48</v>
      </c>
      <c r="AX56" s="8" t="s">
        <v>337</v>
      </c>
      <c r="AY56" s="8" t="s">
        <v>229</v>
      </c>
      <c r="AZ56" s="8" t="s">
        <v>357</v>
      </c>
      <c r="BA56" s="21">
        <f>IF(OR(tblsales[[#This Row],[Invoice Value USD]]="",tblsales[[#This Row],[Collected Amount USD]]=""),"",tblsales[[#This Row],[Invoice Value USD]]-tblsales[[#This Row],[Collected Amount USD]])</f>
        <v>834075.06651000027</v>
      </c>
      <c r="BB56" s="21">
        <f>IF(OR(tblsales[[#This Row],[Contract Value USD]]="",tblsales[[#This Row],[Cost Estimate USD]]=""),"",tblsales[[#This Row],[Contract Value USD]]-tblsales[[#This Row],[Cost Estimate USD]])</f>
        <v>13938233.165190004</v>
      </c>
      <c r="BC56" s="21">
        <f>IF(OR(tblsales[[#This Row],[Contract Value USD]]="",tblsales[[#This Row],[Cost Estimate USD]]=""),"",tblsales[[#This Row],[Contract Value USD]]-tblsales[[#This Row],[Cost Estimate USD]])</f>
        <v>13938233.165190004</v>
      </c>
      <c r="BD56" s="23">
        <f>IF(tblsales[[#This Row],[Invoice Value USD]]="","",tblsales[[#This Row],[Collected Amount USD]]/tblsales[[#This Row],[Invoice Value USD]])</f>
        <v>0.82549153622634419</v>
      </c>
      <c r="BE56" s="11">
        <f>IF(tblsales[[#This Row],[SalesStage]]="Won",1,0)</f>
        <v>0</v>
      </c>
      <c r="BF56" s="21" t="str">
        <f>IF(tblsales[[#This Row],[Win Flag]]=1,"Won","Lost")</f>
        <v>Lost</v>
      </c>
      <c r="BG56" s="8"/>
    </row>
    <row r="57" spans="1:59" x14ac:dyDescent="0.3">
      <c r="A57" s="10" t="s">
        <v>509</v>
      </c>
      <c r="B57" s="9">
        <v>46063</v>
      </c>
      <c r="C57" s="10" t="s">
        <v>285</v>
      </c>
      <c r="D57" s="10" t="s">
        <v>245</v>
      </c>
      <c r="E57" s="10" t="s">
        <v>41</v>
      </c>
      <c r="F57" s="10" t="s">
        <v>228</v>
      </c>
      <c r="G57" s="10" t="s">
        <v>38</v>
      </c>
      <c r="H57" s="10" t="s">
        <v>236</v>
      </c>
      <c r="I57" s="10" t="s">
        <v>191</v>
      </c>
      <c r="J57" s="10" t="s">
        <v>130</v>
      </c>
      <c r="K57" s="10" t="s">
        <v>221</v>
      </c>
      <c r="L57" s="10" t="s">
        <v>510</v>
      </c>
      <c r="M57" s="9">
        <v>45981</v>
      </c>
      <c r="N57" s="9">
        <v>46072</v>
      </c>
      <c r="O57" s="9">
        <v>46123</v>
      </c>
      <c r="P57" s="11">
        <v>13</v>
      </c>
      <c r="Q57" s="12">
        <v>43100414</v>
      </c>
      <c r="R57">
        <v>43100414</v>
      </c>
      <c r="S57" s="22">
        <v>0.34</v>
      </c>
      <c r="T57" s="22">
        <v>0.11</v>
      </c>
      <c r="U57" s="12">
        <v>31575363.300000001</v>
      </c>
      <c r="V57" s="24">
        <v>31575363.300000001</v>
      </c>
      <c r="W57" s="8">
        <v>28068094.690000001</v>
      </c>
      <c r="X57" s="24">
        <v>28068094.690000001</v>
      </c>
      <c r="Y57" s="22">
        <v>0.28000000000000003</v>
      </c>
      <c r="Z57" s="22">
        <v>0.16</v>
      </c>
      <c r="AA57" s="8" t="s">
        <v>511</v>
      </c>
      <c r="AB57" s="8">
        <v>6254203.8899999997</v>
      </c>
      <c r="AC57" s="24">
        <v>6254203.8899999997</v>
      </c>
      <c r="AD57" s="8">
        <v>6723233.6399999997</v>
      </c>
      <c r="AE57" s="24">
        <v>6723233.6399999997</v>
      </c>
      <c r="AF57" s="8">
        <v>120</v>
      </c>
      <c r="AG57" s="8">
        <v>92</v>
      </c>
      <c r="AH57" s="8" t="s">
        <v>342</v>
      </c>
      <c r="AI57" s="8" t="s">
        <v>226</v>
      </c>
      <c r="AJ57" s="22">
        <v>0.26</v>
      </c>
      <c r="AK57" s="8" t="s">
        <v>152</v>
      </c>
      <c r="AL57" s="22">
        <v>0.15</v>
      </c>
      <c r="AM57" s="22">
        <v>0.08</v>
      </c>
      <c r="AN57" s="8">
        <v>12</v>
      </c>
      <c r="AO57" s="8">
        <v>895</v>
      </c>
      <c r="AP57" s="8">
        <v>981170.16</v>
      </c>
      <c r="AQ57" s="24">
        <v>981170.16</v>
      </c>
      <c r="AR57" s="8">
        <v>8457817.5999999996</v>
      </c>
      <c r="AS57" s="37">
        <v>8457817.5999999996</v>
      </c>
      <c r="AT57" s="8" t="s">
        <v>355</v>
      </c>
      <c r="AU57" s="8" t="s">
        <v>386</v>
      </c>
      <c r="AV57" s="8">
        <v>63.3</v>
      </c>
      <c r="AW57" s="8">
        <v>48</v>
      </c>
      <c r="AX57" s="8" t="s">
        <v>332</v>
      </c>
      <c r="AY57" s="8" t="s">
        <v>229</v>
      </c>
      <c r="AZ57" s="8" t="s">
        <v>377</v>
      </c>
      <c r="BA57" s="21">
        <f>IF(OR(tblsales[[#This Row],[Invoice Value USD]]="",tblsales[[#This Row],[Collected Amount USD]]=""),"",tblsales[[#This Row],[Invoice Value USD]]-tblsales[[#This Row],[Collected Amount USD]])</f>
        <v>-469029.75</v>
      </c>
      <c r="BB57" s="21">
        <f>IF(OR(tblsales[[#This Row],[Contract Value USD]]="",tblsales[[#This Row],[Cost Estimate USD]]=""),"",tblsales[[#This Row],[Contract Value USD]]-tblsales[[#This Row],[Cost Estimate USD]])</f>
        <v>3507268.6099999994</v>
      </c>
      <c r="BC57" s="21">
        <f>IF(OR(tblsales[[#This Row],[Contract Value USD]]="",tblsales[[#This Row],[Cost Estimate USD]]=""),"",tblsales[[#This Row],[Contract Value USD]]-tblsales[[#This Row],[Cost Estimate USD]])</f>
        <v>3507268.6099999994</v>
      </c>
      <c r="BD57" s="23">
        <f>IF(tblsales[[#This Row],[Invoice Value USD]]="","",tblsales[[#This Row],[Collected Amount USD]]/tblsales[[#This Row],[Invoice Value USD]])</f>
        <v>1.0749943171424172</v>
      </c>
      <c r="BE57" s="11">
        <f>IF(tblsales[[#This Row],[SalesStage]]="Won",1,0)</f>
        <v>0</v>
      </c>
      <c r="BF57" s="21" t="str">
        <f>IF(tblsales[[#This Row],[Win Flag]]=1,"Won","Lost")</f>
        <v>Lost</v>
      </c>
      <c r="BG57" s="8"/>
    </row>
    <row r="58" spans="1:59" x14ac:dyDescent="0.3">
      <c r="A58" s="10" t="s">
        <v>512</v>
      </c>
      <c r="B58" s="9">
        <v>46061</v>
      </c>
      <c r="C58" s="10" t="s">
        <v>280</v>
      </c>
      <c r="D58" s="10" t="s">
        <v>202</v>
      </c>
      <c r="E58" s="10" t="s">
        <v>113</v>
      </c>
      <c r="F58" s="10" t="s">
        <v>367</v>
      </c>
      <c r="G58" s="10" t="s">
        <v>50</v>
      </c>
      <c r="H58" s="10" t="s">
        <v>236</v>
      </c>
      <c r="I58" s="10" t="s">
        <v>183</v>
      </c>
      <c r="J58" s="10" t="s">
        <v>127</v>
      </c>
      <c r="K58" s="10" t="s">
        <v>210</v>
      </c>
      <c r="L58" s="10" t="s">
        <v>513</v>
      </c>
      <c r="M58" s="9">
        <v>46009</v>
      </c>
      <c r="N58" s="9">
        <v>46176</v>
      </c>
      <c r="O58" s="9">
        <v>46129</v>
      </c>
      <c r="P58" s="11"/>
      <c r="Q58" s="12">
        <v>38992647</v>
      </c>
      <c r="R58">
        <v>38992647</v>
      </c>
      <c r="S58" s="22">
        <v>0.23</v>
      </c>
      <c r="T58" s="22">
        <v>0.12</v>
      </c>
      <c r="U58" s="12">
        <v>33627258.770000003</v>
      </c>
      <c r="V58" s="24">
        <v>33627258.770000003</v>
      </c>
      <c r="W58" s="8">
        <v>25721449.550000001</v>
      </c>
      <c r="X58" s="24">
        <v>25721449.550000001</v>
      </c>
      <c r="Y58" s="22">
        <v>7.0000000000000007E-2</v>
      </c>
      <c r="Z58" s="22">
        <v>0.05</v>
      </c>
      <c r="AA58" s="8" t="s">
        <v>514</v>
      </c>
      <c r="AB58" s="8">
        <v>6330601.6600000001</v>
      </c>
      <c r="AC58" s="24">
        <v>6330601.6600000001</v>
      </c>
      <c r="AD58" s="8">
        <v>2272480.33</v>
      </c>
      <c r="AE58" s="24">
        <v>2272480.33</v>
      </c>
      <c r="AF58" s="8">
        <v>30</v>
      </c>
      <c r="AG58" s="8">
        <v>76</v>
      </c>
      <c r="AH58" s="8" t="s">
        <v>342</v>
      </c>
      <c r="AI58" s="8" t="s">
        <v>354</v>
      </c>
      <c r="AJ58" s="22">
        <v>7.0000000000000007E-2</v>
      </c>
      <c r="AK58" s="8" t="s">
        <v>152</v>
      </c>
      <c r="AL58" s="22">
        <v>0.1</v>
      </c>
      <c r="AM58" s="22">
        <v>0.1</v>
      </c>
      <c r="AN58" s="8">
        <v>2</v>
      </c>
      <c r="AO58" s="8">
        <v>1705</v>
      </c>
      <c r="AP58" s="8">
        <v>2929493.7</v>
      </c>
      <c r="AQ58" s="24">
        <v>2929493.7</v>
      </c>
      <c r="AR58" s="8">
        <v>14712182.279999999</v>
      </c>
      <c r="AS58" s="37">
        <v>14712182.279999999</v>
      </c>
      <c r="AT58" s="8" t="s">
        <v>343</v>
      </c>
      <c r="AU58" s="8" t="s">
        <v>321</v>
      </c>
      <c r="AV58" s="8">
        <v>83.1</v>
      </c>
      <c r="AW58" s="8">
        <v>48</v>
      </c>
      <c r="AX58" s="8" t="s">
        <v>337</v>
      </c>
      <c r="AY58" s="8" t="s">
        <v>224</v>
      </c>
      <c r="AZ58" s="8" t="s">
        <v>332</v>
      </c>
      <c r="BA58" s="21">
        <f>IF(OR(tblsales[[#This Row],[Invoice Value USD]]="",tblsales[[#This Row],[Collected Amount USD]]=""),"",tblsales[[#This Row],[Invoice Value USD]]-tblsales[[#This Row],[Collected Amount USD]])</f>
        <v>4058121.33</v>
      </c>
      <c r="BB58" s="21">
        <f>IF(OR(tblsales[[#This Row],[Contract Value USD]]="",tblsales[[#This Row],[Cost Estimate USD]]=""),"",tblsales[[#This Row],[Contract Value USD]]-tblsales[[#This Row],[Cost Estimate USD]])</f>
        <v>7905809.2200000025</v>
      </c>
      <c r="BC58" s="21">
        <f>IF(OR(tblsales[[#This Row],[Contract Value USD]]="",tblsales[[#This Row],[Cost Estimate USD]]=""),"",tblsales[[#This Row],[Contract Value USD]]-tblsales[[#This Row],[Cost Estimate USD]])</f>
        <v>7905809.2200000025</v>
      </c>
      <c r="BD58" s="23">
        <f>IF(tblsales[[#This Row],[Invoice Value USD]]="","",tblsales[[#This Row],[Collected Amount USD]]/tblsales[[#This Row],[Invoice Value USD]])</f>
        <v>0.35896751241808506</v>
      </c>
      <c r="BE58" s="11">
        <f>IF(tblsales[[#This Row],[SalesStage]]="Won",1,0)</f>
        <v>0</v>
      </c>
      <c r="BF58" s="21" t="str">
        <f>IF(tblsales[[#This Row],[Win Flag]]=1,"Won","Lost")</f>
        <v>Lost</v>
      </c>
      <c r="BG58" s="8"/>
    </row>
    <row r="59" spans="1:59" x14ac:dyDescent="0.3">
      <c r="A59" s="10" t="s">
        <v>515</v>
      </c>
      <c r="B59" s="9">
        <v>45907</v>
      </c>
      <c r="C59" s="10" t="s">
        <v>256</v>
      </c>
      <c r="D59" s="10" t="s">
        <v>253</v>
      </c>
      <c r="E59" s="10" t="s">
        <v>52</v>
      </c>
      <c r="F59" s="10" t="s">
        <v>75</v>
      </c>
      <c r="G59" s="10" t="s">
        <v>73</v>
      </c>
      <c r="H59" s="10" t="s">
        <v>236</v>
      </c>
      <c r="I59" s="10" t="s">
        <v>233</v>
      </c>
      <c r="J59" s="10" t="s">
        <v>119</v>
      </c>
      <c r="K59" s="10" t="s">
        <v>199</v>
      </c>
      <c r="L59" s="10" t="s">
        <v>516</v>
      </c>
      <c r="M59" s="9">
        <v>45827</v>
      </c>
      <c r="N59" s="9">
        <v>45892</v>
      </c>
      <c r="O59" s="9">
        <v>45943</v>
      </c>
      <c r="P59" s="11">
        <v>51</v>
      </c>
      <c r="Q59" s="12">
        <v>25798353</v>
      </c>
      <c r="R59">
        <v>7024891.5219000001</v>
      </c>
      <c r="S59" s="22">
        <v>0.14000000000000001</v>
      </c>
      <c r="T59" s="22">
        <v>0.06</v>
      </c>
      <c r="U59" s="12">
        <v>23517778.59</v>
      </c>
      <c r="V59" s="24">
        <v>6403891.1100570001</v>
      </c>
      <c r="W59" s="8">
        <v>20806612.5</v>
      </c>
      <c r="X59" s="24">
        <v>5665640.5837499993</v>
      </c>
      <c r="Y59" s="22">
        <v>0.12</v>
      </c>
      <c r="Z59" s="22">
        <v>0.08</v>
      </c>
      <c r="AA59" s="8" t="s">
        <v>517</v>
      </c>
      <c r="AB59" s="8">
        <v>6439204.7400000002</v>
      </c>
      <c r="AC59" s="24">
        <v>1753395.4507019999</v>
      </c>
      <c r="AD59" s="8">
        <v>4327444.1399999997</v>
      </c>
      <c r="AE59" s="24">
        <v>1178363.0393219998</v>
      </c>
      <c r="AF59" s="8">
        <v>45</v>
      </c>
      <c r="AG59" s="8">
        <v>69</v>
      </c>
      <c r="AH59" s="8" t="s">
        <v>376</v>
      </c>
      <c r="AI59" s="8" t="s">
        <v>226</v>
      </c>
      <c r="AJ59" s="22">
        <v>0.57999999999999996</v>
      </c>
      <c r="AK59" s="8" t="s">
        <v>153</v>
      </c>
      <c r="AL59" s="22">
        <v>0.05</v>
      </c>
      <c r="AM59" s="22">
        <v>0.08</v>
      </c>
      <c r="AN59" s="8">
        <v>3</v>
      </c>
      <c r="AO59" s="8">
        <v>4884</v>
      </c>
      <c r="AP59" s="8">
        <v>5396978.1699999999</v>
      </c>
      <c r="AQ59" s="24">
        <v>1469597.1556909999</v>
      </c>
      <c r="AR59" s="8">
        <v>2982166.77</v>
      </c>
      <c r="AS59" s="37">
        <v>812044.01147099992</v>
      </c>
      <c r="AT59" s="8" t="s">
        <v>332</v>
      </c>
      <c r="AU59" s="8" t="s">
        <v>321</v>
      </c>
      <c r="AV59" s="8">
        <v>99.4</v>
      </c>
      <c r="AW59" s="8">
        <v>48</v>
      </c>
      <c r="AX59" s="8" t="s">
        <v>332</v>
      </c>
      <c r="AY59" s="8" t="s">
        <v>206</v>
      </c>
      <c r="AZ59" s="8" t="s">
        <v>377</v>
      </c>
      <c r="BA59" s="21">
        <f>IF(OR(tblsales[[#This Row],[Invoice Value USD]]="",tblsales[[#This Row],[Collected Amount USD]]=""),"",tblsales[[#This Row],[Invoice Value USD]]-tblsales[[#This Row],[Collected Amount USD]])</f>
        <v>575032.41138000018</v>
      </c>
      <c r="BB59" s="21">
        <f>IF(OR(tblsales[[#This Row],[Contract Value USD]]="",tblsales[[#This Row],[Cost Estimate USD]]=""),"",tblsales[[#This Row],[Contract Value USD]]-tblsales[[#This Row],[Cost Estimate USD]])</f>
        <v>738250.52630700078</v>
      </c>
      <c r="BC59" s="21">
        <f>IF(OR(tblsales[[#This Row],[Contract Value USD]]="",tblsales[[#This Row],[Cost Estimate USD]]=""),"",tblsales[[#This Row],[Contract Value USD]]-tblsales[[#This Row],[Cost Estimate USD]])</f>
        <v>738250.52630700078</v>
      </c>
      <c r="BD59" s="23">
        <f>IF(tblsales[[#This Row],[Invoice Value USD]]="","",tblsales[[#This Row],[Collected Amount USD]]/tblsales[[#This Row],[Invoice Value USD]])</f>
        <v>0.67204636515409188</v>
      </c>
      <c r="BE59" s="11">
        <f>IF(tblsales[[#This Row],[SalesStage]]="Won",1,0)</f>
        <v>0</v>
      </c>
      <c r="BF59" s="21" t="str">
        <f>IF(tblsales[[#This Row],[Win Flag]]=1,"Won","Lost")</f>
        <v>Lost</v>
      </c>
      <c r="BG59" s="8"/>
    </row>
    <row r="60" spans="1:59" x14ac:dyDescent="0.3">
      <c r="A60" s="10" t="s">
        <v>518</v>
      </c>
      <c r="B60" s="9">
        <v>45958</v>
      </c>
      <c r="C60" s="10" t="s">
        <v>239</v>
      </c>
      <c r="D60" s="10" t="s">
        <v>209</v>
      </c>
      <c r="E60" s="10" t="s">
        <v>332</v>
      </c>
      <c r="F60" s="10" t="s">
        <v>339</v>
      </c>
      <c r="G60" s="10" t="s">
        <v>46</v>
      </c>
      <c r="H60" s="10" t="s">
        <v>182</v>
      </c>
      <c r="I60" s="10" t="s">
        <v>240</v>
      </c>
      <c r="J60" s="10" t="s">
        <v>105</v>
      </c>
      <c r="K60" s="10" t="s">
        <v>223</v>
      </c>
      <c r="L60" s="10" t="s">
        <v>519</v>
      </c>
      <c r="M60" s="9">
        <v>45918</v>
      </c>
      <c r="N60" s="9">
        <v>46016</v>
      </c>
      <c r="O60" s="9">
        <v>45990</v>
      </c>
      <c r="P60" s="11">
        <v>22</v>
      </c>
      <c r="Q60" s="12">
        <v>35268542</v>
      </c>
      <c r="R60">
        <v>35268542</v>
      </c>
      <c r="S60" s="22">
        <v>0.28000000000000003</v>
      </c>
      <c r="T60" s="22">
        <v>-0.02</v>
      </c>
      <c r="U60" s="12">
        <v>24885483.239999998</v>
      </c>
      <c r="V60" s="24">
        <v>24885483.239999998</v>
      </c>
      <c r="W60" s="8">
        <v>21223683.190000001</v>
      </c>
      <c r="X60" s="24">
        <v>21223683.190000001</v>
      </c>
      <c r="Y60" s="22">
        <v>0.28999999999999998</v>
      </c>
      <c r="Z60" s="22">
        <v>0.2</v>
      </c>
      <c r="AA60" s="8" t="s">
        <v>520</v>
      </c>
      <c r="AB60" s="8">
        <v>4409607.38</v>
      </c>
      <c r="AC60" s="24">
        <v>4409607.38</v>
      </c>
      <c r="AD60" s="8">
        <v>3321647.62</v>
      </c>
      <c r="AE60" s="24">
        <v>3321647.62</v>
      </c>
      <c r="AF60" s="8">
        <v>120</v>
      </c>
      <c r="AG60" s="8">
        <v>26</v>
      </c>
      <c r="AH60" s="8" t="s">
        <v>353</v>
      </c>
      <c r="AI60" s="8" t="s">
        <v>381</v>
      </c>
      <c r="AJ60" s="22">
        <v>0.92</v>
      </c>
      <c r="AK60" s="8" t="s">
        <v>152</v>
      </c>
      <c r="AL60" s="22">
        <v>0.15</v>
      </c>
      <c r="AM60" s="22">
        <v>0.08</v>
      </c>
      <c r="AN60" s="8">
        <v>9</v>
      </c>
      <c r="AO60" s="8">
        <v>4965</v>
      </c>
      <c r="AP60" s="8">
        <v>1573389.88</v>
      </c>
      <c r="AQ60" s="24">
        <v>1573389.88</v>
      </c>
      <c r="AR60" s="8">
        <v>10690499.34</v>
      </c>
      <c r="AS60" s="37">
        <v>10690499.34</v>
      </c>
      <c r="AT60" s="8" t="s">
        <v>355</v>
      </c>
      <c r="AU60" s="8" t="s">
        <v>322</v>
      </c>
      <c r="AV60" s="8">
        <v>98.7</v>
      </c>
      <c r="AW60" s="8">
        <v>60</v>
      </c>
      <c r="AX60" s="8" t="s">
        <v>392</v>
      </c>
      <c r="AY60" s="8" t="s">
        <v>206</v>
      </c>
      <c r="AZ60" s="8" t="s">
        <v>332</v>
      </c>
      <c r="BA60" s="21">
        <f>IF(OR(tblsales[[#This Row],[Invoice Value USD]]="",tblsales[[#This Row],[Collected Amount USD]]=""),"",tblsales[[#This Row],[Invoice Value USD]]-tblsales[[#This Row],[Collected Amount USD]])</f>
        <v>1087959.7599999998</v>
      </c>
      <c r="BB60" s="21">
        <f>IF(OR(tblsales[[#This Row],[Contract Value USD]]="",tblsales[[#This Row],[Cost Estimate USD]]=""),"",tblsales[[#This Row],[Contract Value USD]]-tblsales[[#This Row],[Cost Estimate USD]])</f>
        <v>3661800.049999997</v>
      </c>
      <c r="BC60" s="21">
        <f>IF(OR(tblsales[[#This Row],[Contract Value USD]]="",tblsales[[#This Row],[Cost Estimate USD]]=""),"",tblsales[[#This Row],[Contract Value USD]]-tblsales[[#This Row],[Cost Estimate USD]])</f>
        <v>3661800.049999997</v>
      </c>
      <c r="BD60" s="23">
        <f>IF(tblsales[[#This Row],[Invoice Value USD]]="","",tblsales[[#This Row],[Collected Amount USD]]/tblsales[[#This Row],[Invoice Value USD]])</f>
        <v>0.75327514079042568</v>
      </c>
      <c r="BE60" s="11">
        <f>IF(tblsales[[#This Row],[SalesStage]]="Won",1,0)</f>
        <v>0</v>
      </c>
      <c r="BF60" s="21" t="str">
        <f>IF(tblsales[[#This Row],[Win Flag]]=1,"Won","Lost")</f>
        <v>Lost</v>
      </c>
      <c r="BG60" s="8"/>
    </row>
    <row r="61" spans="1:59" x14ac:dyDescent="0.3">
      <c r="A61" s="10" t="s">
        <v>521</v>
      </c>
      <c r="B61" s="9">
        <v>45864</v>
      </c>
      <c r="C61" s="10" t="s">
        <v>235</v>
      </c>
      <c r="D61" s="10" t="s">
        <v>265</v>
      </c>
      <c r="E61" s="10" t="s">
        <v>41</v>
      </c>
      <c r="F61" s="10" t="s">
        <v>350</v>
      </c>
      <c r="G61" s="10" t="s">
        <v>46</v>
      </c>
      <c r="H61" s="10" t="s">
        <v>212</v>
      </c>
      <c r="I61" s="10" t="s">
        <v>246</v>
      </c>
      <c r="J61" s="10" t="s">
        <v>105</v>
      </c>
      <c r="K61" s="10" t="s">
        <v>223</v>
      </c>
      <c r="L61" s="10" t="s">
        <v>522</v>
      </c>
      <c r="M61" s="9">
        <v>45694</v>
      </c>
      <c r="N61" s="9">
        <v>45969</v>
      </c>
      <c r="O61" s="9">
        <v>45943</v>
      </c>
      <c r="P61" s="11">
        <v>39</v>
      </c>
      <c r="Q61" s="12">
        <v>9303305</v>
      </c>
      <c r="R61">
        <v>2533289.9515</v>
      </c>
      <c r="S61" s="22">
        <v>0.28000000000000003</v>
      </c>
      <c r="T61" s="22">
        <v>0.08</v>
      </c>
      <c r="U61" s="12">
        <v>7234249.9699999997</v>
      </c>
      <c r="V61" s="24">
        <v>1969886.2668309999</v>
      </c>
      <c r="W61" s="8">
        <v>4805680.25</v>
      </c>
      <c r="X61" s="24">
        <v>1308586.7320749999</v>
      </c>
      <c r="Y61" s="22">
        <v>0.13</v>
      </c>
      <c r="Z61" s="22">
        <v>0.08</v>
      </c>
      <c r="AA61" s="8" t="s">
        <v>523</v>
      </c>
      <c r="AB61" s="8">
        <v>3858542.43</v>
      </c>
      <c r="AC61" s="24">
        <v>1050681.103689</v>
      </c>
      <c r="AD61" s="8">
        <v>1693861.1</v>
      </c>
      <c r="AE61" s="24">
        <v>461238.37753</v>
      </c>
      <c r="AF61" s="8">
        <v>45</v>
      </c>
      <c r="AG61" s="8">
        <v>15</v>
      </c>
      <c r="AH61" s="8" t="s">
        <v>342</v>
      </c>
      <c r="AI61" s="8" t="s">
        <v>354</v>
      </c>
      <c r="AJ61" s="22">
        <v>0.28000000000000003</v>
      </c>
      <c r="AK61" s="8" t="s">
        <v>153</v>
      </c>
      <c r="AL61" s="22">
        <v>0.1</v>
      </c>
      <c r="AM61" s="22">
        <v>0.01</v>
      </c>
      <c r="AN61" s="8">
        <v>11</v>
      </c>
      <c r="AO61" s="8">
        <v>1428</v>
      </c>
      <c r="AP61" s="8">
        <v>158767.6</v>
      </c>
      <c r="AQ61" s="24">
        <v>43232.417479999996</v>
      </c>
      <c r="AR61" s="8">
        <v>3053101.1</v>
      </c>
      <c r="AS61" s="37">
        <v>831359.42952999996</v>
      </c>
      <c r="AT61" s="8" t="s">
        <v>391</v>
      </c>
      <c r="AU61" s="8" t="s">
        <v>356</v>
      </c>
      <c r="AV61" s="8">
        <v>51</v>
      </c>
      <c r="AW61" s="8">
        <v>36</v>
      </c>
      <c r="AX61" s="8" t="s">
        <v>387</v>
      </c>
      <c r="AY61" s="8" t="s">
        <v>186</v>
      </c>
      <c r="AZ61" s="8" t="s">
        <v>361</v>
      </c>
      <c r="BA61" s="21">
        <f>IF(OR(tblsales[[#This Row],[Invoice Value USD]]="",tblsales[[#This Row],[Collected Amount USD]]=""),"",tblsales[[#This Row],[Invoice Value USD]]-tblsales[[#This Row],[Collected Amount USD]])</f>
        <v>589442.72615900007</v>
      </c>
      <c r="BB61" s="21">
        <f>IF(OR(tblsales[[#This Row],[Contract Value USD]]="",tblsales[[#This Row],[Cost Estimate USD]]=""),"",tblsales[[#This Row],[Contract Value USD]]-tblsales[[#This Row],[Cost Estimate USD]])</f>
        <v>661299.53475599992</v>
      </c>
      <c r="BC61" s="21">
        <f>IF(OR(tblsales[[#This Row],[Contract Value USD]]="",tblsales[[#This Row],[Cost Estimate USD]]=""),"",tblsales[[#This Row],[Contract Value USD]]-tblsales[[#This Row],[Cost Estimate USD]])</f>
        <v>661299.53475599992</v>
      </c>
      <c r="BD61" s="23">
        <f>IF(tblsales[[#This Row],[Invoice Value USD]]="","",tblsales[[#This Row],[Collected Amount USD]]/tblsales[[#This Row],[Invoice Value USD]])</f>
        <v>0.4389898856185443</v>
      </c>
      <c r="BE61" s="11">
        <f>IF(tblsales[[#This Row],[SalesStage]]="Won",1,0)</f>
        <v>0</v>
      </c>
      <c r="BF61" s="21" t="str">
        <f>IF(tblsales[[#This Row],[Win Flag]]=1,"Won","Lost")</f>
        <v>Lost</v>
      </c>
      <c r="BG61" s="8"/>
    </row>
    <row r="62" spans="1:59" x14ac:dyDescent="0.3">
      <c r="A62" s="10" t="s">
        <v>524</v>
      </c>
      <c r="B62" s="9">
        <v>46004</v>
      </c>
      <c r="C62" s="10" t="s">
        <v>230</v>
      </c>
      <c r="D62" s="10" t="s">
        <v>232</v>
      </c>
      <c r="E62" s="10" t="s">
        <v>41</v>
      </c>
      <c r="F62" s="10" t="s">
        <v>350</v>
      </c>
      <c r="G62" s="10" t="s">
        <v>38</v>
      </c>
      <c r="H62" s="10" t="s">
        <v>216</v>
      </c>
      <c r="I62" s="10" t="s">
        <v>213</v>
      </c>
      <c r="J62" s="10" t="s">
        <v>105</v>
      </c>
      <c r="K62" s="10" t="s">
        <v>326</v>
      </c>
      <c r="L62" s="10" t="s">
        <v>525</v>
      </c>
      <c r="M62" s="9">
        <v>45954</v>
      </c>
      <c r="N62" s="9" t="s">
        <v>526</v>
      </c>
      <c r="O62" s="9">
        <v>46067</v>
      </c>
      <c r="P62" s="11">
        <v>50</v>
      </c>
      <c r="Q62" s="12">
        <v>35139417</v>
      </c>
      <c r="R62">
        <v>9652797.8498999998</v>
      </c>
      <c r="S62" s="22">
        <v>0.28999999999999998</v>
      </c>
      <c r="T62" s="22">
        <v>0.05</v>
      </c>
      <c r="U62" s="12">
        <v>26196435.370000001</v>
      </c>
      <c r="V62" s="24">
        <v>7196160.796139</v>
      </c>
      <c r="W62" s="8"/>
      <c r="X62" s="24"/>
      <c r="Y62" s="22">
        <v>0.25</v>
      </c>
      <c r="Z62" s="22">
        <v>0.08</v>
      </c>
      <c r="AA62" s="8" t="s">
        <v>527</v>
      </c>
      <c r="AB62" s="8">
        <v>3588002.3</v>
      </c>
      <c r="AC62" s="24">
        <v>985624.23180999991</v>
      </c>
      <c r="AD62" s="8">
        <v>2544650.61</v>
      </c>
      <c r="AE62" s="24">
        <v>699015.52256700001</v>
      </c>
      <c r="AF62" s="8">
        <v>60</v>
      </c>
      <c r="AG62" s="8">
        <v>144</v>
      </c>
      <c r="AH62" s="8" t="s">
        <v>329</v>
      </c>
      <c r="AI62" s="8" t="s">
        <v>381</v>
      </c>
      <c r="AJ62" s="22">
        <v>0.66</v>
      </c>
      <c r="AK62" s="8" t="s">
        <v>155</v>
      </c>
      <c r="AL62" s="22">
        <v>0.15</v>
      </c>
      <c r="AM62" s="22">
        <v>0.04</v>
      </c>
      <c r="AN62" s="8">
        <v>3</v>
      </c>
      <c r="AO62" s="8">
        <v>2469</v>
      </c>
      <c r="AP62" s="8">
        <v>5588928.2699999996</v>
      </c>
      <c r="AQ62" s="24">
        <v>1535278.5957689998</v>
      </c>
      <c r="AR62" s="8">
        <v>4517689.05</v>
      </c>
      <c r="AS62" s="37">
        <v>1241009.1820350001</v>
      </c>
      <c r="AT62" s="8" t="s">
        <v>385</v>
      </c>
      <c r="AU62" s="8" t="s">
        <v>356</v>
      </c>
      <c r="AV62" s="8">
        <v>84.3</v>
      </c>
      <c r="AW62" s="8"/>
      <c r="AX62" s="8" t="s">
        <v>392</v>
      </c>
      <c r="AY62" s="8" t="s">
        <v>192</v>
      </c>
      <c r="AZ62" s="8" t="s">
        <v>188</v>
      </c>
      <c r="BA62" s="21">
        <f>IF(OR(tblsales[[#This Row],[Invoice Value USD]]="",tblsales[[#This Row],[Collected Amount USD]]=""),"",tblsales[[#This Row],[Invoice Value USD]]-tblsales[[#This Row],[Collected Amount USD]])</f>
        <v>286608.7092429999</v>
      </c>
      <c r="BB62" s="21" t="str">
        <f>IF(OR(tblsales[[#This Row],[Contract Value USD]]="",tblsales[[#This Row],[Cost Estimate USD]]=""),"",tblsales[[#This Row],[Contract Value USD]]-tblsales[[#This Row],[Cost Estimate USD]])</f>
        <v/>
      </c>
      <c r="BC62" s="21" t="str">
        <f>IF(OR(tblsales[[#This Row],[Contract Value USD]]="",tblsales[[#This Row],[Cost Estimate USD]]=""),"",tblsales[[#This Row],[Contract Value USD]]-tblsales[[#This Row],[Cost Estimate USD]])</f>
        <v/>
      </c>
      <c r="BD62" s="23">
        <f>IF(tblsales[[#This Row],[Invoice Value USD]]="","",tblsales[[#This Row],[Collected Amount USD]]/tblsales[[#This Row],[Invoice Value USD]])</f>
        <v>0.70921097514346643</v>
      </c>
      <c r="BE62" s="11">
        <f>IF(tblsales[[#This Row],[SalesStage]]="Won",1,0)</f>
        <v>0</v>
      </c>
      <c r="BF62" s="21" t="str">
        <f>IF(tblsales[[#This Row],[Win Flag]]=1,"Won","Lost")</f>
        <v>Lost</v>
      </c>
      <c r="BG62" s="8"/>
    </row>
    <row r="63" spans="1:59" x14ac:dyDescent="0.3">
      <c r="A63" s="10" t="s">
        <v>528</v>
      </c>
      <c r="B63" s="9">
        <v>45771</v>
      </c>
      <c r="C63" s="10" t="s">
        <v>267</v>
      </c>
      <c r="D63" s="10" t="s">
        <v>245</v>
      </c>
      <c r="E63" s="10" t="s">
        <v>36</v>
      </c>
      <c r="F63" s="10" t="s">
        <v>339</v>
      </c>
      <c r="G63" s="10" t="s">
        <v>62</v>
      </c>
      <c r="H63" s="10" t="s">
        <v>263</v>
      </c>
      <c r="I63" s="10" t="s">
        <v>191</v>
      </c>
      <c r="J63" s="10" t="s">
        <v>115</v>
      </c>
      <c r="K63" s="10" t="s">
        <v>326</v>
      </c>
      <c r="L63" s="10" t="s">
        <v>529</v>
      </c>
      <c r="M63" s="9">
        <v>45659</v>
      </c>
      <c r="N63" s="9"/>
      <c r="O63" s="9">
        <v>45824</v>
      </c>
      <c r="P63" s="11">
        <v>43</v>
      </c>
      <c r="Q63" s="12">
        <v>24042665</v>
      </c>
      <c r="R63">
        <v>24042665</v>
      </c>
      <c r="S63" s="22">
        <v>0.09</v>
      </c>
      <c r="T63" s="22">
        <v>0.17</v>
      </c>
      <c r="U63" s="12">
        <v>25598225.43</v>
      </c>
      <c r="V63" s="24">
        <v>25598225.43</v>
      </c>
      <c r="W63" s="8">
        <v>17765788.48</v>
      </c>
      <c r="X63" s="24">
        <v>17765788.48</v>
      </c>
      <c r="Y63" s="22">
        <v>0.21</v>
      </c>
      <c r="Z63" s="22">
        <v>0.08</v>
      </c>
      <c r="AA63" s="8" t="s">
        <v>530</v>
      </c>
      <c r="AB63" s="8">
        <v>10428760.119999999</v>
      </c>
      <c r="AC63" s="24">
        <v>10428760.119999999</v>
      </c>
      <c r="AD63" s="8">
        <v>10527570.949999999</v>
      </c>
      <c r="AE63" s="24">
        <v>10527570.949999999</v>
      </c>
      <c r="AF63" s="8">
        <v>60</v>
      </c>
      <c r="AG63" s="8">
        <v>67</v>
      </c>
      <c r="AH63" s="8" t="s">
        <v>347</v>
      </c>
      <c r="AI63" s="8" t="s">
        <v>381</v>
      </c>
      <c r="AJ63" s="22">
        <v>0.6</v>
      </c>
      <c r="AK63" s="8" t="s">
        <v>152</v>
      </c>
      <c r="AL63" s="22">
        <v>0.1</v>
      </c>
      <c r="AM63" s="22">
        <v>0.09</v>
      </c>
      <c r="AN63" s="8">
        <v>15</v>
      </c>
      <c r="AO63" s="8">
        <v>3527</v>
      </c>
      <c r="AP63" s="8">
        <v>6195420.8300000001</v>
      </c>
      <c r="AQ63" s="24">
        <v>6195420.8300000001</v>
      </c>
      <c r="AR63" s="8">
        <v>2946103.03</v>
      </c>
      <c r="AS63" s="37">
        <v>2946103.03</v>
      </c>
      <c r="AT63" s="8" t="s">
        <v>343</v>
      </c>
      <c r="AU63" s="8" t="s">
        <v>332</v>
      </c>
      <c r="AV63" s="8">
        <v>88.2</v>
      </c>
      <c r="AW63" s="8">
        <v>36</v>
      </c>
      <c r="AX63" s="8" t="s">
        <v>392</v>
      </c>
      <c r="AY63" s="8" t="s">
        <v>224</v>
      </c>
      <c r="AZ63" s="8" t="s">
        <v>332</v>
      </c>
      <c r="BA63" s="21">
        <f>IF(OR(tblsales[[#This Row],[Invoice Value USD]]="",tblsales[[#This Row],[Collected Amount USD]]=""),"",tblsales[[#This Row],[Invoice Value USD]]-tblsales[[#This Row],[Collected Amount USD]])</f>
        <v>-98810.830000000075</v>
      </c>
      <c r="BB63" s="21">
        <f>IF(OR(tblsales[[#This Row],[Contract Value USD]]="",tblsales[[#This Row],[Cost Estimate USD]]=""),"",tblsales[[#This Row],[Contract Value USD]]-tblsales[[#This Row],[Cost Estimate USD]])</f>
        <v>7832436.9499999993</v>
      </c>
      <c r="BC63" s="21">
        <f>IF(OR(tblsales[[#This Row],[Contract Value USD]]="",tblsales[[#This Row],[Cost Estimate USD]]=""),"",tblsales[[#This Row],[Contract Value USD]]-tblsales[[#This Row],[Cost Estimate USD]])</f>
        <v>7832436.9499999993</v>
      </c>
      <c r="BD63" s="23">
        <f>IF(tblsales[[#This Row],[Invoice Value USD]]="","",tblsales[[#This Row],[Collected Amount USD]]/tblsales[[#This Row],[Invoice Value USD]])</f>
        <v>1.0094748396609969</v>
      </c>
      <c r="BE63" s="11">
        <f>IF(tblsales[[#This Row],[SalesStage]]="Won",1,0)</f>
        <v>0</v>
      </c>
      <c r="BF63" s="21" t="str">
        <f>IF(tblsales[[#This Row],[Win Flag]]=1,"Won","Lost")</f>
        <v>Lost</v>
      </c>
      <c r="BG63" s="8"/>
    </row>
    <row r="64" spans="1:59" x14ac:dyDescent="0.3">
      <c r="A64" s="10" t="s">
        <v>531</v>
      </c>
      <c r="B64" s="9">
        <v>45773</v>
      </c>
      <c r="C64" s="10" t="s">
        <v>284</v>
      </c>
      <c r="D64" s="10" t="s">
        <v>190</v>
      </c>
      <c r="E64" s="10" t="s">
        <v>20</v>
      </c>
      <c r="F64" s="10" t="s">
        <v>31</v>
      </c>
      <c r="G64" s="10" t="s">
        <v>62</v>
      </c>
      <c r="H64" s="10" t="s">
        <v>236</v>
      </c>
      <c r="I64" s="10" t="s">
        <v>213</v>
      </c>
      <c r="J64" s="10" t="s">
        <v>136</v>
      </c>
      <c r="K64" s="10" t="s">
        <v>204</v>
      </c>
      <c r="L64" s="10" t="s">
        <v>532</v>
      </c>
      <c r="M64" s="9">
        <v>45736</v>
      </c>
      <c r="N64" s="9">
        <v>45813</v>
      </c>
      <c r="O64" s="9">
        <v>45886</v>
      </c>
      <c r="P64" s="11">
        <v>43</v>
      </c>
      <c r="Q64" s="12">
        <v>46741657</v>
      </c>
      <c r="R64">
        <v>46741657</v>
      </c>
      <c r="S64" s="22">
        <v>0.31</v>
      </c>
      <c r="T64" s="22">
        <v>0.03</v>
      </c>
      <c r="U64" s="12">
        <v>33219295.629999999</v>
      </c>
      <c r="V64" s="24">
        <v>33219295.629999999</v>
      </c>
      <c r="W64" s="8">
        <v>25260617.789999999</v>
      </c>
      <c r="X64" s="24">
        <v>25260617.789999999</v>
      </c>
      <c r="Y64" s="22"/>
      <c r="Z64" s="22">
        <v>0.2</v>
      </c>
      <c r="AA64" s="8" t="s">
        <v>533</v>
      </c>
      <c r="AB64" s="8">
        <v>4561075.3899999997</v>
      </c>
      <c r="AC64" s="24">
        <v>4561075.3899999997</v>
      </c>
      <c r="AD64" s="8">
        <v>3204927.12</v>
      </c>
      <c r="AE64" s="24">
        <v>3204927.12</v>
      </c>
      <c r="AF64" s="8">
        <v>60</v>
      </c>
      <c r="AG64" s="8">
        <v>43</v>
      </c>
      <c r="AH64" s="8" t="s">
        <v>342</v>
      </c>
      <c r="AI64" s="8" t="s">
        <v>320</v>
      </c>
      <c r="AJ64" s="22">
        <v>0.11</v>
      </c>
      <c r="AK64" s="8" t="s">
        <v>152</v>
      </c>
      <c r="AL64" s="22">
        <v>0.05</v>
      </c>
      <c r="AM64" s="22">
        <v>0.04</v>
      </c>
      <c r="AN64" s="8">
        <v>9</v>
      </c>
      <c r="AO64" s="8">
        <v>1022</v>
      </c>
      <c r="AP64" s="8">
        <v>4288981.72</v>
      </c>
      <c r="AQ64" s="24">
        <v>4288981.72</v>
      </c>
      <c r="AR64" s="8">
        <v>12559445.380000001</v>
      </c>
      <c r="AS64" s="37">
        <v>12559445.380000001</v>
      </c>
      <c r="AT64" s="8" t="s">
        <v>391</v>
      </c>
      <c r="AU64" s="8" t="s">
        <v>356</v>
      </c>
      <c r="AV64" s="8">
        <v>91.8</v>
      </c>
      <c r="AW64" s="8">
        <v>36</v>
      </c>
      <c r="AX64" s="8" t="s">
        <v>332</v>
      </c>
      <c r="AY64" s="8" t="s">
        <v>224</v>
      </c>
      <c r="AZ64" s="8" t="s">
        <v>361</v>
      </c>
      <c r="BA64" s="21">
        <f>IF(OR(tblsales[[#This Row],[Invoice Value USD]]="",tblsales[[#This Row],[Collected Amount USD]]=""),"",tblsales[[#This Row],[Invoice Value USD]]-tblsales[[#This Row],[Collected Amount USD]])</f>
        <v>1356148.2699999996</v>
      </c>
      <c r="BB64" s="21">
        <f>IF(OR(tblsales[[#This Row],[Contract Value USD]]="",tblsales[[#This Row],[Cost Estimate USD]]=""),"",tblsales[[#This Row],[Contract Value USD]]-tblsales[[#This Row],[Cost Estimate USD]])</f>
        <v>7958677.8399999999</v>
      </c>
      <c r="BC64" s="21">
        <f>IF(OR(tblsales[[#This Row],[Contract Value USD]]="",tblsales[[#This Row],[Cost Estimate USD]]=""),"",tblsales[[#This Row],[Contract Value USD]]-tblsales[[#This Row],[Cost Estimate USD]])</f>
        <v>7958677.8399999999</v>
      </c>
      <c r="BD64" s="23">
        <f>IF(tblsales[[#This Row],[Invoice Value USD]]="","",tblsales[[#This Row],[Collected Amount USD]]/tblsales[[#This Row],[Invoice Value USD]])</f>
        <v>0.7026691834620169</v>
      </c>
      <c r="BE64" s="11">
        <f>IF(tblsales[[#This Row],[SalesStage]]="Won",1,0)</f>
        <v>1</v>
      </c>
      <c r="BF64" s="21" t="str">
        <f>IF(tblsales[[#This Row],[Win Flag]]=1,"Won","Lost")</f>
        <v>Won</v>
      </c>
      <c r="BG64" s="8"/>
    </row>
    <row r="65" spans="1:59" x14ac:dyDescent="0.3">
      <c r="A65" s="10" t="s">
        <v>534</v>
      </c>
      <c r="B65" s="9">
        <v>45872</v>
      </c>
      <c r="C65" s="10" t="s">
        <v>247</v>
      </c>
      <c r="D65" s="10" t="s">
        <v>202</v>
      </c>
      <c r="E65" s="10" t="s">
        <v>52</v>
      </c>
      <c r="F65" s="10" t="s">
        <v>332</v>
      </c>
      <c r="G65" s="10" t="s">
        <v>38</v>
      </c>
      <c r="H65" s="10" t="s">
        <v>236</v>
      </c>
      <c r="I65" s="10" t="s">
        <v>198</v>
      </c>
      <c r="J65" s="10" t="s">
        <v>119</v>
      </c>
      <c r="K65" s="10" t="s">
        <v>333</v>
      </c>
      <c r="L65" s="10" t="s">
        <v>535</v>
      </c>
      <c r="M65" s="9">
        <v>45784</v>
      </c>
      <c r="N65" s="9">
        <v>45846</v>
      </c>
      <c r="O65" s="9">
        <v>45984</v>
      </c>
      <c r="P65" s="11">
        <v>21</v>
      </c>
      <c r="Q65" s="12">
        <v>7240675</v>
      </c>
      <c r="R65">
        <v>1971635.8025</v>
      </c>
      <c r="S65" s="22">
        <v>0.18</v>
      </c>
      <c r="T65" s="22">
        <v>0.1</v>
      </c>
      <c r="U65" s="12">
        <v>6531088.8499999996</v>
      </c>
      <c r="V65" s="24">
        <v>1778415.4938549998</v>
      </c>
      <c r="W65" s="8">
        <v>4016776.77</v>
      </c>
      <c r="X65" s="24">
        <v>1093768.3144709999</v>
      </c>
      <c r="Y65" s="22">
        <v>0.36</v>
      </c>
      <c r="Z65" s="22">
        <v>0.18</v>
      </c>
      <c r="AA65" s="8" t="s">
        <v>536</v>
      </c>
      <c r="AB65" s="8"/>
      <c r="AC65" s="24"/>
      <c r="AD65" s="8">
        <v>1759105.52</v>
      </c>
      <c r="AE65" s="24">
        <v>479004.43309599999</v>
      </c>
      <c r="AF65" s="8">
        <v>90</v>
      </c>
      <c r="AG65" s="8">
        <v>51</v>
      </c>
      <c r="AH65" s="8" t="s">
        <v>376</v>
      </c>
      <c r="AI65" s="8" t="s">
        <v>336</v>
      </c>
      <c r="AJ65" s="22">
        <v>0.62</v>
      </c>
      <c r="AK65" s="8" t="s">
        <v>153</v>
      </c>
      <c r="AL65" s="22">
        <v>0.1</v>
      </c>
      <c r="AM65" s="22">
        <v>0.08</v>
      </c>
      <c r="AN65" s="8">
        <v>6</v>
      </c>
      <c r="AO65" s="8">
        <v>385</v>
      </c>
      <c r="AP65" s="8"/>
      <c r="AQ65" s="24"/>
      <c r="AR65" s="8">
        <v>2343873.58</v>
      </c>
      <c r="AS65" s="37">
        <v>638236.77583399997</v>
      </c>
      <c r="AT65" s="8" t="s">
        <v>321</v>
      </c>
      <c r="AU65" s="8" t="s">
        <v>386</v>
      </c>
      <c r="AV65" s="8">
        <v>65.599999999999994</v>
      </c>
      <c r="AW65" s="8">
        <v>48</v>
      </c>
      <c r="AX65" s="8" t="s">
        <v>337</v>
      </c>
      <c r="AY65" s="8" t="s">
        <v>192</v>
      </c>
      <c r="AZ65" s="8" t="s">
        <v>332</v>
      </c>
      <c r="BA65" s="21" t="str">
        <f>IF(OR(tblsales[[#This Row],[Invoice Value USD]]="",tblsales[[#This Row],[Collected Amount USD]]=""),"",tblsales[[#This Row],[Invoice Value USD]]-tblsales[[#This Row],[Collected Amount USD]])</f>
        <v/>
      </c>
      <c r="BB65" s="21">
        <f>IF(OR(tblsales[[#This Row],[Contract Value USD]]="",tblsales[[#This Row],[Cost Estimate USD]]=""),"",tblsales[[#This Row],[Contract Value USD]]-tblsales[[#This Row],[Cost Estimate USD]])</f>
        <v>684647.1793839999</v>
      </c>
      <c r="BC65" s="21">
        <f>IF(OR(tblsales[[#This Row],[Contract Value USD]]="",tblsales[[#This Row],[Cost Estimate USD]]=""),"",tblsales[[#This Row],[Contract Value USD]]-tblsales[[#This Row],[Cost Estimate USD]])</f>
        <v>684647.1793839999</v>
      </c>
      <c r="BD65" s="23" t="str">
        <f>IF(tblsales[[#This Row],[Invoice Value USD]]="","",tblsales[[#This Row],[Collected Amount USD]]/tblsales[[#This Row],[Invoice Value USD]])</f>
        <v/>
      </c>
      <c r="BE65" s="11">
        <f>IF(tblsales[[#This Row],[SalesStage]]="Won",1,0)</f>
        <v>0</v>
      </c>
      <c r="BF65" s="21" t="str">
        <f>IF(tblsales[[#This Row],[Win Flag]]=1,"Won","Lost")</f>
        <v>Lost</v>
      </c>
      <c r="BG65" s="8"/>
    </row>
    <row r="66" spans="1:59" x14ac:dyDescent="0.3">
      <c r="A66" s="10" t="s">
        <v>537</v>
      </c>
      <c r="B66" s="9">
        <v>45863</v>
      </c>
      <c r="C66" s="10" t="s">
        <v>273</v>
      </c>
      <c r="D66" s="10" t="s">
        <v>190</v>
      </c>
      <c r="E66" s="10" t="s">
        <v>332</v>
      </c>
      <c r="F66" s="10" t="s">
        <v>350</v>
      </c>
      <c r="G66" s="10" t="s">
        <v>50</v>
      </c>
      <c r="H66" s="10" t="s">
        <v>263</v>
      </c>
      <c r="I66" s="10" t="s">
        <v>246</v>
      </c>
      <c r="J66" s="10" t="s">
        <v>105</v>
      </c>
      <c r="K66" s="10" t="s">
        <v>333</v>
      </c>
      <c r="L66" s="10" t="s">
        <v>538</v>
      </c>
      <c r="M66" s="9">
        <v>45664</v>
      </c>
      <c r="N66" s="9">
        <v>45867</v>
      </c>
      <c r="O66" s="9">
        <v>45894</v>
      </c>
      <c r="P66" s="11">
        <v>45</v>
      </c>
      <c r="Q66" s="12">
        <v>27060337</v>
      </c>
      <c r="R66">
        <v>7368529.7650999995</v>
      </c>
      <c r="S66" s="22">
        <v>0.34</v>
      </c>
      <c r="T66" s="22">
        <v>0.02</v>
      </c>
      <c r="U66" s="12">
        <v>18217018.870000001</v>
      </c>
      <c r="V66" s="24">
        <v>4960494.2383009996</v>
      </c>
      <c r="W66" s="8">
        <v>13767145.92</v>
      </c>
      <c r="X66" s="24">
        <v>3748793.8340159999</v>
      </c>
      <c r="Y66" s="22">
        <v>0.27</v>
      </c>
      <c r="Z66" s="22">
        <v>0.11</v>
      </c>
      <c r="AA66" s="8" t="s">
        <v>539</v>
      </c>
      <c r="AB66" s="8">
        <v>6883449.3499999996</v>
      </c>
      <c r="AC66" s="24">
        <v>1874363.2580049997</v>
      </c>
      <c r="AD66" s="8">
        <v>6749478.5800000001</v>
      </c>
      <c r="AE66" s="24">
        <v>1837883.017334</v>
      </c>
      <c r="AF66" s="8">
        <v>90</v>
      </c>
      <c r="AG66" s="8">
        <v>167</v>
      </c>
      <c r="AH66" s="8" t="s">
        <v>342</v>
      </c>
      <c r="AI66" s="8" t="s">
        <v>406</v>
      </c>
      <c r="AJ66" s="22">
        <v>0.88</v>
      </c>
      <c r="AK66" s="8" t="s">
        <v>153</v>
      </c>
      <c r="AL66" s="22">
        <v>0.05</v>
      </c>
      <c r="AM66" s="22">
        <v>0.02</v>
      </c>
      <c r="AN66" s="8">
        <v>1</v>
      </c>
      <c r="AO66" s="8">
        <v>4583</v>
      </c>
      <c r="AP66" s="8">
        <v>2932397.58</v>
      </c>
      <c r="AQ66" s="24">
        <v>798491.86103399994</v>
      </c>
      <c r="AR66" s="8"/>
      <c r="AS66" s="37"/>
      <c r="AT66" s="8" t="s">
        <v>391</v>
      </c>
      <c r="AU66" s="8" t="s">
        <v>356</v>
      </c>
      <c r="AV66" s="8">
        <v>67.3</v>
      </c>
      <c r="AW66" s="8">
        <v>60</v>
      </c>
      <c r="AX66" s="8" t="s">
        <v>323</v>
      </c>
      <c r="AY66" s="8" t="s">
        <v>224</v>
      </c>
      <c r="AZ66" s="8" t="s">
        <v>332</v>
      </c>
      <c r="BA66" s="21">
        <f>IF(OR(tblsales[[#This Row],[Invoice Value USD]]="",tblsales[[#This Row],[Collected Amount USD]]=""),"",tblsales[[#This Row],[Invoice Value USD]]-tblsales[[#This Row],[Collected Amount USD]])</f>
        <v>36480.240670999745</v>
      </c>
      <c r="BB66" s="21">
        <f>IF(OR(tblsales[[#This Row],[Contract Value USD]]="",tblsales[[#This Row],[Cost Estimate USD]]=""),"",tblsales[[#This Row],[Contract Value USD]]-tblsales[[#This Row],[Cost Estimate USD]])</f>
        <v>1211700.4042849997</v>
      </c>
      <c r="BC66" s="21">
        <f>IF(OR(tblsales[[#This Row],[Contract Value USD]]="",tblsales[[#This Row],[Cost Estimate USD]]=""),"",tblsales[[#This Row],[Contract Value USD]]-tblsales[[#This Row],[Cost Estimate USD]])</f>
        <v>1211700.4042849997</v>
      </c>
      <c r="BD66" s="23">
        <f>IF(tblsales[[#This Row],[Invoice Value USD]]="","",tblsales[[#This Row],[Collected Amount USD]]/tblsales[[#This Row],[Invoice Value USD]])</f>
        <v>0.98053726217946258</v>
      </c>
      <c r="BE66" s="11">
        <f>IF(tblsales[[#This Row],[SalesStage]]="Won",1,0)</f>
        <v>0</v>
      </c>
      <c r="BF66" s="21" t="str">
        <f>IF(tblsales[[#This Row],[Win Flag]]=1,"Won","Lost")</f>
        <v>Lost</v>
      </c>
      <c r="BG66" s="8"/>
    </row>
    <row r="67" spans="1:59" x14ac:dyDescent="0.3">
      <c r="A67" s="10" t="s">
        <v>540</v>
      </c>
      <c r="B67" s="9">
        <v>45827</v>
      </c>
      <c r="C67" s="10" t="s">
        <v>269</v>
      </c>
      <c r="D67" s="10" t="s">
        <v>332</v>
      </c>
      <c r="E67" s="10" t="s">
        <v>41</v>
      </c>
      <c r="F67" s="10" t="s">
        <v>363</v>
      </c>
      <c r="G67" s="10" t="s">
        <v>66</v>
      </c>
      <c r="H67" s="10" t="s">
        <v>332</v>
      </c>
      <c r="I67" s="10" t="s">
        <v>203</v>
      </c>
      <c r="J67" s="10" t="s">
        <v>130</v>
      </c>
      <c r="K67" s="10" t="s">
        <v>221</v>
      </c>
      <c r="L67" s="10" t="s">
        <v>541</v>
      </c>
      <c r="M67" s="9">
        <v>45759</v>
      </c>
      <c r="N67" s="9">
        <v>45830</v>
      </c>
      <c r="O67" s="9">
        <v>45899</v>
      </c>
      <c r="P67" s="11">
        <v>26</v>
      </c>
      <c r="Q67" s="12"/>
      <c r="S67" s="22">
        <v>0.03</v>
      </c>
      <c r="T67" s="22">
        <v>0.01</v>
      </c>
      <c r="U67" s="12">
        <v>18483812.780000001</v>
      </c>
      <c r="V67" s="24">
        <v>5033142.2199940002</v>
      </c>
      <c r="W67" s="8">
        <v>11722563.59</v>
      </c>
      <c r="X67" s="24">
        <v>3192054.0655569998</v>
      </c>
      <c r="Y67" s="22">
        <v>0.13</v>
      </c>
      <c r="Z67" s="22">
        <v>0.1</v>
      </c>
      <c r="AA67" s="8" t="s">
        <v>542</v>
      </c>
      <c r="AB67" s="8">
        <v>11031503.92</v>
      </c>
      <c r="AC67" s="24">
        <v>3003878.5174159999</v>
      </c>
      <c r="AD67" s="8">
        <v>6868452.5599999996</v>
      </c>
      <c r="AE67" s="24">
        <v>1870279.6320879997</v>
      </c>
      <c r="AF67" s="8">
        <v>45</v>
      </c>
      <c r="AG67" s="8">
        <v>21</v>
      </c>
      <c r="AH67" s="8" t="s">
        <v>376</v>
      </c>
      <c r="AI67" s="8" t="s">
        <v>226</v>
      </c>
      <c r="AJ67" s="22">
        <v>0.48</v>
      </c>
      <c r="AK67" s="8" t="s">
        <v>153</v>
      </c>
      <c r="AL67" s="22">
        <v>0.15</v>
      </c>
      <c r="AM67" s="22">
        <v>0.05</v>
      </c>
      <c r="AN67" s="8">
        <v>15</v>
      </c>
      <c r="AO67" s="8">
        <v>385</v>
      </c>
      <c r="AP67" s="8">
        <v>2463099.15</v>
      </c>
      <c r="AQ67" s="24">
        <v>670701.89854499989</v>
      </c>
      <c r="AR67" s="8">
        <v>7338154.1900000004</v>
      </c>
      <c r="AS67" s="37">
        <v>1998179.3859369999</v>
      </c>
      <c r="AT67" s="8" t="s">
        <v>355</v>
      </c>
      <c r="AU67" s="8" t="s">
        <v>332</v>
      </c>
      <c r="AV67" s="8">
        <v>90</v>
      </c>
      <c r="AW67" s="8">
        <v>36</v>
      </c>
      <c r="AX67" s="8" t="s">
        <v>387</v>
      </c>
      <c r="AY67" s="8" t="s">
        <v>224</v>
      </c>
      <c r="AZ67" s="8" t="s">
        <v>357</v>
      </c>
      <c r="BA67" s="21">
        <f>IF(OR(tblsales[[#This Row],[Invoice Value USD]]="",tblsales[[#This Row],[Collected Amount USD]]=""),"",tblsales[[#This Row],[Invoice Value USD]]-tblsales[[#This Row],[Collected Amount USD]])</f>
        <v>1133598.8853280002</v>
      </c>
      <c r="BB67" s="21">
        <f>IF(OR(tblsales[[#This Row],[Contract Value USD]]="",tblsales[[#This Row],[Cost Estimate USD]]=""),"",tblsales[[#This Row],[Contract Value USD]]-tblsales[[#This Row],[Cost Estimate USD]])</f>
        <v>1841088.1544370004</v>
      </c>
      <c r="BC67" s="21">
        <f>IF(OR(tblsales[[#This Row],[Contract Value USD]]="",tblsales[[#This Row],[Cost Estimate USD]]=""),"",tblsales[[#This Row],[Contract Value USD]]-tblsales[[#This Row],[Cost Estimate USD]])</f>
        <v>1841088.1544370004</v>
      </c>
      <c r="BD67" s="23">
        <f>IF(tblsales[[#This Row],[Invoice Value USD]]="","",tblsales[[#This Row],[Collected Amount USD]]/tblsales[[#This Row],[Invoice Value USD]])</f>
        <v>0.6226215944634319</v>
      </c>
      <c r="BE67" s="11">
        <f>IF(tblsales[[#This Row],[SalesStage]]="Won",1,0)</f>
        <v>0</v>
      </c>
      <c r="BF67" s="21" t="str">
        <f>IF(tblsales[[#This Row],[Win Flag]]=1,"Won","Lost")</f>
        <v>Lost</v>
      </c>
      <c r="BG67" s="8"/>
    </row>
    <row r="68" spans="1:59" x14ac:dyDescent="0.3">
      <c r="A68" s="10" t="s">
        <v>543</v>
      </c>
      <c r="B68" s="9">
        <v>46024</v>
      </c>
      <c r="C68" s="10" t="s">
        <v>285</v>
      </c>
      <c r="D68" s="10" t="s">
        <v>253</v>
      </c>
      <c r="E68" s="10" t="s">
        <v>41</v>
      </c>
      <c r="F68" s="10" t="s">
        <v>363</v>
      </c>
      <c r="G68" s="10" t="s">
        <v>332</v>
      </c>
      <c r="H68" s="10" t="s">
        <v>332</v>
      </c>
      <c r="I68" s="10" t="s">
        <v>198</v>
      </c>
      <c r="J68" s="10" t="s">
        <v>130</v>
      </c>
      <c r="K68" s="10" t="s">
        <v>326</v>
      </c>
      <c r="L68" s="10" t="s">
        <v>544</v>
      </c>
      <c r="M68" s="9">
        <v>45938</v>
      </c>
      <c r="N68" s="9">
        <v>46048</v>
      </c>
      <c r="O68" s="9">
        <v>46142</v>
      </c>
      <c r="P68" s="11">
        <v>24</v>
      </c>
      <c r="Q68" s="12">
        <v>22878336</v>
      </c>
      <c r="R68">
        <v>6229770.8927999996</v>
      </c>
      <c r="S68" s="22">
        <v>0.05</v>
      </c>
      <c r="T68" s="22">
        <v>0.05</v>
      </c>
      <c r="U68" s="12">
        <v>22821140.16</v>
      </c>
      <c r="V68" s="24">
        <v>6214196.4655679995</v>
      </c>
      <c r="W68" s="8">
        <v>16793020.690000001</v>
      </c>
      <c r="X68" s="24">
        <v>4572739.5338869998</v>
      </c>
      <c r="Y68" s="22">
        <v>0.19</v>
      </c>
      <c r="Z68" s="22">
        <v>0.16</v>
      </c>
      <c r="AA68" s="8" t="s">
        <v>545</v>
      </c>
      <c r="AB68" s="8">
        <v>19115729.850000001</v>
      </c>
      <c r="AC68" s="24">
        <v>5205213.2381549999</v>
      </c>
      <c r="AD68" s="8">
        <v>18541741.640000001</v>
      </c>
      <c r="AE68" s="24">
        <v>5048916.2485720003</v>
      </c>
      <c r="AF68" s="8">
        <v>120</v>
      </c>
      <c r="AG68" s="8">
        <v>32</v>
      </c>
      <c r="AH68" s="8" t="s">
        <v>332</v>
      </c>
      <c r="AI68" s="8" t="s">
        <v>381</v>
      </c>
      <c r="AJ68" s="22">
        <v>0.78</v>
      </c>
      <c r="AK68" s="8" t="s">
        <v>153</v>
      </c>
      <c r="AL68" s="22">
        <v>0.1</v>
      </c>
      <c r="AM68" s="22">
        <v>0.05</v>
      </c>
      <c r="AN68" s="8">
        <v>4</v>
      </c>
      <c r="AO68" s="8">
        <v>4544</v>
      </c>
      <c r="AP68" s="8">
        <v>1510861.92</v>
      </c>
      <c r="AQ68" s="24">
        <v>411407.70081599994</v>
      </c>
      <c r="AR68" s="8">
        <v>4934656.17</v>
      </c>
      <c r="AS68" s="37">
        <v>1343706.875091</v>
      </c>
      <c r="AT68" s="8" t="s">
        <v>385</v>
      </c>
      <c r="AU68" s="8" t="s">
        <v>356</v>
      </c>
      <c r="AV68" s="8">
        <v>92.2</v>
      </c>
      <c r="AW68" s="8">
        <v>24</v>
      </c>
      <c r="AX68" s="8" t="s">
        <v>332</v>
      </c>
      <c r="AY68" s="8" t="s">
        <v>192</v>
      </c>
      <c r="AZ68" s="8" t="s">
        <v>324</v>
      </c>
      <c r="BA68" s="21">
        <f>IF(OR(tblsales[[#This Row],[Invoice Value USD]]="",tblsales[[#This Row],[Collected Amount USD]]=""),"",tblsales[[#This Row],[Invoice Value USD]]-tblsales[[#This Row],[Collected Amount USD]])</f>
        <v>156296.98958299961</v>
      </c>
      <c r="BB68" s="21">
        <f>IF(OR(tblsales[[#This Row],[Contract Value USD]]="",tblsales[[#This Row],[Cost Estimate USD]]=""),"",tblsales[[#This Row],[Contract Value USD]]-tblsales[[#This Row],[Cost Estimate USD]])</f>
        <v>1641456.9316809997</v>
      </c>
      <c r="BC68" s="21">
        <f>IF(OR(tblsales[[#This Row],[Contract Value USD]]="",tblsales[[#This Row],[Cost Estimate USD]]=""),"",tblsales[[#This Row],[Contract Value USD]]-tblsales[[#This Row],[Cost Estimate USD]])</f>
        <v>1641456.9316809997</v>
      </c>
      <c r="BD68" s="23">
        <f>IF(tblsales[[#This Row],[Invoice Value USD]]="","",tblsales[[#This Row],[Collected Amount USD]]/tblsales[[#This Row],[Invoice Value USD]])</f>
        <v>0.96997299007131565</v>
      </c>
      <c r="BE68" s="11">
        <f>IF(tblsales[[#This Row],[SalesStage]]="Won",1,0)</f>
        <v>0</v>
      </c>
      <c r="BF68" s="21" t="str">
        <f>IF(tblsales[[#This Row],[Win Flag]]=1,"Won","Lost")</f>
        <v>Lost</v>
      </c>
      <c r="BG68" s="8"/>
    </row>
    <row r="69" spans="1:59" x14ac:dyDescent="0.3">
      <c r="A69" s="10" t="s">
        <v>546</v>
      </c>
      <c r="B69" s="9">
        <v>46047</v>
      </c>
      <c r="C69" s="10" t="s">
        <v>278</v>
      </c>
      <c r="D69" s="10" t="s">
        <v>232</v>
      </c>
      <c r="E69" s="10" t="s">
        <v>41</v>
      </c>
      <c r="F69" s="10" t="s">
        <v>350</v>
      </c>
      <c r="G69" s="10" t="s">
        <v>16</v>
      </c>
      <c r="H69" s="10" t="s">
        <v>216</v>
      </c>
      <c r="I69" s="10" t="s">
        <v>198</v>
      </c>
      <c r="J69" s="10" t="s">
        <v>105</v>
      </c>
      <c r="K69" s="10" t="s">
        <v>184</v>
      </c>
      <c r="L69" s="10" t="s">
        <v>547</v>
      </c>
      <c r="M69" s="9">
        <v>45669</v>
      </c>
      <c r="N69" s="9"/>
      <c r="O69" s="9">
        <v>46148</v>
      </c>
      <c r="P69" s="11">
        <v>38</v>
      </c>
      <c r="Q69" s="12">
        <v>23838278</v>
      </c>
      <c r="R69">
        <v>6357668.7425999995</v>
      </c>
      <c r="S69" s="22">
        <v>0.2</v>
      </c>
      <c r="T69" s="22">
        <v>0.1</v>
      </c>
      <c r="U69" s="12">
        <v>20977684.640000001</v>
      </c>
      <c r="V69" s="24">
        <v>5594748.4934879998</v>
      </c>
      <c r="W69" s="8">
        <v>15802000.869999999</v>
      </c>
      <c r="X69" s="24">
        <v>4214393.6320289997</v>
      </c>
      <c r="Y69" s="22">
        <v>0.28999999999999998</v>
      </c>
      <c r="Z69" s="22">
        <v>0.15</v>
      </c>
      <c r="AA69" s="8" t="s">
        <v>548</v>
      </c>
      <c r="AB69" s="8">
        <v>17857728.210000001</v>
      </c>
      <c r="AC69" s="24">
        <v>4762656.1136070006</v>
      </c>
      <c r="AD69" s="8">
        <v>15502274.310000001</v>
      </c>
      <c r="AE69" s="24">
        <v>4134456.5584769999</v>
      </c>
      <c r="AF69" s="8">
        <v>120</v>
      </c>
      <c r="AG69" s="8">
        <v>74</v>
      </c>
      <c r="AH69" s="8" t="s">
        <v>376</v>
      </c>
      <c r="AI69" s="8" t="s">
        <v>406</v>
      </c>
      <c r="AJ69" s="22">
        <v>0.87</v>
      </c>
      <c r="AK69" s="8" t="s">
        <v>162</v>
      </c>
      <c r="AL69" s="22">
        <v>0.1</v>
      </c>
      <c r="AM69" s="22">
        <v>0.08</v>
      </c>
      <c r="AN69" s="8">
        <v>3</v>
      </c>
      <c r="AO69" s="8">
        <v>2068</v>
      </c>
      <c r="AP69" s="8">
        <v>4611639.6100000003</v>
      </c>
      <c r="AQ69" s="24">
        <v>1229924.2839870001</v>
      </c>
      <c r="AR69" s="8">
        <v>5815549.9900000002</v>
      </c>
      <c r="AS69" s="37">
        <v>1551007.182333</v>
      </c>
      <c r="AT69" s="8" t="s">
        <v>73</v>
      </c>
      <c r="AU69" s="8" t="s">
        <v>321</v>
      </c>
      <c r="AV69" s="8">
        <v>69.400000000000006</v>
      </c>
      <c r="AW69" s="8">
        <v>36</v>
      </c>
      <c r="AX69" s="8" t="s">
        <v>392</v>
      </c>
      <c r="AY69" s="8" t="s">
        <v>229</v>
      </c>
      <c r="AZ69" s="8" t="s">
        <v>332</v>
      </c>
      <c r="BA69" s="21">
        <f>IF(OR(tblsales[[#This Row],[Invoice Value USD]]="",tblsales[[#This Row],[Collected Amount USD]]=""),"",tblsales[[#This Row],[Invoice Value USD]]-tblsales[[#This Row],[Collected Amount USD]])</f>
        <v>628199.55513000069</v>
      </c>
      <c r="BB69" s="21">
        <f>IF(OR(tblsales[[#This Row],[Contract Value USD]]="",tblsales[[#This Row],[Cost Estimate USD]]=""),"",tblsales[[#This Row],[Contract Value USD]]-tblsales[[#This Row],[Cost Estimate USD]])</f>
        <v>1380354.861459</v>
      </c>
      <c r="BC69" s="21">
        <f>IF(OR(tblsales[[#This Row],[Contract Value USD]]="",tblsales[[#This Row],[Cost Estimate USD]]=""),"",tblsales[[#This Row],[Contract Value USD]]-tblsales[[#This Row],[Cost Estimate USD]])</f>
        <v>1380354.861459</v>
      </c>
      <c r="BD69" s="23">
        <f>IF(tblsales[[#This Row],[Invoice Value USD]]="","",tblsales[[#This Row],[Collected Amount USD]]/tblsales[[#This Row],[Invoice Value USD]])</f>
        <v>0.86809890528622835</v>
      </c>
      <c r="BE69" s="11">
        <f>IF(tblsales[[#This Row],[SalesStage]]="Won",1,0)</f>
        <v>0</v>
      </c>
      <c r="BF69" s="21" t="str">
        <f>IF(tblsales[[#This Row],[Win Flag]]=1,"Won","Lost")</f>
        <v>Lost</v>
      </c>
      <c r="BG69" s="8"/>
    </row>
    <row r="70" spans="1:59" x14ac:dyDescent="0.3">
      <c r="A70" s="10" t="s">
        <v>549</v>
      </c>
      <c r="B70" s="9">
        <v>45661</v>
      </c>
      <c r="C70" s="10" t="s">
        <v>277</v>
      </c>
      <c r="D70" s="10" t="s">
        <v>250</v>
      </c>
      <c r="E70" s="10" t="s">
        <v>41</v>
      </c>
      <c r="F70" s="10" t="s">
        <v>350</v>
      </c>
      <c r="G70" s="10" t="s">
        <v>70</v>
      </c>
      <c r="H70" s="10" t="s">
        <v>236</v>
      </c>
      <c r="I70" s="10" t="s">
        <v>198</v>
      </c>
      <c r="J70" s="10" t="s">
        <v>130</v>
      </c>
      <c r="K70" s="10" t="s">
        <v>221</v>
      </c>
      <c r="L70" s="10" t="s">
        <v>550</v>
      </c>
      <c r="M70" s="9">
        <v>45715</v>
      </c>
      <c r="N70" s="9">
        <v>45965</v>
      </c>
      <c r="O70" s="9">
        <v>45829</v>
      </c>
      <c r="P70" s="11">
        <v>59</v>
      </c>
      <c r="Q70" s="12">
        <v>46012460</v>
      </c>
      <c r="R70">
        <v>53420466.060000002</v>
      </c>
      <c r="S70" s="22">
        <v>0.04</v>
      </c>
      <c r="T70" s="22">
        <v>0.19</v>
      </c>
      <c r="U70" s="12">
        <v>52564634.299999997</v>
      </c>
      <c r="V70" s="24">
        <v>61027540.422299996</v>
      </c>
      <c r="W70" s="8">
        <v>36772381.259999998</v>
      </c>
      <c r="X70" s="24">
        <v>42692734.642859995</v>
      </c>
      <c r="Y70" s="22">
        <v>0.13</v>
      </c>
      <c r="Z70" s="22">
        <v>0.16</v>
      </c>
      <c r="AA70" s="8" t="s">
        <v>551</v>
      </c>
      <c r="AB70" s="8">
        <v>35471538.420000002</v>
      </c>
      <c r="AC70" s="24">
        <v>41182456.105620004</v>
      </c>
      <c r="AD70" s="8">
        <v>14028392.17</v>
      </c>
      <c r="AE70" s="24">
        <v>16286963.30937</v>
      </c>
      <c r="AF70" s="8">
        <v>30</v>
      </c>
      <c r="AG70" s="8">
        <v>110</v>
      </c>
      <c r="AH70" s="8" t="s">
        <v>353</v>
      </c>
      <c r="AI70" s="8" t="s">
        <v>381</v>
      </c>
      <c r="AJ70" s="22">
        <v>0.31</v>
      </c>
      <c r="AK70" s="8" t="s">
        <v>159</v>
      </c>
      <c r="AL70" s="22">
        <v>0.1</v>
      </c>
      <c r="AM70" s="22">
        <v>0.02</v>
      </c>
      <c r="AN70" s="8">
        <v>8</v>
      </c>
      <c r="AO70" s="8">
        <v>3660</v>
      </c>
      <c r="AP70" s="8">
        <v>8816182.6099999994</v>
      </c>
      <c r="AQ70" s="24">
        <v>10235588.01021</v>
      </c>
      <c r="AR70" s="8">
        <v>10383137.710000001</v>
      </c>
      <c r="AS70" s="37">
        <v>12054822.881310001</v>
      </c>
      <c r="AT70" s="8" t="s">
        <v>321</v>
      </c>
      <c r="AU70" s="8" t="s">
        <v>348</v>
      </c>
      <c r="AV70" s="8">
        <v>78.099999999999994</v>
      </c>
      <c r="AW70" s="8"/>
      <c r="AX70" s="8" t="s">
        <v>387</v>
      </c>
      <c r="AY70" s="8" t="s">
        <v>186</v>
      </c>
      <c r="AZ70" s="8" t="s">
        <v>361</v>
      </c>
      <c r="BA70" s="21">
        <f>IF(OR(tblsales[[#This Row],[Invoice Value USD]]="",tblsales[[#This Row],[Collected Amount USD]]=""),"",tblsales[[#This Row],[Invoice Value USD]]-tblsales[[#This Row],[Collected Amount USD]])</f>
        <v>24895492.796250004</v>
      </c>
      <c r="BB70" s="21">
        <f>IF(OR(tblsales[[#This Row],[Contract Value USD]]="",tblsales[[#This Row],[Cost Estimate USD]]=""),"",tblsales[[#This Row],[Contract Value USD]]-tblsales[[#This Row],[Cost Estimate USD]])</f>
        <v>18334805.779440001</v>
      </c>
      <c r="BC70" s="21">
        <f>IF(OR(tblsales[[#This Row],[Contract Value USD]]="",tblsales[[#This Row],[Cost Estimate USD]]=""),"",tblsales[[#This Row],[Contract Value USD]]-tblsales[[#This Row],[Cost Estimate USD]])</f>
        <v>18334805.779440001</v>
      </c>
      <c r="BD70" s="23">
        <f>IF(tblsales[[#This Row],[Invoice Value USD]]="","",tblsales[[#This Row],[Collected Amount USD]]/tblsales[[#This Row],[Invoice Value USD]])</f>
        <v>0.39548304908282006</v>
      </c>
      <c r="BE70" s="11">
        <f>IF(tblsales[[#This Row],[SalesStage]]="Won",1,0)</f>
        <v>0</v>
      </c>
      <c r="BF70" s="21" t="str">
        <f>IF(tblsales[[#This Row],[Win Flag]]=1,"Won","Lost")</f>
        <v>Lost</v>
      </c>
      <c r="BG70" s="8"/>
    </row>
    <row r="71" spans="1:59" x14ac:dyDescent="0.3">
      <c r="A71" s="10" t="s">
        <v>552</v>
      </c>
      <c r="B71" s="9">
        <v>45670</v>
      </c>
      <c r="C71" s="10" t="s">
        <v>278</v>
      </c>
      <c r="D71" s="10" t="s">
        <v>220</v>
      </c>
      <c r="E71" s="10" t="s">
        <v>52</v>
      </c>
      <c r="F71" s="10" t="s">
        <v>75</v>
      </c>
      <c r="G71" s="10" t="s">
        <v>73</v>
      </c>
      <c r="H71" s="10" t="s">
        <v>236</v>
      </c>
      <c r="I71" s="10" t="s">
        <v>198</v>
      </c>
      <c r="J71" s="10" t="s">
        <v>119</v>
      </c>
      <c r="K71" s="10" t="s">
        <v>326</v>
      </c>
      <c r="L71" s="10" t="s">
        <v>553</v>
      </c>
      <c r="M71" s="9">
        <v>45651</v>
      </c>
      <c r="N71" s="9"/>
      <c r="O71" s="9">
        <v>45704</v>
      </c>
      <c r="P71" s="11"/>
      <c r="Q71" s="12">
        <v>34886412</v>
      </c>
      <c r="R71">
        <v>9499569.9875999987</v>
      </c>
      <c r="S71" s="22">
        <v>0.28999999999999998</v>
      </c>
      <c r="T71" s="22">
        <v>0.04</v>
      </c>
      <c r="U71" s="12">
        <v>25760126.620000001</v>
      </c>
      <c r="V71" s="24">
        <v>7014482.4786259998</v>
      </c>
      <c r="W71" s="8">
        <v>17402830.57</v>
      </c>
      <c r="X71" s="24">
        <v>4738790.7642109999</v>
      </c>
      <c r="Y71" s="22">
        <v>0.34</v>
      </c>
      <c r="Z71" s="22">
        <v>0.19</v>
      </c>
      <c r="AA71" s="8" t="s">
        <v>554</v>
      </c>
      <c r="AB71" s="8">
        <v>18866568.02</v>
      </c>
      <c r="AC71" s="24">
        <v>5137366.4718459994</v>
      </c>
      <c r="AD71" s="8">
        <v>12384874.02</v>
      </c>
      <c r="AE71" s="24">
        <v>3372401.1956459996</v>
      </c>
      <c r="AF71" s="8">
        <v>30</v>
      </c>
      <c r="AG71" s="8">
        <v>76</v>
      </c>
      <c r="AH71" s="8" t="s">
        <v>353</v>
      </c>
      <c r="AI71" s="8" t="s">
        <v>320</v>
      </c>
      <c r="AJ71" s="22">
        <v>0.89</v>
      </c>
      <c r="AK71" s="8" t="s">
        <v>153</v>
      </c>
      <c r="AL71" s="22">
        <v>0.05</v>
      </c>
      <c r="AM71" s="22">
        <v>0.04</v>
      </c>
      <c r="AN71" s="8">
        <v>2</v>
      </c>
      <c r="AO71" s="8">
        <v>979</v>
      </c>
      <c r="AP71" s="8">
        <v>4315522.7</v>
      </c>
      <c r="AQ71" s="24">
        <v>1175116.83121</v>
      </c>
      <c r="AR71" s="8">
        <v>10365468.939999999</v>
      </c>
      <c r="AS71" s="37">
        <v>2822517.1923619998</v>
      </c>
      <c r="AT71" s="8" t="s">
        <v>321</v>
      </c>
      <c r="AU71" s="8" t="s">
        <v>330</v>
      </c>
      <c r="AV71" s="8">
        <v>81.5</v>
      </c>
      <c r="AW71" s="8">
        <v>12</v>
      </c>
      <c r="AX71" s="8" t="s">
        <v>337</v>
      </c>
      <c r="AY71" s="8" t="s">
        <v>192</v>
      </c>
      <c r="AZ71" s="8" t="s">
        <v>332</v>
      </c>
      <c r="BA71" s="21">
        <f>IF(OR(tblsales[[#This Row],[Invoice Value USD]]="",tblsales[[#This Row],[Collected Amount USD]]=""),"",tblsales[[#This Row],[Invoice Value USD]]-tblsales[[#This Row],[Collected Amount USD]])</f>
        <v>1764965.2761999997</v>
      </c>
      <c r="BB71" s="21">
        <f>IF(OR(tblsales[[#This Row],[Contract Value USD]]="",tblsales[[#This Row],[Cost Estimate USD]]=""),"",tblsales[[#This Row],[Contract Value USD]]-tblsales[[#This Row],[Cost Estimate USD]])</f>
        <v>2275691.7144149998</v>
      </c>
      <c r="BC71" s="21">
        <f>IF(OR(tblsales[[#This Row],[Contract Value USD]]="",tblsales[[#This Row],[Cost Estimate USD]]=""),"",tblsales[[#This Row],[Contract Value USD]]-tblsales[[#This Row],[Cost Estimate USD]])</f>
        <v>2275691.7144149998</v>
      </c>
      <c r="BD71" s="23">
        <f>IF(tblsales[[#This Row],[Invoice Value USD]]="","",tblsales[[#This Row],[Collected Amount USD]]/tblsales[[#This Row],[Invoice Value USD]])</f>
        <v>0.65644551817114216</v>
      </c>
      <c r="BE71" s="11">
        <f>IF(tblsales[[#This Row],[SalesStage]]="Won",1,0)</f>
        <v>1</v>
      </c>
      <c r="BF71" s="21" t="str">
        <f>IF(tblsales[[#This Row],[Win Flag]]=1,"Won","Lost")</f>
        <v>Won</v>
      </c>
      <c r="BG71" s="8"/>
    </row>
    <row r="72" spans="1:59" x14ac:dyDescent="0.3">
      <c r="A72" s="10" t="s">
        <v>555</v>
      </c>
      <c r="B72" s="9">
        <v>45802</v>
      </c>
      <c r="C72" s="10" t="s">
        <v>269</v>
      </c>
      <c r="D72" s="10" t="s">
        <v>332</v>
      </c>
      <c r="E72" s="10" t="s">
        <v>41</v>
      </c>
      <c r="F72" s="10" t="s">
        <v>363</v>
      </c>
      <c r="G72" s="10" t="s">
        <v>80</v>
      </c>
      <c r="H72" s="10" t="s">
        <v>332</v>
      </c>
      <c r="I72" s="10" t="s">
        <v>332</v>
      </c>
      <c r="J72" s="10" t="s">
        <v>105</v>
      </c>
      <c r="K72" s="10" t="s">
        <v>210</v>
      </c>
      <c r="L72" s="10" t="s">
        <v>556</v>
      </c>
      <c r="M72" s="9">
        <v>45753</v>
      </c>
      <c r="N72" s="9">
        <v>45859</v>
      </c>
      <c r="O72" s="9">
        <v>45914</v>
      </c>
      <c r="P72" s="11">
        <v>17</v>
      </c>
      <c r="Q72" s="12">
        <v>29571949</v>
      </c>
      <c r="R72">
        <v>29571949</v>
      </c>
      <c r="S72" s="22">
        <v>0.14000000000000001</v>
      </c>
      <c r="T72" s="22">
        <v>0.16</v>
      </c>
      <c r="U72" s="12">
        <v>29500976.32</v>
      </c>
      <c r="V72" s="24">
        <v>29500976.32</v>
      </c>
      <c r="W72" s="8">
        <v>19937424.550000001</v>
      </c>
      <c r="X72" s="24">
        <v>19937424.550000001</v>
      </c>
      <c r="Y72" s="22">
        <v>0.28000000000000003</v>
      </c>
      <c r="Z72" s="22">
        <v>0.14000000000000001</v>
      </c>
      <c r="AA72" s="8" t="s">
        <v>557</v>
      </c>
      <c r="AB72" s="8">
        <v>2247864.61</v>
      </c>
      <c r="AC72" s="24">
        <v>2247864.61</v>
      </c>
      <c r="AD72" s="8">
        <v>955474.59</v>
      </c>
      <c r="AE72" s="24">
        <v>955474.59</v>
      </c>
      <c r="AF72" s="8">
        <v>45</v>
      </c>
      <c r="AG72" s="8">
        <v>35</v>
      </c>
      <c r="AH72" s="8" t="s">
        <v>329</v>
      </c>
      <c r="AI72" s="8" t="s">
        <v>455</v>
      </c>
      <c r="AJ72" s="22">
        <v>0.75</v>
      </c>
      <c r="AK72" s="8" t="s">
        <v>152</v>
      </c>
      <c r="AL72" s="22">
        <v>0.15</v>
      </c>
      <c r="AM72" s="22">
        <v>0.04</v>
      </c>
      <c r="AN72" s="8">
        <v>4</v>
      </c>
      <c r="AO72" s="8">
        <v>2391</v>
      </c>
      <c r="AP72" s="8">
        <v>2290991.29</v>
      </c>
      <c r="AQ72" s="24">
        <v>2290991.29</v>
      </c>
      <c r="AR72" s="8">
        <v>9801353.0800000001</v>
      </c>
      <c r="AS72" s="37">
        <v>9801353.0800000001</v>
      </c>
      <c r="AT72" s="8" t="s">
        <v>385</v>
      </c>
      <c r="AU72" s="8" t="s">
        <v>321</v>
      </c>
      <c r="AV72" s="8">
        <v>96.6</v>
      </c>
      <c r="AW72" s="8">
        <v>36</v>
      </c>
      <c r="AX72" s="8" t="s">
        <v>323</v>
      </c>
      <c r="AY72" s="8" t="s">
        <v>224</v>
      </c>
      <c r="AZ72" s="8" t="s">
        <v>361</v>
      </c>
      <c r="BA72" s="21">
        <f>IF(OR(tblsales[[#This Row],[Invoice Value USD]]="",tblsales[[#This Row],[Collected Amount USD]]=""),"",tblsales[[#This Row],[Invoice Value USD]]-tblsales[[#This Row],[Collected Amount USD]])</f>
        <v>1292390.02</v>
      </c>
      <c r="BB72" s="21">
        <f>IF(OR(tblsales[[#This Row],[Contract Value USD]]="",tblsales[[#This Row],[Cost Estimate USD]]=""),"",tblsales[[#This Row],[Contract Value USD]]-tblsales[[#This Row],[Cost Estimate USD]])</f>
        <v>9563551.7699999996</v>
      </c>
      <c r="BC72" s="21">
        <f>IF(OR(tblsales[[#This Row],[Contract Value USD]]="",tblsales[[#This Row],[Cost Estimate USD]]=""),"",tblsales[[#This Row],[Contract Value USD]]-tblsales[[#This Row],[Cost Estimate USD]])</f>
        <v>9563551.7699999996</v>
      </c>
      <c r="BD72" s="23">
        <f>IF(tblsales[[#This Row],[Invoice Value USD]]="","",tblsales[[#This Row],[Collected Amount USD]]/tblsales[[#This Row],[Invoice Value USD]])</f>
        <v>0.42505878056419066</v>
      </c>
      <c r="BE72" s="11">
        <f>IF(tblsales[[#This Row],[SalesStage]]="Won",1,0)</f>
        <v>0</v>
      </c>
      <c r="BF72" s="21" t="str">
        <f>IF(tblsales[[#This Row],[Win Flag]]=1,"Won","Lost")</f>
        <v>Lost</v>
      </c>
      <c r="BG72" s="8"/>
    </row>
    <row r="73" spans="1:59" x14ac:dyDescent="0.3">
      <c r="A73" s="10" t="s">
        <v>558</v>
      </c>
      <c r="B73" s="9">
        <v>45820</v>
      </c>
      <c r="C73" s="10" t="s">
        <v>261</v>
      </c>
      <c r="D73" s="10" t="s">
        <v>215</v>
      </c>
      <c r="E73" s="10" t="s">
        <v>20</v>
      </c>
      <c r="F73" s="10" t="s">
        <v>31</v>
      </c>
      <c r="G73" s="10" t="s">
        <v>73</v>
      </c>
      <c r="H73" s="10" t="s">
        <v>216</v>
      </c>
      <c r="I73" s="10" t="s">
        <v>183</v>
      </c>
      <c r="J73" s="10" t="s">
        <v>136</v>
      </c>
      <c r="K73" s="10" t="s">
        <v>210</v>
      </c>
      <c r="L73" s="10" t="s">
        <v>559</v>
      </c>
      <c r="M73" s="9">
        <v>45775</v>
      </c>
      <c r="N73" s="9">
        <v>45832</v>
      </c>
      <c r="O73" s="9">
        <v>45930</v>
      </c>
      <c r="P73" s="11">
        <v>60</v>
      </c>
      <c r="Q73" s="12">
        <v>32805595</v>
      </c>
      <c r="R73">
        <v>32805595</v>
      </c>
      <c r="S73" s="22">
        <v>0.16</v>
      </c>
      <c r="T73" s="22">
        <v>0.1</v>
      </c>
      <c r="U73" s="12">
        <v>30312369.780000001</v>
      </c>
      <c r="V73" s="24">
        <v>30312369.780000001</v>
      </c>
      <c r="W73" s="8"/>
      <c r="X73" s="24"/>
      <c r="Y73" s="22">
        <v>0.06</v>
      </c>
      <c r="Z73" s="22">
        <v>0.14000000000000001</v>
      </c>
      <c r="AA73" s="8" t="s">
        <v>560</v>
      </c>
      <c r="AB73" s="8">
        <v>9391504.6899999995</v>
      </c>
      <c r="AC73" s="24">
        <v>9391504.6899999995</v>
      </c>
      <c r="AD73" s="8">
        <v>7206439.1399999997</v>
      </c>
      <c r="AE73" s="24">
        <v>7206439.1399999997</v>
      </c>
      <c r="AF73" s="8">
        <v>120</v>
      </c>
      <c r="AG73" s="8">
        <v>146</v>
      </c>
      <c r="AH73" s="8" t="s">
        <v>329</v>
      </c>
      <c r="AI73" s="8" t="s">
        <v>320</v>
      </c>
      <c r="AJ73" s="22">
        <v>0.39</v>
      </c>
      <c r="AK73" s="8" t="s">
        <v>152</v>
      </c>
      <c r="AL73" s="22">
        <v>0.1</v>
      </c>
      <c r="AM73" s="22">
        <v>0.1</v>
      </c>
      <c r="AN73" s="8">
        <v>5</v>
      </c>
      <c r="AO73" s="8">
        <v>4431</v>
      </c>
      <c r="AP73" s="8">
        <v>6010802.4299999997</v>
      </c>
      <c r="AQ73" s="24">
        <v>6010802.4299999997</v>
      </c>
      <c r="AR73" s="8">
        <v>5738818.4500000002</v>
      </c>
      <c r="AS73" s="37">
        <v>5738818.4500000002</v>
      </c>
      <c r="AT73" s="8" t="s">
        <v>355</v>
      </c>
      <c r="AU73" s="8" t="s">
        <v>330</v>
      </c>
      <c r="AV73" s="8">
        <v>60.6</v>
      </c>
      <c r="AW73" s="8">
        <v>36</v>
      </c>
      <c r="AX73" s="8" t="s">
        <v>323</v>
      </c>
      <c r="AY73" s="8" t="s">
        <v>192</v>
      </c>
      <c r="AZ73" s="8" t="s">
        <v>377</v>
      </c>
      <c r="BA73" s="21">
        <f>IF(OR(tblsales[[#This Row],[Invoice Value USD]]="",tblsales[[#This Row],[Collected Amount USD]]=""),"",tblsales[[#This Row],[Invoice Value USD]]-tblsales[[#This Row],[Collected Amount USD]])</f>
        <v>2185065.5499999998</v>
      </c>
      <c r="BB73" s="21" t="str">
        <f>IF(OR(tblsales[[#This Row],[Contract Value USD]]="",tblsales[[#This Row],[Cost Estimate USD]]=""),"",tblsales[[#This Row],[Contract Value USD]]-tblsales[[#This Row],[Cost Estimate USD]])</f>
        <v/>
      </c>
      <c r="BC73" s="21" t="str">
        <f>IF(OR(tblsales[[#This Row],[Contract Value USD]]="",tblsales[[#This Row],[Cost Estimate USD]]=""),"",tblsales[[#This Row],[Contract Value USD]]-tblsales[[#This Row],[Cost Estimate USD]])</f>
        <v/>
      </c>
      <c r="BD73" s="23">
        <f>IF(tblsales[[#This Row],[Invoice Value USD]]="","",tblsales[[#This Row],[Collected Amount USD]]/tblsales[[#This Row],[Invoice Value USD]])</f>
        <v>0.76733594646163139</v>
      </c>
      <c r="BE73" s="11">
        <f>IF(tblsales[[#This Row],[SalesStage]]="Won",1,0)</f>
        <v>1</v>
      </c>
      <c r="BF73" s="21" t="str">
        <f>IF(tblsales[[#This Row],[Win Flag]]=1,"Won","Lost")</f>
        <v>Won</v>
      </c>
      <c r="BG73" s="8"/>
    </row>
    <row r="74" spans="1:59" x14ac:dyDescent="0.3">
      <c r="A74" s="10" t="s">
        <v>561</v>
      </c>
      <c r="B74" s="9">
        <v>45820</v>
      </c>
      <c r="C74" s="10" t="s">
        <v>277</v>
      </c>
      <c r="D74" s="10" t="s">
        <v>562</v>
      </c>
      <c r="E74" s="10" t="s">
        <v>113</v>
      </c>
      <c r="F74" s="10" t="s">
        <v>181</v>
      </c>
      <c r="G74" s="10" t="s">
        <v>46</v>
      </c>
      <c r="H74" s="10" t="s">
        <v>182</v>
      </c>
      <c r="I74" s="10" t="s">
        <v>183</v>
      </c>
      <c r="J74" s="10" t="s">
        <v>127</v>
      </c>
      <c r="K74" s="10" t="s">
        <v>184</v>
      </c>
      <c r="L74" s="10" t="s">
        <v>563</v>
      </c>
      <c r="M74" s="9">
        <v>45982</v>
      </c>
      <c r="N74" s="9"/>
      <c r="O74" s="9">
        <v>46108</v>
      </c>
      <c r="P74" s="11">
        <v>19</v>
      </c>
      <c r="Q74" s="12">
        <v>16231019</v>
      </c>
      <c r="R74">
        <v>18844213.059</v>
      </c>
      <c r="S74" s="22">
        <v>0.3</v>
      </c>
      <c r="T74" s="22">
        <v>0.15</v>
      </c>
      <c r="U74" s="12">
        <v>13065970.289999999</v>
      </c>
      <c r="V74" s="24">
        <v>15169591.506689999</v>
      </c>
      <c r="W74" s="8">
        <v>10074490.859999999</v>
      </c>
      <c r="X74" s="24">
        <v>11696483.888459999</v>
      </c>
      <c r="Y74" s="22">
        <v>0.18</v>
      </c>
      <c r="Z74" s="22">
        <v>0.14000000000000001</v>
      </c>
      <c r="AA74" s="8" t="s">
        <v>564</v>
      </c>
      <c r="AB74" s="8">
        <v>7472827.9699999997</v>
      </c>
      <c r="AC74" s="24">
        <v>8675953.2731699999</v>
      </c>
      <c r="AD74" s="8">
        <v>3233304.66</v>
      </c>
      <c r="AE74" s="24">
        <v>3753866.7102600001</v>
      </c>
      <c r="AF74" s="8">
        <v>120</v>
      </c>
      <c r="AG74" s="8">
        <v>36</v>
      </c>
      <c r="AH74" s="8" t="s">
        <v>329</v>
      </c>
      <c r="AI74" s="8" t="s">
        <v>336</v>
      </c>
      <c r="AJ74" s="22">
        <v>0.47</v>
      </c>
      <c r="AK74" s="8" t="s">
        <v>159</v>
      </c>
      <c r="AL74" s="22">
        <v>0.05</v>
      </c>
      <c r="AM74" s="22">
        <v>0.06</v>
      </c>
      <c r="AN74" s="8">
        <v>4</v>
      </c>
      <c r="AO74" s="8">
        <v>2900</v>
      </c>
      <c r="AP74" s="8">
        <v>1298201.28</v>
      </c>
      <c r="AQ74" s="24">
        <v>1507211.6860800001</v>
      </c>
      <c r="AR74" s="8">
        <v>5943301.9299999997</v>
      </c>
      <c r="AS74" s="37">
        <v>6900173.5407299995</v>
      </c>
      <c r="AT74" s="8" t="s">
        <v>343</v>
      </c>
      <c r="AU74" s="8" t="s">
        <v>332</v>
      </c>
      <c r="AV74" s="8"/>
      <c r="AW74" s="8"/>
      <c r="AX74" s="8" t="s">
        <v>323</v>
      </c>
      <c r="AY74" s="8" t="s">
        <v>224</v>
      </c>
      <c r="AZ74" s="8" t="s">
        <v>324</v>
      </c>
      <c r="BA74" s="21">
        <f>IF(OR(tblsales[[#This Row],[Invoice Value USD]]="",tblsales[[#This Row],[Collected Amount USD]]=""),"",tblsales[[#This Row],[Invoice Value USD]]-tblsales[[#This Row],[Collected Amount USD]])</f>
        <v>4922086.5629099999</v>
      </c>
      <c r="BB74" s="21">
        <f>IF(OR(tblsales[[#This Row],[Contract Value USD]]="",tblsales[[#This Row],[Cost Estimate USD]]=""),"",tblsales[[#This Row],[Contract Value USD]]-tblsales[[#This Row],[Cost Estimate USD]])</f>
        <v>3473107.6182300001</v>
      </c>
      <c r="BC74" s="21">
        <f>IF(OR(tblsales[[#This Row],[Contract Value USD]]="",tblsales[[#This Row],[Cost Estimate USD]]=""),"",tblsales[[#This Row],[Contract Value USD]]-tblsales[[#This Row],[Cost Estimate USD]])</f>
        <v>3473107.6182300001</v>
      </c>
      <c r="BD74" s="23">
        <f>IF(tblsales[[#This Row],[Invoice Value USD]]="","",tblsales[[#This Row],[Collected Amount USD]]/tblsales[[#This Row],[Invoice Value USD]])</f>
        <v>0.43267484183768784</v>
      </c>
      <c r="BE74" s="11">
        <f>IF(tblsales[[#This Row],[SalesStage]]="Won",1,0)</f>
        <v>0</v>
      </c>
      <c r="BF74" s="21" t="str">
        <f>IF(tblsales[[#This Row],[Win Flag]]=1,"Won","Lost")</f>
        <v>Lost</v>
      </c>
      <c r="BG74" s="8"/>
    </row>
    <row r="75" spans="1:59" x14ac:dyDescent="0.3">
      <c r="A75" s="10" t="s">
        <v>565</v>
      </c>
      <c r="B75" s="9">
        <v>45753</v>
      </c>
      <c r="C75" s="10" t="s">
        <v>222</v>
      </c>
      <c r="D75" s="10" t="s">
        <v>394</v>
      </c>
      <c r="E75" s="10" t="s">
        <v>36</v>
      </c>
      <c r="F75" s="10" t="s">
        <v>19</v>
      </c>
      <c r="G75" s="10" t="s">
        <v>16</v>
      </c>
      <c r="H75" s="10" t="s">
        <v>216</v>
      </c>
      <c r="I75" s="10" t="s">
        <v>198</v>
      </c>
      <c r="J75" s="10" t="s">
        <v>115</v>
      </c>
      <c r="K75" s="10" t="s">
        <v>184</v>
      </c>
      <c r="L75" s="10" t="s">
        <v>566</v>
      </c>
      <c r="M75" s="9">
        <v>45707</v>
      </c>
      <c r="N75" s="9"/>
      <c r="O75" s="9">
        <v>45784</v>
      </c>
      <c r="P75" s="11">
        <v>56</v>
      </c>
      <c r="Q75" s="12">
        <v>10760073</v>
      </c>
      <c r="R75">
        <v>12492444.753</v>
      </c>
      <c r="S75" s="22">
        <v>0.13</v>
      </c>
      <c r="T75" s="22">
        <v>0.13</v>
      </c>
      <c r="U75" s="12">
        <v>10578227.77</v>
      </c>
      <c r="V75" s="24">
        <v>12281322.44097</v>
      </c>
      <c r="W75" s="8">
        <v>6799829.1100000003</v>
      </c>
      <c r="X75" s="24">
        <v>7894601.5967100002</v>
      </c>
      <c r="Y75" s="22">
        <v>0.32</v>
      </c>
      <c r="Z75" s="22">
        <v>0.14000000000000001</v>
      </c>
      <c r="AA75" s="8" t="s">
        <v>567</v>
      </c>
      <c r="AB75" s="8">
        <v>1592876.83</v>
      </c>
      <c r="AC75" s="24">
        <v>1849329.9996300002</v>
      </c>
      <c r="AD75" s="8">
        <v>771393.72</v>
      </c>
      <c r="AE75" s="24">
        <v>895588.10892000003</v>
      </c>
      <c r="AF75" s="8">
        <v>60</v>
      </c>
      <c r="AG75" s="8">
        <v>30</v>
      </c>
      <c r="AH75" s="8" t="s">
        <v>332</v>
      </c>
      <c r="AI75" s="8" t="s">
        <v>354</v>
      </c>
      <c r="AJ75" s="22">
        <v>0.5</v>
      </c>
      <c r="AK75" s="8" t="s">
        <v>159</v>
      </c>
      <c r="AL75" s="22">
        <v>0.1</v>
      </c>
      <c r="AM75" s="22">
        <v>0.05</v>
      </c>
      <c r="AN75" s="8">
        <v>5</v>
      </c>
      <c r="AO75" s="8">
        <v>1892</v>
      </c>
      <c r="AP75" s="8">
        <v>533238.26</v>
      </c>
      <c r="AQ75" s="24">
        <v>619089.61985999998</v>
      </c>
      <c r="AR75" s="8"/>
      <c r="AS75" s="37"/>
      <c r="AT75" s="8" t="s">
        <v>73</v>
      </c>
      <c r="AU75" s="8" t="s">
        <v>348</v>
      </c>
      <c r="AV75" s="8">
        <v>86.2</v>
      </c>
      <c r="AW75" s="8">
        <v>60</v>
      </c>
      <c r="AX75" s="8" t="s">
        <v>332</v>
      </c>
      <c r="AY75" s="8" t="s">
        <v>206</v>
      </c>
      <c r="AZ75" s="8" t="s">
        <v>332</v>
      </c>
      <c r="BA75" s="21">
        <f>IF(OR(tblsales[[#This Row],[Invoice Value USD]]="",tblsales[[#This Row],[Collected Amount USD]]=""),"",tblsales[[#This Row],[Invoice Value USD]]-tblsales[[#This Row],[Collected Amount USD]])</f>
        <v>953741.89071000018</v>
      </c>
      <c r="BB75" s="21">
        <f>IF(OR(tblsales[[#This Row],[Contract Value USD]]="",tblsales[[#This Row],[Cost Estimate USD]]=""),"",tblsales[[#This Row],[Contract Value USD]]-tblsales[[#This Row],[Cost Estimate USD]])</f>
        <v>4386720.8442599997</v>
      </c>
      <c r="BC75" s="21">
        <f>IF(OR(tblsales[[#This Row],[Contract Value USD]]="",tblsales[[#This Row],[Cost Estimate USD]]=""),"",tblsales[[#This Row],[Contract Value USD]]-tblsales[[#This Row],[Cost Estimate USD]])</f>
        <v>4386720.8442599997</v>
      </c>
      <c r="BD75" s="23">
        <f>IF(tblsales[[#This Row],[Invoice Value USD]]="","",tblsales[[#This Row],[Collected Amount USD]]/tblsales[[#This Row],[Invoice Value USD]])</f>
        <v>0.48427706742397647</v>
      </c>
      <c r="BE75" s="11">
        <f>IF(tblsales[[#This Row],[SalesStage]]="Won",1,0)</f>
        <v>0</v>
      </c>
      <c r="BF75" s="21" t="str">
        <f>IF(tblsales[[#This Row],[Win Flag]]=1,"Won","Lost")</f>
        <v>Lost</v>
      </c>
      <c r="BG75" s="8"/>
    </row>
    <row r="76" spans="1:59" x14ac:dyDescent="0.3">
      <c r="A76" s="10" t="s">
        <v>568</v>
      </c>
      <c r="B76" s="9">
        <v>45965</v>
      </c>
      <c r="C76" s="10" t="s">
        <v>249</v>
      </c>
      <c r="D76" s="10" t="s">
        <v>245</v>
      </c>
      <c r="E76" s="10" t="s">
        <v>52</v>
      </c>
      <c r="F76" s="10" t="s">
        <v>75</v>
      </c>
      <c r="G76" s="10" t="s">
        <v>78</v>
      </c>
      <c r="H76" s="10" t="s">
        <v>182</v>
      </c>
      <c r="I76" s="10" t="s">
        <v>183</v>
      </c>
      <c r="J76" s="10" t="s">
        <v>133</v>
      </c>
      <c r="K76" s="10" t="s">
        <v>204</v>
      </c>
      <c r="L76" s="10" t="s">
        <v>569</v>
      </c>
      <c r="M76" s="9">
        <v>45923</v>
      </c>
      <c r="N76" s="9">
        <v>46023</v>
      </c>
      <c r="O76" s="9">
        <v>46328</v>
      </c>
      <c r="P76" s="11">
        <v>3</v>
      </c>
      <c r="Q76" s="12">
        <v>2819699</v>
      </c>
      <c r="R76">
        <v>767804.03769999999</v>
      </c>
      <c r="S76" s="22">
        <v>0.31</v>
      </c>
      <c r="T76" s="22">
        <v>0.08</v>
      </c>
      <c r="U76" s="12">
        <v>2101239.69</v>
      </c>
      <c r="V76" s="24">
        <v>572167.56758699997</v>
      </c>
      <c r="W76" s="8">
        <v>1758373.57</v>
      </c>
      <c r="X76" s="24">
        <v>478805.12311099999</v>
      </c>
      <c r="Y76" s="22">
        <v>0.09</v>
      </c>
      <c r="Z76" s="22">
        <v>0.05</v>
      </c>
      <c r="AA76" s="8" t="s">
        <v>570</v>
      </c>
      <c r="AB76" s="8">
        <v>1448858.72</v>
      </c>
      <c r="AC76" s="24">
        <v>394524.22945599997</v>
      </c>
      <c r="AD76" s="8">
        <v>542672.89</v>
      </c>
      <c r="AE76" s="24">
        <v>147769.82794699998</v>
      </c>
      <c r="AF76" s="8">
        <v>45</v>
      </c>
      <c r="AG76" s="8">
        <v>155</v>
      </c>
      <c r="AH76" s="8" t="s">
        <v>329</v>
      </c>
      <c r="AI76" s="8" t="s">
        <v>320</v>
      </c>
      <c r="AJ76" s="22">
        <v>0.56000000000000005</v>
      </c>
      <c r="AK76" s="8" t="s">
        <v>153</v>
      </c>
      <c r="AL76" s="22">
        <v>0.05</v>
      </c>
      <c r="AM76" s="22">
        <v>0.09</v>
      </c>
      <c r="AN76" s="8">
        <v>13</v>
      </c>
      <c r="AO76" s="8">
        <v>4805</v>
      </c>
      <c r="AP76" s="8">
        <v>455222.43</v>
      </c>
      <c r="AQ76" s="24">
        <v>123957.06768899999</v>
      </c>
      <c r="AR76" s="8">
        <v>517446.32</v>
      </c>
      <c r="AS76" s="37">
        <v>140900.63293600001</v>
      </c>
      <c r="AT76" s="8" t="s">
        <v>321</v>
      </c>
      <c r="AU76" s="8" t="s">
        <v>356</v>
      </c>
      <c r="AV76" s="8">
        <v>90.2</v>
      </c>
      <c r="AW76" s="8">
        <v>48</v>
      </c>
      <c r="AX76" s="8" t="s">
        <v>387</v>
      </c>
      <c r="AY76" s="8" t="s">
        <v>206</v>
      </c>
      <c r="AZ76" s="8" t="s">
        <v>357</v>
      </c>
      <c r="BA76" s="21">
        <f>IF(OR(tblsales[[#This Row],[Invoice Value USD]]="",tblsales[[#This Row],[Collected Amount USD]]=""),"",tblsales[[#This Row],[Invoice Value USD]]-tblsales[[#This Row],[Collected Amount USD]])</f>
        <v>246754.40150899999</v>
      </c>
      <c r="BB76" s="21">
        <f>IF(OR(tblsales[[#This Row],[Contract Value USD]]="",tblsales[[#This Row],[Cost Estimate USD]]=""),"",tblsales[[#This Row],[Contract Value USD]]-tblsales[[#This Row],[Cost Estimate USD]])</f>
        <v>93362.444475999975</v>
      </c>
      <c r="BC76" s="21">
        <f>IF(OR(tblsales[[#This Row],[Contract Value USD]]="",tblsales[[#This Row],[Cost Estimate USD]]=""),"",tblsales[[#This Row],[Contract Value USD]]-tblsales[[#This Row],[Cost Estimate USD]])</f>
        <v>93362.444475999975</v>
      </c>
      <c r="BD76" s="23">
        <f>IF(tblsales[[#This Row],[Invoice Value USD]]="","",tblsales[[#This Row],[Collected Amount USD]]/tblsales[[#This Row],[Invoice Value USD]])</f>
        <v>0.37455197149933295</v>
      </c>
      <c r="BE76" s="11">
        <f>IF(tblsales[[#This Row],[SalesStage]]="Won",1,0)</f>
        <v>1</v>
      </c>
      <c r="BF76" s="21" t="str">
        <f>IF(tblsales[[#This Row],[Win Flag]]=1,"Won","Lost")</f>
        <v>Won</v>
      </c>
      <c r="BG76" s="8"/>
    </row>
    <row r="77" spans="1:59" x14ac:dyDescent="0.3">
      <c r="A77" s="10" t="s">
        <v>571</v>
      </c>
      <c r="B77" s="9">
        <v>45905</v>
      </c>
      <c r="C77" s="10" t="s">
        <v>211</v>
      </c>
      <c r="D77" s="10" t="s">
        <v>265</v>
      </c>
      <c r="E77" s="10" t="s">
        <v>113</v>
      </c>
      <c r="F77" s="10" t="s">
        <v>181</v>
      </c>
      <c r="G77" s="10" t="s">
        <v>50</v>
      </c>
      <c r="H77" s="10" t="s">
        <v>332</v>
      </c>
      <c r="I77" s="10" t="s">
        <v>213</v>
      </c>
      <c r="J77" s="10" t="s">
        <v>123</v>
      </c>
      <c r="K77" s="10" t="s">
        <v>223</v>
      </c>
      <c r="L77" s="10" t="s">
        <v>572</v>
      </c>
      <c r="M77" s="9">
        <v>45885</v>
      </c>
      <c r="N77" s="9">
        <v>45727</v>
      </c>
      <c r="O77" s="9">
        <v>45942</v>
      </c>
      <c r="P77" s="11">
        <v>41</v>
      </c>
      <c r="Q77" s="12">
        <v>17230729</v>
      </c>
      <c r="R77">
        <v>4691927.5066999998</v>
      </c>
      <c r="S77" s="22">
        <v>0.35</v>
      </c>
      <c r="T77" s="22">
        <v>0.09</v>
      </c>
      <c r="U77" s="12">
        <v>12207971.5</v>
      </c>
      <c r="V77" s="24">
        <v>3324230.6394499997</v>
      </c>
      <c r="W77" s="8">
        <v>10158039.880000001</v>
      </c>
      <c r="X77" s="24">
        <v>2766034.2593240002</v>
      </c>
      <c r="Y77" s="22">
        <v>0.22</v>
      </c>
      <c r="Z77" s="22">
        <v>0.05</v>
      </c>
      <c r="AA77" s="8" t="s">
        <v>573</v>
      </c>
      <c r="AB77" s="8">
        <v>8644041.1400000006</v>
      </c>
      <c r="AC77" s="24">
        <v>2353772.4024220002</v>
      </c>
      <c r="AD77" s="8">
        <v>5346372.3</v>
      </c>
      <c r="AE77" s="24">
        <v>1455817.1772899998</v>
      </c>
      <c r="AF77" s="8">
        <v>45</v>
      </c>
      <c r="AG77" s="8">
        <v>169</v>
      </c>
      <c r="AH77" s="8" t="s">
        <v>329</v>
      </c>
      <c r="AI77" s="8" t="s">
        <v>354</v>
      </c>
      <c r="AJ77" s="22">
        <v>0.16</v>
      </c>
      <c r="AK77" s="8" t="s">
        <v>153</v>
      </c>
      <c r="AL77" s="22">
        <v>0.05</v>
      </c>
      <c r="AM77" s="22">
        <v>0.05</v>
      </c>
      <c r="AN77" s="8">
        <v>5</v>
      </c>
      <c r="AO77" s="8">
        <v>4192</v>
      </c>
      <c r="AP77" s="8">
        <v>894652.94</v>
      </c>
      <c r="AQ77" s="24">
        <v>243613.99556199997</v>
      </c>
      <c r="AR77" s="8">
        <v>1396890.46</v>
      </c>
      <c r="AS77" s="37">
        <v>380373.27225799998</v>
      </c>
      <c r="AT77" s="8" t="s">
        <v>321</v>
      </c>
      <c r="AU77" s="8" t="s">
        <v>332</v>
      </c>
      <c r="AV77" s="8">
        <v>90.2</v>
      </c>
      <c r="AW77" s="8">
        <v>12</v>
      </c>
      <c r="AX77" s="8" t="s">
        <v>387</v>
      </c>
      <c r="AY77" s="8" t="s">
        <v>206</v>
      </c>
      <c r="AZ77" s="8" t="s">
        <v>361</v>
      </c>
      <c r="BA77" s="21">
        <f>IF(OR(tblsales[[#This Row],[Invoice Value USD]]="",tblsales[[#This Row],[Collected Amount USD]]=""),"",tblsales[[#This Row],[Invoice Value USD]]-tblsales[[#This Row],[Collected Amount USD]])</f>
        <v>897955.2251320004</v>
      </c>
      <c r="BB77" s="21">
        <f>IF(OR(tblsales[[#This Row],[Contract Value USD]]="",tblsales[[#This Row],[Cost Estimate USD]]=""),"",tblsales[[#This Row],[Contract Value USD]]-tblsales[[#This Row],[Cost Estimate USD]])</f>
        <v>558196.38012599945</v>
      </c>
      <c r="BC77" s="21">
        <f>IF(OR(tblsales[[#This Row],[Contract Value USD]]="",tblsales[[#This Row],[Cost Estimate USD]]=""),"",tblsales[[#This Row],[Contract Value USD]]-tblsales[[#This Row],[Cost Estimate USD]])</f>
        <v>558196.38012599945</v>
      </c>
      <c r="BD77" s="23">
        <f>IF(tblsales[[#This Row],[Invoice Value USD]]="","",tblsales[[#This Row],[Collected Amount USD]]/tblsales[[#This Row],[Invoice Value USD]])</f>
        <v>0.61850380087385826</v>
      </c>
      <c r="BE77" s="11">
        <f>IF(tblsales[[#This Row],[SalesStage]]="Won",1,0)</f>
        <v>0</v>
      </c>
      <c r="BF77" s="21" t="str">
        <f>IF(tblsales[[#This Row],[Win Flag]]=1,"Won","Lost")</f>
        <v>Lost</v>
      </c>
      <c r="BG77" s="8"/>
    </row>
    <row r="78" spans="1:59" x14ac:dyDescent="0.3">
      <c r="A78" s="10" t="s">
        <v>574</v>
      </c>
      <c r="B78" s="9">
        <v>45760</v>
      </c>
      <c r="C78" s="10" t="s">
        <v>241</v>
      </c>
      <c r="D78" s="10" t="s">
        <v>253</v>
      </c>
      <c r="E78" s="10" t="s">
        <v>36</v>
      </c>
      <c r="F78" s="10" t="s">
        <v>19</v>
      </c>
      <c r="G78" s="10" t="s">
        <v>62</v>
      </c>
      <c r="H78" s="10" t="s">
        <v>182</v>
      </c>
      <c r="I78" s="10" t="s">
        <v>240</v>
      </c>
      <c r="J78" s="10" t="s">
        <v>115</v>
      </c>
      <c r="K78" s="10" t="s">
        <v>199</v>
      </c>
      <c r="L78" s="10" t="s">
        <v>575</v>
      </c>
      <c r="M78" s="9">
        <v>45810</v>
      </c>
      <c r="N78" s="9">
        <v>45809</v>
      </c>
      <c r="O78" s="9">
        <v>45937</v>
      </c>
      <c r="P78" s="11">
        <v>58</v>
      </c>
      <c r="Q78" s="12">
        <v>34945124</v>
      </c>
      <c r="R78">
        <v>40571288.964000002</v>
      </c>
      <c r="S78" s="22">
        <v>0.02</v>
      </c>
      <c r="T78" s="22">
        <v>0.13</v>
      </c>
      <c r="U78" s="12">
        <v>38698230.32</v>
      </c>
      <c r="V78" s="24">
        <v>44928645.401519999</v>
      </c>
      <c r="W78" s="8"/>
      <c r="X78" s="24"/>
      <c r="Y78" s="22">
        <v>7.0000000000000007E-2</v>
      </c>
      <c r="Z78" s="22">
        <v>0.15</v>
      </c>
      <c r="AA78" s="8" t="s">
        <v>576</v>
      </c>
      <c r="AB78" s="8">
        <v>32169870.129999999</v>
      </c>
      <c r="AC78" s="24">
        <v>37349219.220930003</v>
      </c>
      <c r="AD78" s="8">
        <v>23795220.469999999</v>
      </c>
      <c r="AE78" s="24">
        <v>27626250.965670001</v>
      </c>
      <c r="AF78" s="8">
        <v>120</v>
      </c>
      <c r="AG78" s="8">
        <v>150</v>
      </c>
      <c r="AH78" s="8" t="s">
        <v>347</v>
      </c>
      <c r="AI78" s="8" t="s">
        <v>336</v>
      </c>
      <c r="AJ78" s="22">
        <v>0.38</v>
      </c>
      <c r="AK78" s="8" t="s">
        <v>159</v>
      </c>
      <c r="AL78" s="22">
        <v>0.1</v>
      </c>
      <c r="AM78" s="22">
        <v>0.03</v>
      </c>
      <c r="AN78" s="8">
        <v>6</v>
      </c>
      <c r="AO78" s="8">
        <v>89</v>
      </c>
      <c r="AP78" s="8">
        <v>3117933.02</v>
      </c>
      <c r="AQ78" s="24">
        <v>3619920.2362200003</v>
      </c>
      <c r="AR78" s="8">
        <v>10044986.890000001</v>
      </c>
      <c r="AS78" s="37">
        <v>11662229.779290002</v>
      </c>
      <c r="AT78" s="8" t="s">
        <v>355</v>
      </c>
      <c r="AU78" s="8" t="s">
        <v>322</v>
      </c>
      <c r="AV78" s="8">
        <v>61.5</v>
      </c>
      <c r="AW78" s="8">
        <v>36</v>
      </c>
      <c r="AX78" s="8" t="s">
        <v>387</v>
      </c>
      <c r="AY78" s="8" t="s">
        <v>206</v>
      </c>
      <c r="AZ78" s="8" t="s">
        <v>361</v>
      </c>
      <c r="BA78" s="21">
        <f>IF(OR(tblsales[[#This Row],[Invoice Value USD]]="",tblsales[[#This Row],[Collected Amount USD]]=""),"",tblsales[[#This Row],[Invoice Value USD]]-tblsales[[#This Row],[Collected Amount USD]])</f>
        <v>9722968.2552600019</v>
      </c>
      <c r="BB78" s="21" t="str">
        <f>IF(OR(tblsales[[#This Row],[Contract Value USD]]="",tblsales[[#This Row],[Cost Estimate USD]]=""),"",tblsales[[#This Row],[Contract Value USD]]-tblsales[[#This Row],[Cost Estimate USD]])</f>
        <v/>
      </c>
      <c r="BC78" s="21" t="str">
        <f>IF(OR(tblsales[[#This Row],[Contract Value USD]]="",tblsales[[#This Row],[Cost Estimate USD]]=""),"",tblsales[[#This Row],[Contract Value USD]]-tblsales[[#This Row],[Cost Estimate USD]])</f>
        <v/>
      </c>
      <c r="BD78" s="23">
        <f>IF(tblsales[[#This Row],[Invoice Value USD]]="","",tblsales[[#This Row],[Collected Amount USD]]/tblsales[[#This Row],[Invoice Value USD]])</f>
        <v>0.7396741228311573</v>
      </c>
      <c r="BE78" s="11">
        <f>IF(tblsales[[#This Row],[SalesStage]]="Won",1,0)</f>
        <v>0</v>
      </c>
      <c r="BF78" s="21" t="str">
        <f>IF(tblsales[[#This Row],[Win Flag]]=1,"Won","Lost")</f>
        <v>Lost</v>
      </c>
      <c r="BG78" s="8"/>
    </row>
    <row r="79" spans="1:59" x14ac:dyDescent="0.3">
      <c r="A79" s="10" t="s">
        <v>577</v>
      </c>
      <c r="B79" s="9">
        <v>45795</v>
      </c>
      <c r="C79" s="10" t="s">
        <v>273</v>
      </c>
      <c r="D79" s="10" t="s">
        <v>202</v>
      </c>
      <c r="E79" s="10" t="s">
        <v>332</v>
      </c>
      <c r="F79" s="10" t="s">
        <v>35</v>
      </c>
      <c r="G79" s="10" t="s">
        <v>62</v>
      </c>
      <c r="H79" s="10" t="s">
        <v>197</v>
      </c>
      <c r="I79" s="10" t="s">
        <v>191</v>
      </c>
      <c r="J79" s="10" t="s">
        <v>105</v>
      </c>
      <c r="K79" s="10" t="s">
        <v>223</v>
      </c>
      <c r="L79" s="10" t="s">
        <v>578</v>
      </c>
      <c r="M79" s="9">
        <v>45811</v>
      </c>
      <c r="N79" s="9">
        <v>45784</v>
      </c>
      <c r="O79" s="9">
        <v>45898</v>
      </c>
      <c r="P79" s="11"/>
      <c r="Q79" s="12"/>
      <c r="S79" s="22">
        <v>0.33</v>
      </c>
      <c r="T79" s="22">
        <v>0.12</v>
      </c>
      <c r="U79" s="12">
        <v>9354828.5800000001</v>
      </c>
      <c r="V79" s="24">
        <v>9354828.5800000001</v>
      </c>
      <c r="W79" s="8">
        <v>6955277.8399999999</v>
      </c>
      <c r="X79" s="24">
        <v>6955277.8399999999</v>
      </c>
      <c r="Y79" s="22">
        <v>0.23</v>
      </c>
      <c r="Z79" s="22">
        <v>0.11</v>
      </c>
      <c r="AA79" s="8" t="s">
        <v>579</v>
      </c>
      <c r="AB79" s="8">
        <v>7703124.5199999996</v>
      </c>
      <c r="AC79" s="24">
        <v>7703124.5199999996</v>
      </c>
      <c r="AD79" s="8">
        <v>5386020.5999999996</v>
      </c>
      <c r="AE79" s="24">
        <v>5386020.5999999996</v>
      </c>
      <c r="AF79" s="8">
        <v>45</v>
      </c>
      <c r="AG79" s="8">
        <v>61</v>
      </c>
      <c r="AH79" s="8" t="s">
        <v>353</v>
      </c>
      <c r="AI79" s="8" t="s">
        <v>320</v>
      </c>
      <c r="AJ79" s="22">
        <v>0.74</v>
      </c>
      <c r="AK79" s="8" t="s">
        <v>152</v>
      </c>
      <c r="AL79" s="22">
        <v>0.1</v>
      </c>
      <c r="AM79" s="22">
        <v>0.03</v>
      </c>
      <c r="AN79" s="8">
        <v>6</v>
      </c>
      <c r="AO79" s="8">
        <v>78</v>
      </c>
      <c r="AP79" s="8"/>
      <c r="AQ79" s="24"/>
      <c r="AR79" s="8">
        <v>3109575.77</v>
      </c>
      <c r="AS79" s="37">
        <v>3109575.77</v>
      </c>
      <c r="AT79" s="8" t="s">
        <v>391</v>
      </c>
      <c r="AU79" s="8" t="s">
        <v>356</v>
      </c>
      <c r="AV79" s="8">
        <v>72.900000000000006</v>
      </c>
      <c r="AW79" s="8">
        <v>60</v>
      </c>
      <c r="AX79" s="8" t="s">
        <v>392</v>
      </c>
      <c r="AY79" s="8" t="s">
        <v>186</v>
      </c>
      <c r="AZ79" s="8" t="s">
        <v>361</v>
      </c>
      <c r="BA79" s="21">
        <f>IF(OR(tblsales[[#This Row],[Invoice Value USD]]="",tblsales[[#This Row],[Collected Amount USD]]=""),"",tblsales[[#This Row],[Invoice Value USD]]-tblsales[[#This Row],[Collected Amount USD]])</f>
        <v>2317103.92</v>
      </c>
      <c r="BB79" s="21">
        <f>IF(OR(tblsales[[#This Row],[Contract Value USD]]="",tblsales[[#This Row],[Cost Estimate USD]]=""),"",tblsales[[#This Row],[Contract Value USD]]-tblsales[[#This Row],[Cost Estimate USD]])</f>
        <v>2399550.7400000002</v>
      </c>
      <c r="BC79" s="21">
        <f>IF(OR(tblsales[[#This Row],[Contract Value USD]]="",tblsales[[#This Row],[Cost Estimate USD]]=""),"",tblsales[[#This Row],[Contract Value USD]]-tblsales[[#This Row],[Cost Estimate USD]])</f>
        <v>2399550.7400000002</v>
      </c>
      <c r="BD79" s="23">
        <f>IF(tblsales[[#This Row],[Invoice Value USD]]="","",tblsales[[#This Row],[Collected Amount USD]]/tblsales[[#This Row],[Invoice Value USD]])</f>
        <v>0.69919947237202396</v>
      </c>
      <c r="BE79" s="11">
        <f>IF(tblsales[[#This Row],[SalesStage]]="Won",1,0)</f>
        <v>1</v>
      </c>
      <c r="BF79" s="21" t="str">
        <f>IF(tblsales[[#This Row],[Win Flag]]=1,"Won","Lost")</f>
        <v>Won</v>
      </c>
      <c r="BG79" s="8"/>
    </row>
    <row r="80" spans="1:59" x14ac:dyDescent="0.3">
      <c r="A80" s="10" t="s">
        <v>580</v>
      </c>
      <c r="B80" s="9">
        <v>45845</v>
      </c>
      <c r="C80" s="10" t="s">
        <v>261</v>
      </c>
      <c r="D80" s="10" t="s">
        <v>281</v>
      </c>
      <c r="E80" s="10" t="s">
        <v>332</v>
      </c>
      <c r="F80" s="10" t="s">
        <v>363</v>
      </c>
      <c r="G80" s="10" t="s">
        <v>38</v>
      </c>
      <c r="H80" s="10" t="s">
        <v>332</v>
      </c>
      <c r="I80" s="10" t="s">
        <v>183</v>
      </c>
      <c r="J80" s="10" t="s">
        <v>105</v>
      </c>
      <c r="K80" s="10" t="s">
        <v>223</v>
      </c>
      <c r="L80" s="10" t="s">
        <v>581</v>
      </c>
      <c r="M80" s="9">
        <v>45773</v>
      </c>
      <c r="N80" s="9"/>
      <c r="O80" s="9">
        <v>45999</v>
      </c>
      <c r="P80" s="11"/>
      <c r="Q80" s="12">
        <v>12542237</v>
      </c>
      <c r="R80">
        <v>3415251.1350999996</v>
      </c>
      <c r="S80" s="22">
        <v>0.18</v>
      </c>
      <c r="T80" s="22">
        <v>0</v>
      </c>
      <c r="U80" s="12">
        <v>10284634.34</v>
      </c>
      <c r="V80" s="24">
        <v>2800505.9307819996</v>
      </c>
      <c r="W80" s="8">
        <v>6835581.4000000004</v>
      </c>
      <c r="X80" s="24">
        <v>1861328.81522</v>
      </c>
      <c r="Y80" s="22">
        <v>0.34</v>
      </c>
      <c r="Z80" s="22">
        <v>0.06</v>
      </c>
      <c r="AA80" s="8" t="s">
        <v>582</v>
      </c>
      <c r="AB80" s="8">
        <v>6639818.8899999997</v>
      </c>
      <c r="AC80" s="24">
        <v>1808022.6837469998</v>
      </c>
      <c r="AD80" s="8">
        <v>3969600.47</v>
      </c>
      <c r="AE80" s="24">
        <v>1080922.207981</v>
      </c>
      <c r="AF80" s="8">
        <v>90</v>
      </c>
      <c r="AG80" s="8">
        <v>72</v>
      </c>
      <c r="AH80" s="8" t="s">
        <v>329</v>
      </c>
      <c r="AI80" s="8" t="s">
        <v>354</v>
      </c>
      <c r="AJ80" s="22">
        <v>0.47</v>
      </c>
      <c r="AK80" s="8" t="s">
        <v>153</v>
      </c>
      <c r="AL80" s="22">
        <v>0.15</v>
      </c>
      <c r="AM80" s="22">
        <v>0.02</v>
      </c>
      <c r="AN80" s="8">
        <v>7</v>
      </c>
      <c r="AO80" s="8">
        <v>172</v>
      </c>
      <c r="AP80" s="8">
        <v>1036185.27</v>
      </c>
      <c r="AQ80" s="24">
        <v>282153.249021</v>
      </c>
      <c r="AR80" s="8">
        <v>3519714.66</v>
      </c>
      <c r="AS80" s="37">
        <v>958418.30191799998</v>
      </c>
      <c r="AT80" s="8" t="s">
        <v>332</v>
      </c>
      <c r="AU80" s="8" t="s">
        <v>356</v>
      </c>
      <c r="AV80" s="8">
        <v>68</v>
      </c>
      <c r="AW80" s="8">
        <v>60</v>
      </c>
      <c r="AX80" s="8" t="s">
        <v>337</v>
      </c>
      <c r="AY80" s="8" t="s">
        <v>229</v>
      </c>
      <c r="AZ80" s="8" t="s">
        <v>361</v>
      </c>
      <c r="BA80" s="21">
        <f>IF(OR(tblsales[[#This Row],[Invoice Value USD]]="",tblsales[[#This Row],[Collected Amount USD]]=""),"",tblsales[[#This Row],[Invoice Value USD]]-tblsales[[#This Row],[Collected Amount USD]])</f>
        <v>727100.47576599987</v>
      </c>
      <c r="BB80" s="21">
        <f>IF(OR(tblsales[[#This Row],[Contract Value USD]]="",tblsales[[#This Row],[Cost Estimate USD]]=""),"",tblsales[[#This Row],[Contract Value USD]]-tblsales[[#This Row],[Cost Estimate USD]])</f>
        <v>939177.11556199961</v>
      </c>
      <c r="BC80" s="21">
        <f>IF(OR(tblsales[[#This Row],[Contract Value USD]]="",tblsales[[#This Row],[Cost Estimate USD]]=""),"",tblsales[[#This Row],[Contract Value USD]]-tblsales[[#This Row],[Cost Estimate USD]])</f>
        <v>939177.11556199961</v>
      </c>
      <c r="BD80" s="23">
        <f>IF(tblsales[[#This Row],[Invoice Value USD]]="","",tblsales[[#This Row],[Collected Amount USD]]/tblsales[[#This Row],[Invoice Value USD]])</f>
        <v>0.59784770274057886</v>
      </c>
      <c r="BE80" s="11">
        <f>IF(tblsales[[#This Row],[SalesStage]]="Won",1,0)</f>
        <v>0</v>
      </c>
      <c r="BF80" s="21" t="str">
        <f>IF(tblsales[[#This Row],[Win Flag]]=1,"Won","Lost")</f>
        <v>Lost</v>
      </c>
      <c r="BG80" s="8"/>
    </row>
    <row r="81" spans="1:59" x14ac:dyDescent="0.3">
      <c r="A81" s="10" t="s">
        <v>583</v>
      </c>
      <c r="B81" s="9">
        <v>45698</v>
      </c>
      <c r="C81" s="10" t="s">
        <v>239</v>
      </c>
      <c r="D81" s="10" t="s">
        <v>245</v>
      </c>
      <c r="E81" s="10" t="s">
        <v>36</v>
      </c>
      <c r="F81" s="10" t="s">
        <v>339</v>
      </c>
      <c r="G81" s="10" t="s">
        <v>33</v>
      </c>
      <c r="H81" s="10" t="s">
        <v>197</v>
      </c>
      <c r="I81" s="10" t="s">
        <v>213</v>
      </c>
      <c r="J81" s="10" t="s">
        <v>115</v>
      </c>
      <c r="K81" s="10" t="s">
        <v>333</v>
      </c>
      <c r="L81" s="10" t="s">
        <v>584</v>
      </c>
      <c r="M81" s="9">
        <v>45577</v>
      </c>
      <c r="N81" s="9"/>
      <c r="O81" s="9"/>
      <c r="P81" s="11">
        <v>45</v>
      </c>
      <c r="Q81" s="12">
        <v>25773241</v>
      </c>
      <c r="R81">
        <v>25773241</v>
      </c>
      <c r="S81" s="22">
        <v>0.22</v>
      </c>
      <c r="T81" s="22">
        <v>7.0000000000000007E-2</v>
      </c>
      <c r="U81" s="12">
        <v>21510346.940000001</v>
      </c>
      <c r="V81" s="24">
        <v>21510346.940000001</v>
      </c>
      <c r="W81" s="8">
        <v>17706513.190000001</v>
      </c>
      <c r="X81" s="24">
        <v>17706513.190000001</v>
      </c>
      <c r="Y81" s="22">
        <v>0.12</v>
      </c>
      <c r="Z81" s="22">
        <v>0.11</v>
      </c>
      <c r="AA81" s="8" t="s">
        <v>585</v>
      </c>
      <c r="AB81" s="8">
        <v>18565693.719999999</v>
      </c>
      <c r="AC81" s="24">
        <v>18565693.719999999</v>
      </c>
      <c r="AD81" s="8">
        <v>18465552.600000001</v>
      </c>
      <c r="AE81" s="24">
        <v>18465552.600000001</v>
      </c>
      <c r="AF81" s="8">
        <v>60</v>
      </c>
      <c r="AG81" s="8">
        <v>108</v>
      </c>
      <c r="AH81" s="8" t="s">
        <v>353</v>
      </c>
      <c r="AI81" s="8" t="s">
        <v>336</v>
      </c>
      <c r="AJ81" s="22">
        <v>0.64</v>
      </c>
      <c r="AK81" s="8" t="s">
        <v>152</v>
      </c>
      <c r="AL81" s="22">
        <v>0.15</v>
      </c>
      <c r="AM81" s="22">
        <v>0.05</v>
      </c>
      <c r="AN81" s="8">
        <v>2</v>
      </c>
      <c r="AO81" s="8"/>
      <c r="AP81" s="8">
        <v>4214934.53</v>
      </c>
      <c r="AQ81" s="24">
        <v>4214934.53</v>
      </c>
      <c r="AR81" s="8">
        <v>4409210.4000000004</v>
      </c>
      <c r="AS81" s="37">
        <v>4409210.4000000004</v>
      </c>
      <c r="AT81" s="8" t="s">
        <v>321</v>
      </c>
      <c r="AU81" s="8" t="s">
        <v>321</v>
      </c>
      <c r="AV81" s="8"/>
      <c r="AW81" s="8">
        <v>48</v>
      </c>
      <c r="AX81" s="8" t="s">
        <v>387</v>
      </c>
      <c r="AY81" s="8" t="s">
        <v>206</v>
      </c>
      <c r="AZ81" s="8" t="s">
        <v>188</v>
      </c>
      <c r="BA81" s="21">
        <f>IF(OR(tblsales[[#This Row],[Invoice Value USD]]="",tblsales[[#This Row],[Collected Amount USD]]=""),"",tblsales[[#This Row],[Invoice Value USD]]-tblsales[[#This Row],[Collected Amount USD]])</f>
        <v>100141.11999999732</v>
      </c>
      <c r="BB81" s="21">
        <f>IF(OR(tblsales[[#This Row],[Contract Value USD]]="",tblsales[[#This Row],[Cost Estimate USD]]=""),"",tblsales[[#This Row],[Contract Value USD]]-tblsales[[#This Row],[Cost Estimate USD]])</f>
        <v>3803833.75</v>
      </c>
      <c r="BC81" s="21">
        <f>IF(OR(tblsales[[#This Row],[Contract Value USD]]="",tblsales[[#This Row],[Cost Estimate USD]]=""),"",tblsales[[#This Row],[Contract Value USD]]-tblsales[[#This Row],[Cost Estimate USD]])</f>
        <v>3803833.75</v>
      </c>
      <c r="BD81" s="23">
        <f>IF(tblsales[[#This Row],[Invoice Value USD]]="","",tblsales[[#This Row],[Collected Amount USD]]/tblsales[[#This Row],[Invoice Value USD]])</f>
        <v>0.99460612021773687</v>
      </c>
      <c r="BE81" s="11">
        <f>IF(tblsales[[#This Row],[SalesStage]]="Won",1,0)</f>
        <v>0</v>
      </c>
      <c r="BF81" s="21" t="str">
        <f>IF(tblsales[[#This Row],[Win Flag]]=1,"Won","Lost")</f>
        <v>Lost</v>
      </c>
      <c r="BG81" s="8"/>
    </row>
    <row r="82" spans="1:59" x14ac:dyDescent="0.3">
      <c r="A82" s="10" t="s">
        <v>586</v>
      </c>
      <c r="B82" s="9">
        <v>45745</v>
      </c>
      <c r="C82" s="10" t="s">
        <v>249</v>
      </c>
      <c r="D82" s="10" t="s">
        <v>232</v>
      </c>
      <c r="E82" s="10" t="s">
        <v>113</v>
      </c>
      <c r="F82" s="10" t="s">
        <v>367</v>
      </c>
      <c r="G82" s="10" t="s">
        <v>66</v>
      </c>
      <c r="H82" s="10" t="s">
        <v>332</v>
      </c>
      <c r="I82" s="10" t="s">
        <v>203</v>
      </c>
      <c r="J82" s="10" t="s">
        <v>111</v>
      </c>
      <c r="K82" s="10" t="s">
        <v>204</v>
      </c>
      <c r="L82" s="10" t="s">
        <v>587</v>
      </c>
      <c r="M82" s="9">
        <v>45902</v>
      </c>
      <c r="N82" s="9"/>
      <c r="O82" s="9">
        <v>45792</v>
      </c>
      <c r="P82" s="11">
        <v>37</v>
      </c>
      <c r="Q82" s="12">
        <v>2117387</v>
      </c>
      <c r="R82">
        <v>576564.48009999993</v>
      </c>
      <c r="S82" s="22">
        <v>0.02</v>
      </c>
      <c r="T82" s="22">
        <v>0.04</v>
      </c>
      <c r="U82" s="12">
        <v>2158040.83</v>
      </c>
      <c r="V82" s="24">
        <v>587634.51800899999</v>
      </c>
      <c r="W82" s="8"/>
      <c r="X82" s="24"/>
      <c r="Y82" s="22">
        <v>0.38</v>
      </c>
      <c r="Z82" s="22">
        <v>0.12</v>
      </c>
      <c r="AA82" s="8" t="s">
        <v>588</v>
      </c>
      <c r="AB82" s="8">
        <v>1786817.95</v>
      </c>
      <c r="AC82" s="24">
        <v>486550.52778499998</v>
      </c>
      <c r="AD82" s="8">
        <v>1771438.65</v>
      </c>
      <c r="AE82" s="24">
        <v>482362.74439499993</v>
      </c>
      <c r="AF82" s="8">
        <v>90</v>
      </c>
      <c r="AG82" s="8">
        <v>139</v>
      </c>
      <c r="AH82" s="8" t="s">
        <v>342</v>
      </c>
      <c r="AI82" s="8" t="s">
        <v>320</v>
      </c>
      <c r="AJ82" s="22">
        <v>0.93</v>
      </c>
      <c r="AK82" s="8" t="s">
        <v>153</v>
      </c>
      <c r="AL82" s="22">
        <v>0.15</v>
      </c>
      <c r="AM82" s="22">
        <v>0.05</v>
      </c>
      <c r="AN82" s="8">
        <v>5</v>
      </c>
      <c r="AO82" s="8"/>
      <c r="AP82" s="8">
        <v>247525.66</v>
      </c>
      <c r="AQ82" s="24">
        <v>67401.237217999995</v>
      </c>
      <c r="AR82" s="8">
        <v>556560.53</v>
      </c>
      <c r="AS82" s="37">
        <v>151551.43231900001</v>
      </c>
      <c r="AT82" s="8" t="s">
        <v>332</v>
      </c>
      <c r="AU82" s="8" t="s">
        <v>321</v>
      </c>
      <c r="AV82" s="8">
        <v>89.9</v>
      </c>
      <c r="AW82" s="8">
        <v>48</v>
      </c>
      <c r="AX82" s="8" t="s">
        <v>387</v>
      </c>
      <c r="AY82" s="8" t="s">
        <v>206</v>
      </c>
      <c r="AZ82" s="8" t="s">
        <v>188</v>
      </c>
      <c r="BA82" s="21">
        <f>IF(OR(tblsales[[#This Row],[Invoice Value USD]]="",tblsales[[#This Row],[Collected Amount USD]]=""),"",tblsales[[#This Row],[Invoice Value USD]]-tblsales[[#This Row],[Collected Amount USD]])</f>
        <v>4187.7833900000551</v>
      </c>
      <c r="BB82" s="21" t="str">
        <f>IF(OR(tblsales[[#This Row],[Contract Value USD]]="",tblsales[[#This Row],[Cost Estimate USD]]=""),"",tblsales[[#This Row],[Contract Value USD]]-tblsales[[#This Row],[Cost Estimate USD]])</f>
        <v/>
      </c>
      <c r="BC82" s="21" t="str">
        <f>IF(OR(tblsales[[#This Row],[Contract Value USD]]="",tblsales[[#This Row],[Cost Estimate USD]]=""),"",tblsales[[#This Row],[Contract Value USD]]-tblsales[[#This Row],[Cost Estimate USD]])</f>
        <v/>
      </c>
      <c r="BD82" s="23">
        <f>IF(tblsales[[#This Row],[Invoice Value USD]]="","",tblsales[[#This Row],[Collected Amount USD]]/tblsales[[#This Row],[Invoice Value USD]])</f>
        <v>0.99139291162818222</v>
      </c>
      <c r="BE82" s="11">
        <f>IF(tblsales[[#This Row],[SalesStage]]="Won",1,0)</f>
        <v>1</v>
      </c>
      <c r="BF82" s="21" t="str">
        <f>IF(tblsales[[#This Row],[Win Flag]]=1,"Won","Lost")</f>
        <v>Won</v>
      </c>
      <c r="BG82" s="8"/>
    </row>
    <row r="83" spans="1:59" x14ac:dyDescent="0.3">
      <c r="A83" s="10" t="s">
        <v>589</v>
      </c>
      <c r="B83" s="9">
        <v>46071</v>
      </c>
      <c r="C83" s="10" t="s">
        <v>201</v>
      </c>
      <c r="D83" s="10" t="s">
        <v>332</v>
      </c>
      <c r="E83" s="10" t="s">
        <v>20</v>
      </c>
      <c r="F83" s="10" t="s">
        <v>196</v>
      </c>
      <c r="G83" s="10" t="s">
        <v>66</v>
      </c>
      <c r="H83" s="10" t="s">
        <v>212</v>
      </c>
      <c r="I83" s="10" t="s">
        <v>183</v>
      </c>
      <c r="J83" s="10" t="s">
        <v>136</v>
      </c>
      <c r="K83" s="10" t="s">
        <v>333</v>
      </c>
      <c r="L83" s="10" t="s">
        <v>590</v>
      </c>
      <c r="M83" s="9">
        <v>46060</v>
      </c>
      <c r="N83" s="9"/>
      <c r="O83" s="9"/>
      <c r="P83" s="11">
        <v>29</v>
      </c>
      <c r="Q83" s="12">
        <v>46768488</v>
      </c>
      <c r="R83">
        <v>12735059.282399999</v>
      </c>
      <c r="S83" s="22">
        <v>0.24</v>
      </c>
      <c r="T83" s="22">
        <v>0.02</v>
      </c>
      <c r="U83" s="12">
        <v>36254931.899999999</v>
      </c>
      <c r="V83" s="24">
        <v>9872217.9563699998</v>
      </c>
      <c r="W83" s="8">
        <v>30448295.079999998</v>
      </c>
      <c r="X83" s="24">
        <v>8291070.7502839994</v>
      </c>
      <c r="Y83" s="22">
        <v>0.21</v>
      </c>
      <c r="Z83" s="22">
        <v>0.17</v>
      </c>
      <c r="AA83" s="8" t="s">
        <v>591</v>
      </c>
      <c r="AB83" s="8">
        <v>24707295.890000001</v>
      </c>
      <c r="AC83" s="24">
        <v>6727796.6708469996</v>
      </c>
      <c r="AD83" s="8">
        <v>23398968.460000001</v>
      </c>
      <c r="AE83" s="24">
        <v>6371539.1116580004</v>
      </c>
      <c r="AF83" s="8">
        <v>90</v>
      </c>
      <c r="AG83" s="8">
        <v>49</v>
      </c>
      <c r="AH83" s="8" t="s">
        <v>347</v>
      </c>
      <c r="AI83" s="8" t="s">
        <v>336</v>
      </c>
      <c r="AJ83" s="22">
        <v>0.85</v>
      </c>
      <c r="AK83" s="8" t="s">
        <v>153</v>
      </c>
      <c r="AL83" s="22">
        <v>0.05</v>
      </c>
      <c r="AM83" s="22">
        <v>0.02</v>
      </c>
      <c r="AN83" s="8">
        <v>3</v>
      </c>
      <c r="AO83" s="8">
        <v>594</v>
      </c>
      <c r="AP83" s="8">
        <v>2239425.81</v>
      </c>
      <c r="AQ83" s="24">
        <v>609795.64806299994</v>
      </c>
      <c r="AR83" s="8">
        <v>7252138.7999999998</v>
      </c>
      <c r="AS83" s="37">
        <v>1974757.3952399998</v>
      </c>
      <c r="AT83" s="8" t="s">
        <v>355</v>
      </c>
      <c r="AU83" s="8" t="s">
        <v>386</v>
      </c>
      <c r="AV83" s="8"/>
      <c r="AW83" s="8">
        <v>12</v>
      </c>
      <c r="AX83" s="8" t="s">
        <v>387</v>
      </c>
      <c r="AY83" s="8" t="s">
        <v>192</v>
      </c>
      <c r="AZ83" s="8" t="s">
        <v>332</v>
      </c>
      <c r="BA83" s="21">
        <f>IF(OR(tblsales[[#This Row],[Invoice Value USD]]="",tblsales[[#This Row],[Collected Amount USD]]=""),"",tblsales[[#This Row],[Invoice Value USD]]-tblsales[[#This Row],[Collected Amount USD]])</f>
        <v>356257.55918899924</v>
      </c>
      <c r="BB83" s="21">
        <f>IF(OR(tblsales[[#This Row],[Contract Value USD]]="",tblsales[[#This Row],[Cost Estimate USD]]=""),"",tblsales[[#This Row],[Contract Value USD]]-tblsales[[#This Row],[Cost Estimate USD]])</f>
        <v>1581147.2060860004</v>
      </c>
      <c r="BC83" s="21">
        <f>IF(OR(tblsales[[#This Row],[Contract Value USD]]="",tblsales[[#This Row],[Cost Estimate USD]]=""),"",tblsales[[#This Row],[Contract Value USD]]-tblsales[[#This Row],[Cost Estimate USD]])</f>
        <v>1581147.2060860004</v>
      </c>
      <c r="BD83" s="23">
        <f>IF(tblsales[[#This Row],[Invoice Value USD]]="","",tblsales[[#This Row],[Collected Amount USD]]/tblsales[[#This Row],[Invoice Value USD]])</f>
        <v>0.9470469194271669</v>
      </c>
      <c r="BE83" s="11">
        <f>IF(tblsales[[#This Row],[SalesStage]]="Won",1,0)</f>
        <v>0</v>
      </c>
      <c r="BF83" s="21" t="str">
        <f>IF(tblsales[[#This Row],[Win Flag]]=1,"Won","Lost")</f>
        <v>Lost</v>
      </c>
      <c r="BG83" s="8"/>
    </row>
    <row r="84" spans="1:59" x14ac:dyDescent="0.3">
      <c r="A84" s="10" t="s">
        <v>592</v>
      </c>
      <c r="B84" s="9">
        <v>45759</v>
      </c>
      <c r="C84" s="10" t="s">
        <v>217</v>
      </c>
      <c r="D84" s="10" t="s">
        <v>220</v>
      </c>
      <c r="E84" s="10" t="s">
        <v>36</v>
      </c>
      <c r="F84" s="10" t="s">
        <v>19</v>
      </c>
      <c r="G84" s="10" t="s">
        <v>57</v>
      </c>
      <c r="H84" s="10" t="s">
        <v>263</v>
      </c>
      <c r="I84" s="10" t="s">
        <v>240</v>
      </c>
      <c r="J84" s="10" t="s">
        <v>115</v>
      </c>
      <c r="K84" s="10" t="s">
        <v>326</v>
      </c>
      <c r="L84" s="10" t="s">
        <v>593</v>
      </c>
      <c r="M84" s="9">
        <v>45691</v>
      </c>
      <c r="N84" s="9" t="s">
        <v>594</v>
      </c>
      <c r="O84" s="9">
        <v>45808</v>
      </c>
      <c r="P84" s="11">
        <v>18</v>
      </c>
      <c r="Q84" s="12">
        <v>31126088</v>
      </c>
      <c r="R84">
        <v>36137388.167999998</v>
      </c>
      <c r="S84" s="22">
        <v>0.26</v>
      </c>
      <c r="T84" s="22">
        <v>-0.03</v>
      </c>
      <c r="U84" s="12">
        <v>22342305.969999999</v>
      </c>
      <c r="V84" s="24">
        <v>25939417.231169999</v>
      </c>
      <c r="W84" s="8">
        <v>14018020.02</v>
      </c>
      <c r="X84" s="24">
        <v>16274921.24322</v>
      </c>
      <c r="Y84" s="22">
        <v>0.38</v>
      </c>
      <c r="Z84" s="22">
        <v>0.2</v>
      </c>
      <c r="AA84" s="8" t="s">
        <v>595</v>
      </c>
      <c r="AB84" s="8">
        <v>13765244.43</v>
      </c>
      <c r="AC84" s="24">
        <v>15981448.783229999</v>
      </c>
      <c r="AD84" s="8"/>
      <c r="AE84" s="24"/>
      <c r="AF84" s="8">
        <v>90</v>
      </c>
      <c r="AG84" s="8">
        <v>175</v>
      </c>
      <c r="AH84" s="8" t="s">
        <v>332</v>
      </c>
      <c r="AI84" s="8" t="s">
        <v>406</v>
      </c>
      <c r="AJ84" s="22">
        <v>0.95</v>
      </c>
      <c r="AK84" s="8" t="s">
        <v>159</v>
      </c>
      <c r="AL84" s="22">
        <v>0.1</v>
      </c>
      <c r="AM84" s="22">
        <v>0.02</v>
      </c>
      <c r="AN84" s="8">
        <v>1</v>
      </c>
      <c r="AO84" s="8">
        <v>889</v>
      </c>
      <c r="AP84" s="8">
        <v>1642498.31</v>
      </c>
      <c r="AQ84" s="24">
        <v>1906940.5379100002</v>
      </c>
      <c r="AR84" s="8">
        <v>9281546.4299999997</v>
      </c>
      <c r="AS84" s="37">
        <v>10775875.405230001</v>
      </c>
      <c r="AT84" s="8" t="s">
        <v>343</v>
      </c>
      <c r="AU84" s="8" t="s">
        <v>356</v>
      </c>
      <c r="AV84" s="8"/>
      <c r="AW84" s="8">
        <v>48</v>
      </c>
      <c r="AX84" s="8" t="s">
        <v>337</v>
      </c>
      <c r="AY84" s="8" t="s">
        <v>192</v>
      </c>
      <c r="AZ84" s="8" t="s">
        <v>188</v>
      </c>
      <c r="BA84" s="21" t="str">
        <f>IF(OR(tblsales[[#This Row],[Invoice Value USD]]="",tblsales[[#This Row],[Collected Amount USD]]=""),"",tblsales[[#This Row],[Invoice Value USD]]-tblsales[[#This Row],[Collected Amount USD]])</f>
        <v/>
      </c>
      <c r="BB84" s="21">
        <f>IF(OR(tblsales[[#This Row],[Contract Value USD]]="",tblsales[[#This Row],[Cost Estimate USD]]=""),"",tblsales[[#This Row],[Contract Value USD]]-tblsales[[#This Row],[Cost Estimate USD]])</f>
        <v>9664495.987949999</v>
      </c>
      <c r="BC84" s="21">
        <f>IF(OR(tblsales[[#This Row],[Contract Value USD]]="",tblsales[[#This Row],[Cost Estimate USD]]=""),"",tblsales[[#This Row],[Contract Value USD]]-tblsales[[#This Row],[Cost Estimate USD]])</f>
        <v>9664495.987949999</v>
      </c>
      <c r="BD84" s="23">
        <f>IF(tblsales[[#This Row],[Invoice Value USD]]="","",tblsales[[#This Row],[Collected Amount USD]]/tblsales[[#This Row],[Invoice Value USD]])</f>
        <v>0</v>
      </c>
      <c r="BE84" s="11">
        <f>IF(tblsales[[#This Row],[SalesStage]]="Won",1,0)</f>
        <v>0</v>
      </c>
      <c r="BF84" s="21" t="str">
        <f>IF(tblsales[[#This Row],[Win Flag]]=1,"Won","Lost")</f>
        <v>Lost</v>
      </c>
      <c r="BG84" s="8"/>
    </row>
    <row r="85" spans="1:59" x14ac:dyDescent="0.3">
      <c r="A85" s="10" t="s">
        <v>596</v>
      </c>
      <c r="B85" s="9">
        <v>45817</v>
      </c>
      <c r="C85" s="10" t="s">
        <v>252</v>
      </c>
      <c r="D85" s="10" t="s">
        <v>253</v>
      </c>
      <c r="E85" s="10" t="s">
        <v>20</v>
      </c>
      <c r="F85" s="10" t="s">
        <v>35</v>
      </c>
      <c r="G85" s="10" t="s">
        <v>66</v>
      </c>
      <c r="H85" s="10" t="s">
        <v>212</v>
      </c>
      <c r="I85" s="10" t="s">
        <v>332</v>
      </c>
      <c r="J85" s="10" t="s">
        <v>136</v>
      </c>
      <c r="K85" s="10" t="s">
        <v>223</v>
      </c>
      <c r="L85" s="10" t="s">
        <v>597</v>
      </c>
      <c r="M85" s="9">
        <v>45888</v>
      </c>
      <c r="N85" s="9"/>
      <c r="O85" s="9">
        <v>46006</v>
      </c>
      <c r="P85" s="11">
        <v>23</v>
      </c>
      <c r="Q85" s="12">
        <v>47620866</v>
      </c>
      <c r="R85">
        <v>13081451.8902</v>
      </c>
      <c r="S85" s="22">
        <v>0.16</v>
      </c>
      <c r="T85" s="22">
        <v>0.02</v>
      </c>
      <c r="U85" s="12">
        <v>40801557.990000002</v>
      </c>
      <c r="V85" s="24">
        <v>11208187.979853</v>
      </c>
      <c r="W85" s="8">
        <v>28422659.75</v>
      </c>
      <c r="X85" s="24">
        <v>7807704.6333250003</v>
      </c>
      <c r="Y85" s="22">
        <v>0.28000000000000003</v>
      </c>
      <c r="Z85" s="22">
        <v>0.06</v>
      </c>
      <c r="AA85" s="8" t="s">
        <v>598</v>
      </c>
      <c r="AB85" s="8">
        <v>26214271.02</v>
      </c>
      <c r="AC85" s="24">
        <v>7201060.2491939999</v>
      </c>
      <c r="AD85" s="8">
        <v>11844149.470000001</v>
      </c>
      <c r="AE85" s="24">
        <v>3253587.8594090003</v>
      </c>
      <c r="AF85" s="8">
        <v>45</v>
      </c>
      <c r="AG85" s="8">
        <v>140</v>
      </c>
      <c r="AH85" s="8" t="s">
        <v>353</v>
      </c>
      <c r="AI85" s="8" t="s">
        <v>226</v>
      </c>
      <c r="AJ85" s="22">
        <v>0.38</v>
      </c>
      <c r="AK85" s="8" t="s">
        <v>155</v>
      </c>
      <c r="AL85" s="22">
        <v>0.15</v>
      </c>
      <c r="AM85" s="22">
        <v>0.05</v>
      </c>
      <c r="AN85" s="8">
        <v>5</v>
      </c>
      <c r="AO85" s="8">
        <v>4687</v>
      </c>
      <c r="AP85" s="8">
        <v>4462781.7300000004</v>
      </c>
      <c r="AQ85" s="24">
        <v>1225926.1412310002</v>
      </c>
      <c r="AR85" s="8">
        <v>14263742.949999999</v>
      </c>
      <c r="AS85" s="37">
        <v>3918250.1883649998</v>
      </c>
      <c r="AT85" s="8" t="s">
        <v>343</v>
      </c>
      <c r="AU85" s="8" t="s">
        <v>322</v>
      </c>
      <c r="AV85" s="8">
        <v>51.6</v>
      </c>
      <c r="AW85" s="8">
        <v>12</v>
      </c>
      <c r="AX85" s="8" t="s">
        <v>323</v>
      </c>
      <c r="AY85" s="8" t="s">
        <v>192</v>
      </c>
      <c r="AZ85" s="8" t="s">
        <v>357</v>
      </c>
      <c r="BA85" s="21">
        <f>IF(OR(tblsales[[#This Row],[Invoice Value USD]]="",tblsales[[#This Row],[Collected Amount USD]]=""),"",tblsales[[#This Row],[Invoice Value USD]]-tblsales[[#This Row],[Collected Amount USD]])</f>
        <v>3947472.3897849997</v>
      </c>
      <c r="BB85" s="21">
        <f>IF(OR(tblsales[[#This Row],[Contract Value USD]]="",tblsales[[#This Row],[Cost Estimate USD]]=""),"",tblsales[[#This Row],[Contract Value USD]]-tblsales[[#This Row],[Cost Estimate USD]])</f>
        <v>3400483.3465280002</v>
      </c>
      <c r="BC85" s="21">
        <f>IF(OR(tblsales[[#This Row],[Contract Value USD]]="",tblsales[[#This Row],[Cost Estimate USD]]=""),"",tblsales[[#This Row],[Contract Value USD]]-tblsales[[#This Row],[Cost Estimate USD]])</f>
        <v>3400483.3465280002</v>
      </c>
      <c r="BD85" s="23">
        <f>IF(tblsales[[#This Row],[Invoice Value USD]]="","",tblsales[[#This Row],[Collected Amount USD]]/tblsales[[#This Row],[Invoice Value USD]])</f>
        <v>0.4518206690151173</v>
      </c>
      <c r="BE85" s="11">
        <f>IF(tblsales[[#This Row],[SalesStage]]="Won",1,0)</f>
        <v>0</v>
      </c>
      <c r="BF85" s="21" t="str">
        <f>IF(tblsales[[#This Row],[Win Flag]]=1,"Won","Lost")</f>
        <v>Lost</v>
      </c>
      <c r="BG85" s="8"/>
    </row>
    <row r="86" spans="1:59" x14ac:dyDescent="0.3">
      <c r="A86" s="10" t="s">
        <v>599</v>
      </c>
      <c r="B86" s="9">
        <v>45897</v>
      </c>
      <c r="C86" s="10" t="s">
        <v>277</v>
      </c>
      <c r="D86" s="10" t="s">
        <v>253</v>
      </c>
      <c r="E86" s="10" t="s">
        <v>332</v>
      </c>
      <c r="F86" s="10" t="s">
        <v>19</v>
      </c>
      <c r="G86" s="10" t="s">
        <v>33</v>
      </c>
      <c r="H86" s="10" t="s">
        <v>236</v>
      </c>
      <c r="I86" s="10" t="s">
        <v>203</v>
      </c>
      <c r="J86" s="10" t="s">
        <v>105</v>
      </c>
      <c r="K86" s="10" t="s">
        <v>210</v>
      </c>
      <c r="L86" s="10" t="s">
        <v>600</v>
      </c>
      <c r="M86" s="9">
        <v>45814</v>
      </c>
      <c r="N86" s="9">
        <v>45971</v>
      </c>
      <c r="O86" s="9">
        <v>45948</v>
      </c>
      <c r="P86" s="11">
        <v>35</v>
      </c>
      <c r="Q86" s="12">
        <v>43076975</v>
      </c>
      <c r="R86">
        <v>43076975</v>
      </c>
      <c r="S86" s="22">
        <v>0.03</v>
      </c>
      <c r="T86" s="22">
        <v>0.09</v>
      </c>
      <c r="U86" s="12">
        <v>45545285.670000002</v>
      </c>
      <c r="V86" s="24">
        <v>45545285.670000002</v>
      </c>
      <c r="W86" s="8">
        <v>29488428.960000001</v>
      </c>
      <c r="X86" s="24">
        <v>29488428.960000001</v>
      </c>
      <c r="Y86" s="22">
        <v>0.21</v>
      </c>
      <c r="Z86" s="22">
        <v>0.1</v>
      </c>
      <c r="AA86" s="8" t="s">
        <v>601</v>
      </c>
      <c r="AB86" s="8">
        <v>38599961.130000003</v>
      </c>
      <c r="AC86" s="24">
        <v>38599961.130000003</v>
      </c>
      <c r="AD86" s="8">
        <v>24424610.300000001</v>
      </c>
      <c r="AE86" s="24">
        <v>24424610.300000001</v>
      </c>
      <c r="AF86" s="8">
        <v>60</v>
      </c>
      <c r="AG86" s="8">
        <v>15</v>
      </c>
      <c r="AH86" s="8" t="s">
        <v>353</v>
      </c>
      <c r="AI86" s="8" t="s">
        <v>406</v>
      </c>
      <c r="AJ86" s="22">
        <v>0.82</v>
      </c>
      <c r="AK86" s="8" t="s">
        <v>152</v>
      </c>
      <c r="AL86" s="22">
        <v>0.1</v>
      </c>
      <c r="AM86" s="22">
        <v>0.06</v>
      </c>
      <c r="AN86" s="8">
        <v>2</v>
      </c>
      <c r="AO86" s="8">
        <v>2659</v>
      </c>
      <c r="AP86" s="8">
        <v>6810080.5800000001</v>
      </c>
      <c r="AQ86" s="24">
        <v>6810080.5800000001</v>
      </c>
      <c r="AR86" s="8">
        <v>18504288.41</v>
      </c>
      <c r="AS86" s="37">
        <v>18504288.41</v>
      </c>
      <c r="AT86" s="8" t="s">
        <v>332</v>
      </c>
      <c r="AU86" s="8" t="s">
        <v>386</v>
      </c>
      <c r="AV86" s="8">
        <v>99.8</v>
      </c>
      <c r="AW86" s="8">
        <v>36</v>
      </c>
      <c r="AX86" s="8" t="s">
        <v>387</v>
      </c>
      <c r="AY86" s="8" t="s">
        <v>206</v>
      </c>
      <c r="AZ86" s="8" t="s">
        <v>332</v>
      </c>
      <c r="BA86" s="21">
        <f>IF(OR(tblsales[[#This Row],[Invoice Value USD]]="",tblsales[[#This Row],[Collected Amount USD]]=""),"",tblsales[[#This Row],[Invoice Value USD]]-tblsales[[#This Row],[Collected Amount USD]])</f>
        <v>14175350.830000002</v>
      </c>
      <c r="BB86" s="21">
        <f>IF(OR(tblsales[[#This Row],[Contract Value USD]]="",tblsales[[#This Row],[Cost Estimate USD]]=""),"",tblsales[[#This Row],[Contract Value USD]]-tblsales[[#This Row],[Cost Estimate USD]])</f>
        <v>16056856.710000001</v>
      </c>
      <c r="BC86" s="21">
        <f>IF(OR(tblsales[[#This Row],[Contract Value USD]]="",tblsales[[#This Row],[Cost Estimate USD]]=""),"",tblsales[[#This Row],[Contract Value USD]]-tblsales[[#This Row],[Cost Estimate USD]])</f>
        <v>16056856.710000001</v>
      </c>
      <c r="BD86" s="23">
        <f>IF(tblsales[[#This Row],[Invoice Value USD]]="","",tblsales[[#This Row],[Collected Amount USD]]/tblsales[[#This Row],[Invoice Value USD]])</f>
        <v>0.63276256205908776</v>
      </c>
      <c r="BE86" s="11">
        <f>IF(tblsales[[#This Row],[SalesStage]]="Won",1,0)</f>
        <v>0</v>
      </c>
      <c r="BF86" s="21" t="str">
        <f>IF(tblsales[[#This Row],[Win Flag]]=1,"Won","Lost")</f>
        <v>Lost</v>
      </c>
      <c r="BG86" s="8"/>
    </row>
    <row r="87" spans="1:59" x14ac:dyDescent="0.3">
      <c r="A87" s="10" t="s">
        <v>602</v>
      </c>
      <c r="B87" s="9">
        <v>45666</v>
      </c>
      <c r="C87" s="10" t="s">
        <v>237</v>
      </c>
      <c r="D87" s="10" t="s">
        <v>274</v>
      </c>
      <c r="E87" s="10" t="s">
        <v>41</v>
      </c>
      <c r="F87" s="10" t="s">
        <v>228</v>
      </c>
      <c r="G87" s="10" t="s">
        <v>332</v>
      </c>
      <c r="H87" s="10" t="s">
        <v>197</v>
      </c>
      <c r="I87" s="10" t="s">
        <v>191</v>
      </c>
      <c r="J87" s="10" t="s">
        <v>130</v>
      </c>
      <c r="K87" s="10" t="s">
        <v>223</v>
      </c>
      <c r="L87" s="10" t="s">
        <v>603</v>
      </c>
      <c r="M87" s="9">
        <v>45595</v>
      </c>
      <c r="N87" s="9">
        <v>45841</v>
      </c>
      <c r="O87" s="9">
        <v>45734</v>
      </c>
      <c r="P87" s="11">
        <v>39</v>
      </c>
      <c r="Q87" s="12">
        <v>34936176</v>
      </c>
      <c r="R87">
        <v>40560900.336000003</v>
      </c>
      <c r="S87" s="22">
        <v>0.06</v>
      </c>
      <c r="T87" s="22">
        <v>0.17</v>
      </c>
      <c r="U87" s="12">
        <v>38422806.359999999</v>
      </c>
      <c r="V87" s="24">
        <v>44608878.183959998</v>
      </c>
      <c r="W87" s="8">
        <v>32046025.719999999</v>
      </c>
      <c r="X87" s="24">
        <v>37205435.860919997</v>
      </c>
      <c r="Y87" s="22">
        <v>0.17</v>
      </c>
      <c r="Z87" s="22">
        <v>0.18</v>
      </c>
      <c r="AA87" s="8" t="s">
        <v>604</v>
      </c>
      <c r="AB87" s="8">
        <v>2135674.2400000002</v>
      </c>
      <c r="AC87" s="24">
        <v>2479517.7926400001</v>
      </c>
      <c r="AD87" s="8">
        <v>2322578.92</v>
      </c>
      <c r="AE87" s="24">
        <v>2696514.1261200001</v>
      </c>
      <c r="AF87" s="8">
        <v>45</v>
      </c>
      <c r="AG87" s="8">
        <v>81</v>
      </c>
      <c r="AH87" s="8" t="s">
        <v>376</v>
      </c>
      <c r="AI87" s="8" t="s">
        <v>336</v>
      </c>
      <c r="AJ87" s="22">
        <v>7.0000000000000007E-2</v>
      </c>
      <c r="AK87" s="8" t="s">
        <v>159</v>
      </c>
      <c r="AL87" s="22">
        <v>0.15</v>
      </c>
      <c r="AM87" s="22">
        <v>0.08</v>
      </c>
      <c r="AN87" s="8">
        <v>4</v>
      </c>
      <c r="AO87" s="8">
        <v>103</v>
      </c>
      <c r="AP87" s="8">
        <v>6355306.3300000001</v>
      </c>
      <c r="AQ87" s="24">
        <v>7378510.6491300007</v>
      </c>
      <c r="AR87" s="8"/>
      <c r="AS87" s="37"/>
      <c r="AT87" s="8" t="s">
        <v>332</v>
      </c>
      <c r="AU87" s="8" t="s">
        <v>330</v>
      </c>
      <c r="AV87" s="8">
        <v>93.4</v>
      </c>
      <c r="AW87" s="8">
        <v>36</v>
      </c>
      <c r="AX87" s="8" t="s">
        <v>332</v>
      </c>
      <c r="AY87" s="8" t="s">
        <v>192</v>
      </c>
      <c r="AZ87" s="8" t="s">
        <v>188</v>
      </c>
      <c r="BA87" s="21">
        <f>IF(OR(tblsales[[#This Row],[Invoice Value USD]]="",tblsales[[#This Row],[Collected Amount USD]]=""),"",tblsales[[#This Row],[Invoice Value USD]]-tblsales[[#This Row],[Collected Amount USD]])</f>
        <v>-216996.33348000003</v>
      </c>
      <c r="BB87" s="21">
        <f>IF(OR(tblsales[[#This Row],[Contract Value USD]]="",tblsales[[#This Row],[Cost Estimate USD]]=""),"",tblsales[[#This Row],[Contract Value USD]]-tblsales[[#This Row],[Cost Estimate USD]])</f>
        <v>7403442.3230400011</v>
      </c>
      <c r="BC87" s="21">
        <f>IF(OR(tblsales[[#This Row],[Contract Value USD]]="",tblsales[[#This Row],[Cost Estimate USD]]=""),"",tblsales[[#This Row],[Contract Value USD]]-tblsales[[#This Row],[Cost Estimate USD]])</f>
        <v>7403442.3230400011</v>
      </c>
      <c r="BD87" s="23">
        <f>IF(tblsales[[#This Row],[Invoice Value USD]]="","",tblsales[[#This Row],[Collected Amount USD]]/tblsales[[#This Row],[Invoice Value USD]])</f>
        <v>1.0875155379502073</v>
      </c>
      <c r="BE87" s="11">
        <f>IF(tblsales[[#This Row],[SalesStage]]="Won",1,0)</f>
        <v>0</v>
      </c>
      <c r="BF87" s="21" t="str">
        <f>IF(tblsales[[#This Row],[Win Flag]]=1,"Won","Lost")</f>
        <v>Lost</v>
      </c>
      <c r="BG87" s="8"/>
    </row>
    <row r="88" spans="1:59" x14ac:dyDescent="0.3">
      <c r="A88" s="10" t="s">
        <v>605</v>
      </c>
      <c r="B88" s="9">
        <v>46002</v>
      </c>
      <c r="C88" s="10" t="s">
        <v>284</v>
      </c>
      <c r="D88" s="10" t="s">
        <v>281</v>
      </c>
      <c r="E88" s="10" t="s">
        <v>36</v>
      </c>
      <c r="F88" s="10" t="s">
        <v>339</v>
      </c>
      <c r="G88" s="10" t="s">
        <v>70</v>
      </c>
      <c r="H88" s="10" t="s">
        <v>182</v>
      </c>
      <c r="I88" s="10" t="s">
        <v>198</v>
      </c>
      <c r="J88" s="10" t="s">
        <v>115</v>
      </c>
      <c r="K88" s="10" t="s">
        <v>221</v>
      </c>
      <c r="L88" s="10" t="s">
        <v>606</v>
      </c>
      <c r="M88" s="9">
        <v>45961</v>
      </c>
      <c r="N88" s="9"/>
      <c r="O88" s="9">
        <v>46207</v>
      </c>
      <c r="P88" s="11">
        <v>29</v>
      </c>
      <c r="Q88" s="12">
        <v>49295406</v>
      </c>
      <c r="R88">
        <v>49295406</v>
      </c>
      <c r="S88" s="22">
        <v>0.35</v>
      </c>
      <c r="T88" s="22">
        <v>0.19</v>
      </c>
      <c r="U88" s="12">
        <v>38129996.539999999</v>
      </c>
      <c r="V88" s="24">
        <v>38129996.539999999</v>
      </c>
      <c r="W88" s="8">
        <v>26862291.140000001</v>
      </c>
      <c r="X88" s="24">
        <v>26862291.140000001</v>
      </c>
      <c r="Y88" s="22">
        <v>0.26</v>
      </c>
      <c r="Z88" s="22">
        <v>0.05</v>
      </c>
      <c r="AA88" s="8" t="s">
        <v>607</v>
      </c>
      <c r="AB88" s="8">
        <v>26306425.010000002</v>
      </c>
      <c r="AC88" s="24">
        <v>26306425.010000002</v>
      </c>
      <c r="AD88" s="8">
        <v>19998246.440000001</v>
      </c>
      <c r="AE88" s="24">
        <v>19998246.440000001</v>
      </c>
      <c r="AF88" s="8">
        <v>30</v>
      </c>
      <c r="AG88" s="8">
        <v>57</v>
      </c>
      <c r="AH88" s="8" t="s">
        <v>329</v>
      </c>
      <c r="AI88" s="8" t="s">
        <v>381</v>
      </c>
      <c r="AJ88" s="22">
        <v>0.46</v>
      </c>
      <c r="AK88" s="8" t="s">
        <v>152</v>
      </c>
      <c r="AL88" s="22">
        <v>0.1</v>
      </c>
      <c r="AM88" s="22">
        <v>0.02</v>
      </c>
      <c r="AN88" s="8">
        <v>10</v>
      </c>
      <c r="AO88" s="8">
        <v>1922</v>
      </c>
      <c r="AP88" s="8">
        <v>4040970.58</v>
      </c>
      <c r="AQ88" s="24">
        <v>4040970.58</v>
      </c>
      <c r="AR88" s="8">
        <v>16819357.219999999</v>
      </c>
      <c r="AS88" s="37">
        <v>16819357.219999999</v>
      </c>
      <c r="AT88" s="8" t="s">
        <v>343</v>
      </c>
      <c r="AU88" s="8" t="s">
        <v>386</v>
      </c>
      <c r="AV88" s="8">
        <v>67.5</v>
      </c>
      <c r="AW88" s="8">
        <v>12</v>
      </c>
      <c r="AX88" s="8" t="s">
        <v>337</v>
      </c>
      <c r="AY88" s="8" t="s">
        <v>192</v>
      </c>
      <c r="AZ88" s="8" t="s">
        <v>332</v>
      </c>
      <c r="BA88" s="21">
        <f>IF(OR(tblsales[[#This Row],[Invoice Value USD]]="",tblsales[[#This Row],[Collected Amount USD]]=""),"",tblsales[[#This Row],[Invoice Value USD]]-tblsales[[#This Row],[Collected Amount USD]])</f>
        <v>6308178.5700000003</v>
      </c>
      <c r="BB88" s="21">
        <f>IF(OR(tblsales[[#This Row],[Contract Value USD]]="",tblsales[[#This Row],[Cost Estimate USD]]=""),"",tblsales[[#This Row],[Contract Value USD]]-tblsales[[#This Row],[Cost Estimate USD]])</f>
        <v>11267705.399999999</v>
      </c>
      <c r="BC88" s="21">
        <f>IF(OR(tblsales[[#This Row],[Contract Value USD]]="",tblsales[[#This Row],[Cost Estimate USD]]=""),"",tblsales[[#This Row],[Contract Value USD]]-tblsales[[#This Row],[Cost Estimate USD]])</f>
        <v>11267705.399999999</v>
      </c>
      <c r="BD88" s="23">
        <f>IF(tblsales[[#This Row],[Invoice Value USD]]="","",tblsales[[#This Row],[Collected Amount USD]]/tblsales[[#This Row],[Invoice Value USD]])</f>
        <v>0.760203882982882</v>
      </c>
      <c r="BE88" s="11">
        <f>IF(tblsales[[#This Row],[SalesStage]]="Won",1,0)</f>
        <v>0</v>
      </c>
      <c r="BF88" s="21" t="str">
        <f>IF(tblsales[[#This Row],[Win Flag]]=1,"Won","Lost")</f>
        <v>Lost</v>
      </c>
      <c r="BG88" s="8"/>
    </row>
    <row r="89" spans="1:59" x14ac:dyDescent="0.3">
      <c r="A89" s="10" t="s">
        <v>608</v>
      </c>
      <c r="B89" s="9">
        <v>45814</v>
      </c>
      <c r="C89" s="10" t="s">
        <v>286</v>
      </c>
      <c r="D89" s="10" t="s">
        <v>220</v>
      </c>
      <c r="E89" s="10" t="s">
        <v>36</v>
      </c>
      <c r="F89" s="10" t="s">
        <v>339</v>
      </c>
      <c r="G89" s="10" t="s">
        <v>16</v>
      </c>
      <c r="H89" s="10" t="s">
        <v>182</v>
      </c>
      <c r="I89" s="10" t="s">
        <v>191</v>
      </c>
      <c r="J89" s="10" t="s">
        <v>115</v>
      </c>
      <c r="K89" s="10" t="s">
        <v>199</v>
      </c>
      <c r="L89" s="10" t="s">
        <v>609</v>
      </c>
      <c r="M89" s="9">
        <v>45965</v>
      </c>
      <c r="N89" s="9"/>
      <c r="O89" s="9">
        <v>45927</v>
      </c>
      <c r="P89" s="11">
        <v>27</v>
      </c>
      <c r="Q89" s="12">
        <v>30403120</v>
      </c>
      <c r="R89">
        <v>30403120</v>
      </c>
      <c r="S89" s="22">
        <v>0.17</v>
      </c>
      <c r="T89" s="22">
        <v>0.03</v>
      </c>
      <c r="U89" s="12">
        <v>25991627.289999999</v>
      </c>
      <c r="V89" s="24">
        <v>25991627.289999999</v>
      </c>
      <c r="W89" s="8">
        <v>21128766.399999999</v>
      </c>
      <c r="X89" s="24">
        <v>21128766.399999999</v>
      </c>
      <c r="Y89" s="22">
        <v>0.22</v>
      </c>
      <c r="Z89" s="22">
        <v>0.14000000000000001</v>
      </c>
      <c r="AA89" s="8" t="s">
        <v>610</v>
      </c>
      <c r="AB89" s="8">
        <v>17648601.809999999</v>
      </c>
      <c r="AC89" s="24">
        <v>17648601.809999999</v>
      </c>
      <c r="AD89" s="8">
        <v>8286022.9800000004</v>
      </c>
      <c r="AE89" s="24">
        <v>8286022.9800000004</v>
      </c>
      <c r="AF89" s="8">
        <v>120</v>
      </c>
      <c r="AG89" s="8">
        <v>134</v>
      </c>
      <c r="AH89" s="8" t="s">
        <v>332</v>
      </c>
      <c r="AI89" s="8" t="s">
        <v>406</v>
      </c>
      <c r="AJ89" s="22">
        <v>0.76</v>
      </c>
      <c r="AK89" s="8" t="s">
        <v>152</v>
      </c>
      <c r="AL89" s="22">
        <v>0.15</v>
      </c>
      <c r="AM89" s="22">
        <v>0.05</v>
      </c>
      <c r="AN89" s="8">
        <v>4</v>
      </c>
      <c r="AO89" s="8"/>
      <c r="AP89" s="8">
        <v>3684716.91</v>
      </c>
      <c r="AQ89" s="24">
        <v>3684716.91</v>
      </c>
      <c r="AR89" s="8">
        <v>6689203.3099999996</v>
      </c>
      <c r="AS89" s="37">
        <v>6689203.3099999996</v>
      </c>
      <c r="AT89" s="8" t="s">
        <v>385</v>
      </c>
      <c r="AU89" s="8" t="s">
        <v>321</v>
      </c>
      <c r="AV89" s="8">
        <v>75</v>
      </c>
      <c r="AW89" s="8">
        <v>36</v>
      </c>
      <c r="AX89" s="8" t="s">
        <v>337</v>
      </c>
      <c r="AY89" s="8" t="s">
        <v>192</v>
      </c>
      <c r="AZ89" s="8" t="s">
        <v>357</v>
      </c>
      <c r="BA89" s="21">
        <f>IF(OR(tblsales[[#This Row],[Invoice Value USD]]="",tblsales[[#This Row],[Collected Amount USD]]=""),"",tblsales[[#This Row],[Invoice Value USD]]-tblsales[[#This Row],[Collected Amount USD]])</f>
        <v>9362578.8299999982</v>
      </c>
      <c r="BB89" s="21">
        <f>IF(OR(tblsales[[#This Row],[Contract Value USD]]="",tblsales[[#This Row],[Cost Estimate USD]]=""),"",tblsales[[#This Row],[Contract Value USD]]-tblsales[[#This Row],[Cost Estimate USD]])</f>
        <v>4862860.8900000006</v>
      </c>
      <c r="BC89" s="21">
        <f>IF(OR(tblsales[[#This Row],[Contract Value USD]]="",tblsales[[#This Row],[Cost Estimate USD]]=""),"",tblsales[[#This Row],[Contract Value USD]]-tblsales[[#This Row],[Cost Estimate USD]])</f>
        <v>4862860.8900000006</v>
      </c>
      <c r="BD89" s="23">
        <f>IF(tblsales[[#This Row],[Invoice Value USD]]="","",tblsales[[#This Row],[Collected Amount USD]]/tblsales[[#This Row],[Invoice Value USD]])</f>
        <v>0.46950025102300164</v>
      </c>
      <c r="BE89" s="11">
        <f>IF(tblsales[[#This Row],[SalesStage]]="Won",1,0)</f>
        <v>0</v>
      </c>
      <c r="BF89" s="21" t="str">
        <f>IF(tblsales[[#This Row],[Win Flag]]=1,"Won","Lost")</f>
        <v>Lost</v>
      </c>
      <c r="BG89" s="8"/>
    </row>
    <row r="90" spans="1:59" x14ac:dyDescent="0.3">
      <c r="A90" s="10" t="s">
        <v>611</v>
      </c>
      <c r="B90" s="9">
        <v>45978</v>
      </c>
      <c r="C90" s="10" t="s">
        <v>243</v>
      </c>
      <c r="D90" s="10" t="s">
        <v>248</v>
      </c>
      <c r="E90" s="10" t="s">
        <v>52</v>
      </c>
      <c r="F90" s="10" t="s">
        <v>75</v>
      </c>
      <c r="G90" s="10" t="s">
        <v>57</v>
      </c>
      <c r="H90" s="10" t="s">
        <v>216</v>
      </c>
      <c r="I90" s="10" t="s">
        <v>191</v>
      </c>
      <c r="J90" s="10" t="s">
        <v>133</v>
      </c>
      <c r="K90" s="10" t="s">
        <v>221</v>
      </c>
      <c r="L90" s="10" t="s">
        <v>612</v>
      </c>
      <c r="M90" s="9">
        <v>45951</v>
      </c>
      <c r="N90" s="9">
        <v>46035</v>
      </c>
      <c r="O90" s="9">
        <v>46113</v>
      </c>
      <c r="P90" s="11">
        <v>38</v>
      </c>
      <c r="Q90" s="12">
        <v>17492569</v>
      </c>
      <c r="R90">
        <v>17492569</v>
      </c>
      <c r="S90" s="22">
        <v>0.31</v>
      </c>
      <c r="T90" s="22">
        <v>0.17</v>
      </c>
      <c r="U90" s="12">
        <v>14121750.949999999</v>
      </c>
      <c r="V90" s="24">
        <v>14121750.949999999</v>
      </c>
      <c r="W90" s="8">
        <v>11520978.460000001</v>
      </c>
      <c r="X90" s="24">
        <v>11520978.460000001</v>
      </c>
      <c r="Y90" s="22">
        <v>0.34</v>
      </c>
      <c r="Z90" s="22">
        <v>7.0000000000000007E-2</v>
      </c>
      <c r="AA90" s="8" t="s">
        <v>613</v>
      </c>
      <c r="AB90" s="8">
        <v>10487233.68</v>
      </c>
      <c r="AC90" s="24">
        <v>10487233.68</v>
      </c>
      <c r="AD90" s="8">
        <v>3393382.71</v>
      </c>
      <c r="AE90" s="24">
        <v>3393382.71</v>
      </c>
      <c r="AF90" s="8">
        <v>120</v>
      </c>
      <c r="AG90" s="8">
        <v>72</v>
      </c>
      <c r="AH90" s="8" t="s">
        <v>353</v>
      </c>
      <c r="AI90" s="8" t="s">
        <v>336</v>
      </c>
      <c r="AJ90" s="22">
        <v>0.26</v>
      </c>
      <c r="AK90" s="8" t="s">
        <v>152</v>
      </c>
      <c r="AL90" s="22">
        <v>0.1</v>
      </c>
      <c r="AM90" s="22">
        <v>0.09</v>
      </c>
      <c r="AN90" s="8">
        <v>4</v>
      </c>
      <c r="AO90" s="8">
        <v>2252</v>
      </c>
      <c r="AP90" s="8">
        <v>892843.87</v>
      </c>
      <c r="AQ90" s="24">
        <v>892843.87</v>
      </c>
      <c r="AR90" s="8">
        <v>1560161</v>
      </c>
      <c r="AS90" s="37">
        <v>1560161</v>
      </c>
      <c r="AT90" s="8" t="s">
        <v>355</v>
      </c>
      <c r="AU90" s="8" t="s">
        <v>321</v>
      </c>
      <c r="AV90" s="8">
        <v>94</v>
      </c>
      <c r="AW90" s="8">
        <v>60</v>
      </c>
      <c r="AX90" s="8" t="s">
        <v>392</v>
      </c>
      <c r="AY90" s="8" t="s">
        <v>192</v>
      </c>
      <c r="AZ90" s="8" t="s">
        <v>324</v>
      </c>
      <c r="BA90" s="21">
        <f>IF(OR(tblsales[[#This Row],[Invoice Value USD]]="",tblsales[[#This Row],[Collected Amount USD]]=""),"",tblsales[[#This Row],[Invoice Value USD]]-tblsales[[#This Row],[Collected Amount USD]])</f>
        <v>7093850.9699999997</v>
      </c>
      <c r="BB90" s="21">
        <f>IF(OR(tblsales[[#This Row],[Contract Value USD]]="",tblsales[[#This Row],[Cost Estimate USD]]=""),"",tblsales[[#This Row],[Contract Value USD]]-tblsales[[#This Row],[Cost Estimate USD]])</f>
        <v>2600772.4899999984</v>
      </c>
      <c r="BC90" s="21">
        <f>IF(OR(tblsales[[#This Row],[Contract Value USD]]="",tblsales[[#This Row],[Cost Estimate USD]]=""),"",tblsales[[#This Row],[Contract Value USD]]-tblsales[[#This Row],[Cost Estimate USD]])</f>
        <v>2600772.4899999984</v>
      </c>
      <c r="BD90" s="23">
        <f>IF(tblsales[[#This Row],[Invoice Value USD]]="","",tblsales[[#This Row],[Collected Amount USD]]/tblsales[[#This Row],[Invoice Value USD]])</f>
        <v>0.32357271836818652</v>
      </c>
      <c r="BE90" s="11">
        <f>IF(tblsales[[#This Row],[SalesStage]]="Won",1,0)</f>
        <v>0</v>
      </c>
      <c r="BF90" s="21" t="str">
        <f>IF(tblsales[[#This Row],[Win Flag]]=1,"Won","Lost")</f>
        <v>Lost</v>
      </c>
      <c r="BG90" s="8"/>
    </row>
    <row r="91" spans="1:59" x14ac:dyDescent="0.3">
      <c r="A91" s="10" t="s">
        <v>614</v>
      </c>
      <c r="B91" s="9">
        <v>45841</v>
      </c>
      <c r="C91" s="10" t="s">
        <v>284</v>
      </c>
      <c r="D91" s="10" t="s">
        <v>220</v>
      </c>
      <c r="E91" s="10" t="s">
        <v>20</v>
      </c>
      <c r="F91" s="10" t="s">
        <v>31</v>
      </c>
      <c r="G91" s="10" t="s">
        <v>50</v>
      </c>
      <c r="H91" s="10" t="s">
        <v>332</v>
      </c>
      <c r="I91" s="10" t="s">
        <v>198</v>
      </c>
      <c r="J91" s="10" t="s">
        <v>136</v>
      </c>
      <c r="K91" s="10" t="s">
        <v>223</v>
      </c>
      <c r="L91" s="10" t="s">
        <v>615</v>
      </c>
      <c r="M91" s="9">
        <v>45773</v>
      </c>
      <c r="N91" s="9">
        <v>45890</v>
      </c>
      <c r="O91" s="9">
        <v>45919</v>
      </c>
      <c r="P91" s="11">
        <v>50</v>
      </c>
      <c r="Q91" s="12">
        <v>5533505</v>
      </c>
      <c r="R91">
        <v>1520053.8234999999</v>
      </c>
      <c r="S91" s="22">
        <v>0.24</v>
      </c>
      <c r="T91" s="22">
        <v>7.0000000000000007E-2</v>
      </c>
      <c r="U91" s="12">
        <v>4499846.2699999996</v>
      </c>
      <c r="V91" s="24">
        <v>1236107.7703689998</v>
      </c>
      <c r="W91" s="8">
        <v>3423698.2</v>
      </c>
      <c r="X91" s="24">
        <v>940489.89554000006</v>
      </c>
      <c r="Y91" s="22">
        <v>0.3</v>
      </c>
      <c r="Z91" s="22">
        <v>0.06</v>
      </c>
      <c r="AA91" s="8" t="s">
        <v>616</v>
      </c>
      <c r="AB91" s="8">
        <v>2146318.2200000002</v>
      </c>
      <c r="AC91" s="24">
        <v>589593.61503400002</v>
      </c>
      <c r="AD91" s="8">
        <v>1682218.56</v>
      </c>
      <c r="AE91" s="24">
        <v>462105.438432</v>
      </c>
      <c r="AF91" s="8">
        <v>60</v>
      </c>
      <c r="AG91" s="8">
        <v>48</v>
      </c>
      <c r="AH91" s="8" t="s">
        <v>353</v>
      </c>
      <c r="AI91" s="8" t="s">
        <v>406</v>
      </c>
      <c r="AJ91" s="22">
        <v>0.85</v>
      </c>
      <c r="AK91" s="8" t="s">
        <v>155</v>
      </c>
      <c r="AL91" s="22">
        <v>0.1</v>
      </c>
      <c r="AM91" s="22">
        <v>0.05</v>
      </c>
      <c r="AN91" s="8">
        <v>5</v>
      </c>
      <c r="AO91" s="8">
        <v>331</v>
      </c>
      <c r="AP91" s="8">
        <v>624169.79</v>
      </c>
      <c r="AQ91" s="24">
        <v>171459.44131300002</v>
      </c>
      <c r="AR91" s="8">
        <v>538713.4</v>
      </c>
      <c r="AS91" s="37">
        <v>147984.57098000002</v>
      </c>
      <c r="AT91" s="8" t="s">
        <v>73</v>
      </c>
      <c r="AU91" s="8" t="s">
        <v>321</v>
      </c>
      <c r="AV91" s="8">
        <v>91.4</v>
      </c>
      <c r="AW91" s="8">
        <v>48</v>
      </c>
      <c r="AX91" s="8" t="s">
        <v>387</v>
      </c>
      <c r="AY91" s="8" t="s">
        <v>206</v>
      </c>
      <c r="AZ91" s="8" t="s">
        <v>357</v>
      </c>
      <c r="BA91" s="21">
        <f>IF(OR(tblsales[[#This Row],[Invoice Value USD]]="",tblsales[[#This Row],[Collected Amount USD]]=""),"",tblsales[[#This Row],[Invoice Value USD]]-tblsales[[#This Row],[Collected Amount USD]])</f>
        <v>127488.17660200002</v>
      </c>
      <c r="BB91" s="21">
        <f>IF(OR(tblsales[[#This Row],[Contract Value USD]]="",tblsales[[#This Row],[Cost Estimate USD]]=""),"",tblsales[[#This Row],[Contract Value USD]]-tblsales[[#This Row],[Cost Estimate USD]])</f>
        <v>295617.87482899975</v>
      </c>
      <c r="BC91" s="21">
        <f>IF(OR(tblsales[[#This Row],[Contract Value USD]]="",tblsales[[#This Row],[Cost Estimate USD]]=""),"",tblsales[[#This Row],[Contract Value USD]]-tblsales[[#This Row],[Cost Estimate USD]])</f>
        <v>295617.87482899975</v>
      </c>
      <c r="BD91" s="23">
        <f>IF(tblsales[[#This Row],[Invoice Value USD]]="","",tblsales[[#This Row],[Collected Amount USD]]/tblsales[[#This Row],[Invoice Value USD]])</f>
        <v>0.78376940768829695</v>
      </c>
      <c r="BE91" s="11">
        <f>IF(tblsales[[#This Row],[SalesStage]]="Won",1,0)</f>
        <v>0</v>
      </c>
      <c r="BF91" s="21" t="str">
        <f>IF(tblsales[[#This Row],[Win Flag]]=1,"Won","Lost")</f>
        <v>Lost</v>
      </c>
      <c r="BG91" s="8"/>
    </row>
    <row r="92" spans="1:59" x14ac:dyDescent="0.3">
      <c r="A92" s="10" t="s">
        <v>617</v>
      </c>
      <c r="B92" s="9">
        <v>45685</v>
      </c>
      <c r="C92" s="10" t="s">
        <v>279</v>
      </c>
      <c r="D92" s="10" t="s">
        <v>215</v>
      </c>
      <c r="E92" s="10" t="s">
        <v>113</v>
      </c>
      <c r="F92" s="10" t="s">
        <v>181</v>
      </c>
      <c r="G92" s="10" t="s">
        <v>66</v>
      </c>
      <c r="H92" s="10" t="s">
        <v>182</v>
      </c>
      <c r="I92" s="10" t="s">
        <v>191</v>
      </c>
      <c r="J92" s="10" t="s">
        <v>111</v>
      </c>
      <c r="K92" s="10" t="s">
        <v>333</v>
      </c>
      <c r="L92" s="10" t="s">
        <v>618</v>
      </c>
      <c r="M92" s="9">
        <v>45363</v>
      </c>
      <c r="N92" s="9">
        <v>45709</v>
      </c>
      <c r="O92" s="9">
        <v>45763</v>
      </c>
      <c r="P92" s="11">
        <v>24</v>
      </c>
      <c r="Q92" s="12">
        <v>46501959</v>
      </c>
      <c r="R92">
        <v>53988774.399000004</v>
      </c>
      <c r="S92" s="22">
        <v>0.19</v>
      </c>
      <c r="T92" s="22">
        <v>-0.01</v>
      </c>
      <c r="U92" s="12">
        <v>37289920.920000002</v>
      </c>
      <c r="V92" s="24">
        <v>43293598.18812</v>
      </c>
      <c r="W92" s="8">
        <v>29752102.829999998</v>
      </c>
      <c r="X92" s="24">
        <v>34542191.385629997</v>
      </c>
      <c r="Y92" s="22">
        <v>0.35</v>
      </c>
      <c r="Z92" s="22">
        <v>0.08</v>
      </c>
      <c r="AA92" s="8"/>
      <c r="AB92" s="8">
        <v>28169159.73</v>
      </c>
      <c r="AC92" s="24">
        <v>32704394.446530003</v>
      </c>
      <c r="AD92" s="8">
        <v>18629912.390000001</v>
      </c>
      <c r="AE92" s="24">
        <v>21629328.284790002</v>
      </c>
      <c r="AF92" s="8">
        <v>120</v>
      </c>
      <c r="AG92" s="8">
        <v>29</v>
      </c>
      <c r="AH92" s="8" t="s">
        <v>353</v>
      </c>
      <c r="AI92" s="8" t="s">
        <v>320</v>
      </c>
      <c r="AJ92" s="22">
        <v>0.22</v>
      </c>
      <c r="AK92" s="8" t="s">
        <v>159</v>
      </c>
      <c r="AL92" s="22">
        <v>0.15</v>
      </c>
      <c r="AM92" s="22">
        <v>0.09</v>
      </c>
      <c r="AN92" s="8">
        <v>4</v>
      </c>
      <c r="AO92" s="8">
        <v>3665</v>
      </c>
      <c r="AP92" s="8">
        <v>2295570.7400000002</v>
      </c>
      <c r="AQ92" s="24">
        <v>2665157.6291400003</v>
      </c>
      <c r="AR92" s="8">
        <v>18054793.460000001</v>
      </c>
      <c r="AS92" s="37">
        <v>20961615.207060002</v>
      </c>
      <c r="AT92" s="8" t="s">
        <v>385</v>
      </c>
      <c r="AU92" s="8" t="s">
        <v>356</v>
      </c>
      <c r="AV92" s="8"/>
      <c r="AW92" s="8"/>
      <c r="AX92" s="8" t="s">
        <v>387</v>
      </c>
      <c r="AY92" s="8" t="s">
        <v>192</v>
      </c>
      <c r="AZ92" s="8" t="s">
        <v>332</v>
      </c>
      <c r="BA92" s="21">
        <f>IF(OR(tblsales[[#This Row],[Invoice Value USD]]="",tblsales[[#This Row],[Collected Amount USD]]=""),"",tblsales[[#This Row],[Invoice Value USD]]-tblsales[[#This Row],[Collected Amount USD]])</f>
        <v>11075066.161740001</v>
      </c>
      <c r="BB92" s="21">
        <f>IF(OR(tblsales[[#This Row],[Contract Value USD]]="",tblsales[[#This Row],[Cost Estimate USD]]=""),"",tblsales[[#This Row],[Contract Value USD]]-tblsales[[#This Row],[Cost Estimate USD]])</f>
        <v>8751406.8024900034</v>
      </c>
      <c r="BC92" s="21">
        <f>IF(OR(tblsales[[#This Row],[Contract Value USD]]="",tblsales[[#This Row],[Cost Estimate USD]]=""),"",tblsales[[#This Row],[Contract Value USD]]-tblsales[[#This Row],[Cost Estimate USD]])</f>
        <v>8751406.8024900034</v>
      </c>
      <c r="BD92" s="23">
        <f>IF(tblsales[[#This Row],[Invoice Value USD]]="","",tblsales[[#This Row],[Collected Amount USD]]/tblsales[[#This Row],[Invoice Value USD]])</f>
        <v>0.66135847034724449</v>
      </c>
      <c r="BE92" s="11">
        <f>IF(tblsales[[#This Row],[SalesStage]]="Won",1,0)</f>
        <v>1</v>
      </c>
      <c r="BF92" s="21" t="str">
        <f>IF(tblsales[[#This Row],[Win Flag]]=1,"Won","Lost")</f>
        <v>Won</v>
      </c>
      <c r="BG92" s="8"/>
    </row>
    <row r="93" spans="1:59" x14ac:dyDescent="0.3">
      <c r="A93" s="10" t="s">
        <v>619</v>
      </c>
      <c r="B93" s="9">
        <v>45969</v>
      </c>
      <c r="C93" s="10" t="s">
        <v>222</v>
      </c>
      <c r="D93" s="10" t="s">
        <v>562</v>
      </c>
      <c r="E93" s="10" t="s">
        <v>41</v>
      </c>
      <c r="F93" s="10" t="s">
        <v>363</v>
      </c>
      <c r="G93" s="10" t="s">
        <v>78</v>
      </c>
      <c r="H93" s="10" t="s">
        <v>212</v>
      </c>
      <c r="I93" s="10" t="s">
        <v>183</v>
      </c>
      <c r="J93" s="10" t="s">
        <v>105</v>
      </c>
      <c r="K93" s="10" t="s">
        <v>184</v>
      </c>
      <c r="L93" s="10" t="s">
        <v>620</v>
      </c>
      <c r="M93" s="9">
        <v>45946</v>
      </c>
      <c r="N93" s="9">
        <v>45979</v>
      </c>
      <c r="O93" s="9">
        <v>46176</v>
      </c>
      <c r="P93" s="11">
        <v>50</v>
      </c>
      <c r="Q93" s="12">
        <v>33315996</v>
      </c>
      <c r="R93">
        <v>9071945.7107999995</v>
      </c>
      <c r="S93" s="22">
        <v>0.09</v>
      </c>
      <c r="T93" s="22">
        <v>0.1</v>
      </c>
      <c r="U93" s="12">
        <v>33349312</v>
      </c>
      <c r="V93" s="24">
        <v>9081017.6575999986</v>
      </c>
      <c r="W93" s="8">
        <v>29328850.539999999</v>
      </c>
      <c r="X93" s="24">
        <v>7986246.0020419993</v>
      </c>
      <c r="Y93" s="22">
        <v>0.15</v>
      </c>
      <c r="Z93" s="22">
        <v>0.11</v>
      </c>
      <c r="AA93" s="8" t="s">
        <v>621</v>
      </c>
      <c r="AB93" s="8">
        <v>15152433.029999999</v>
      </c>
      <c r="AC93" s="24">
        <v>4126007.5140689998</v>
      </c>
      <c r="AD93" s="8">
        <v>9517562.7899999991</v>
      </c>
      <c r="AE93" s="24">
        <v>2591632.3477169997</v>
      </c>
      <c r="AF93" s="8">
        <v>30</v>
      </c>
      <c r="AG93" s="8">
        <v>154</v>
      </c>
      <c r="AH93" s="8" t="s">
        <v>347</v>
      </c>
      <c r="AI93" s="8" t="s">
        <v>381</v>
      </c>
      <c r="AJ93" s="22">
        <v>0.61</v>
      </c>
      <c r="AK93" s="8" t="s">
        <v>153</v>
      </c>
      <c r="AL93" s="22">
        <v>0.05</v>
      </c>
      <c r="AM93" s="22">
        <v>0.09</v>
      </c>
      <c r="AN93" s="8">
        <v>8</v>
      </c>
      <c r="AO93" s="8">
        <v>1009</v>
      </c>
      <c r="AP93" s="8">
        <v>2771870.25</v>
      </c>
      <c r="AQ93" s="24">
        <v>754780.26907499996</v>
      </c>
      <c r="AR93" s="8">
        <v>10333567.25</v>
      </c>
      <c r="AS93" s="37">
        <v>2813830.3621749999</v>
      </c>
      <c r="AT93" s="8" t="s">
        <v>355</v>
      </c>
      <c r="AU93" s="8" t="s">
        <v>330</v>
      </c>
      <c r="AV93" s="8">
        <v>87.9</v>
      </c>
      <c r="AW93" s="8">
        <v>60</v>
      </c>
      <c r="AX93" s="8" t="s">
        <v>332</v>
      </c>
      <c r="AY93" s="8" t="s">
        <v>206</v>
      </c>
      <c r="AZ93" s="8" t="s">
        <v>332</v>
      </c>
      <c r="BA93" s="21">
        <f>IF(OR(tblsales[[#This Row],[Invoice Value USD]]="",tblsales[[#This Row],[Collected Amount USD]]=""),"",tblsales[[#This Row],[Invoice Value USD]]-tblsales[[#This Row],[Collected Amount USD]])</f>
        <v>1534375.1663520001</v>
      </c>
      <c r="BB93" s="21">
        <f>IF(OR(tblsales[[#This Row],[Contract Value USD]]="",tblsales[[#This Row],[Cost Estimate USD]]=""),"",tblsales[[#This Row],[Contract Value USD]]-tblsales[[#This Row],[Cost Estimate USD]])</f>
        <v>1094771.6555579994</v>
      </c>
      <c r="BC93" s="21">
        <f>IF(OR(tblsales[[#This Row],[Contract Value USD]]="",tblsales[[#This Row],[Cost Estimate USD]]=""),"",tblsales[[#This Row],[Contract Value USD]]-tblsales[[#This Row],[Cost Estimate USD]])</f>
        <v>1094771.6555579994</v>
      </c>
      <c r="BD93" s="23">
        <f>IF(tblsales[[#This Row],[Invoice Value USD]]="","",tblsales[[#This Row],[Collected Amount USD]]/tblsales[[#This Row],[Invoice Value USD]])</f>
        <v>0.62812109257677406</v>
      </c>
      <c r="BE93" s="11">
        <f>IF(tblsales[[#This Row],[SalesStage]]="Won",1,0)</f>
        <v>0</v>
      </c>
      <c r="BF93" s="21" t="str">
        <f>IF(tblsales[[#This Row],[Win Flag]]=1,"Won","Lost")</f>
        <v>Lost</v>
      </c>
      <c r="BG93" s="8"/>
    </row>
    <row r="94" spans="1:59" x14ac:dyDescent="0.3">
      <c r="A94" s="10" t="s">
        <v>622</v>
      </c>
      <c r="B94" s="9">
        <v>46061</v>
      </c>
      <c r="C94" s="10" t="s">
        <v>189</v>
      </c>
      <c r="D94" s="10" t="s">
        <v>332</v>
      </c>
      <c r="E94" s="10" t="s">
        <v>41</v>
      </c>
      <c r="F94" s="10" t="s">
        <v>332</v>
      </c>
      <c r="G94" s="10" t="s">
        <v>80</v>
      </c>
      <c r="H94" s="10" t="s">
        <v>263</v>
      </c>
      <c r="I94" s="10" t="s">
        <v>183</v>
      </c>
      <c r="J94" s="10" t="s">
        <v>105</v>
      </c>
      <c r="K94" s="10" t="s">
        <v>326</v>
      </c>
      <c r="L94" s="10" t="s">
        <v>623</v>
      </c>
      <c r="M94" s="9">
        <v>45881</v>
      </c>
      <c r="N94" s="9">
        <v>46096</v>
      </c>
      <c r="O94" s="9"/>
      <c r="P94" s="11">
        <v>21</v>
      </c>
      <c r="Q94" s="12">
        <v>47632923</v>
      </c>
      <c r="R94">
        <v>47632923</v>
      </c>
      <c r="S94" s="22">
        <v>0.11</v>
      </c>
      <c r="T94" s="22">
        <v>0.1</v>
      </c>
      <c r="U94" s="12">
        <v>46632631.619999997</v>
      </c>
      <c r="V94" s="24">
        <v>46632631.619999997</v>
      </c>
      <c r="W94" s="8">
        <v>28928591.219999999</v>
      </c>
      <c r="X94" s="24">
        <v>28928591.219999999</v>
      </c>
      <c r="Y94" s="22">
        <v>0.24</v>
      </c>
      <c r="Z94" s="22">
        <v>0.17</v>
      </c>
      <c r="AA94" s="8" t="s">
        <v>624</v>
      </c>
      <c r="AB94" s="8">
        <v>14876521.789999999</v>
      </c>
      <c r="AC94" s="24">
        <v>14876521.789999999</v>
      </c>
      <c r="AD94" s="8">
        <v>10715751.75</v>
      </c>
      <c r="AE94" s="24">
        <v>10715751.75</v>
      </c>
      <c r="AF94" s="8">
        <v>120</v>
      </c>
      <c r="AG94" s="8">
        <v>91</v>
      </c>
      <c r="AH94" s="8" t="s">
        <v>332</v>
      </c>
      <c r="AI94" s="8" t="s">
        <v>406</v>
      </c>
      <c r="AJ94" s="22">
        <v>0.92</v>
      </c>
      <c r="AK94" s="8" t="s">
        <v>152</v>
      </c>
      <c r="AL94" s="22">
        <v>0.15</v>
      </c>
      <c r="AM94" s="22">
        <v>0.06</v>
      </c>
      <c r="AN94" s="8">
        <v>15</v>
      </c>
      <c r="AO94" s="8">
        <v>1448</v>
      </c>
      <c r="AP94" s="8">
        <v>9875850.2899999991</v>
      </c>
      <c r="AQ94" s="24">
        <v>9875850.2899999991</v>
      </c>
      <c r="AR94" s="8">
        <v>13600095.01</v>
      </c>
      <c r="AS94" s="37">
        <v>13600095.01</v>
      </c>
      <c r="AT94" s="8" t="s">
        <v>73</v>
      </c>
      <c r="AU94" s="8" t="s">
        <v>321</v>
      </c>
      <c r="AV94" s="8">
        <v>67.099999999999994</v>
      </c>
      <c r="AW94" s="8">
        <v>12</v>
      </c>
      <c r="AX94" s="8" t="s">
        <v>332</v>
      </c>
      <c r="AY94" s="8" t="s">
        <v>229</v>
      </c>
      <c r="AZ94" s="8" t="s">
        <v>377</v>
      </c>
      <c r="BA94" s="21">
        <f>IF(OR(tblsales[[#This Row],[Invoice Value USD]]="",tblsales[[#This Row],[Collected Amount USD]]=""),"",tblsales[[#This Row],[Invoice Value USD]]-tblsales[[#This Row],[Collected Amount USD]])</f>
        <v>4160770.0399999991</v>
      </c>
      <c r="BB94" s="21">
        <f>IF(OR(tblsales[[#This Row],[Contract Value USD]]="",tblsales[[#This Row],[Cost Estimate USD]]=""),"",tblsales[[#This Row],[Contract Value USD]]-tblsales[[#This Row],[Cost Estimate USD]])</f>
        <v>17704040.399999999</v>
      </c>
      <c r="BC94" s="21">
        <f>IF(OR(tblsales[[#This Row],[Contract Value USD]]="",tblsales[[#This Row],[Cost Estimate USD]]=""),"",tblsales[[#This Row],[Contract Value USD]]-tblsales[[#This Row],[Cost Estimate USD]])</f>
        <v>17704040.399999999</v>
      </c>
      <c r="BD94" s="23">
        <f>IF(tblsales[[#This Row],[Invoice Value USD]]="","",tblsales[[#This Row],[Collected Amount USD]]/tblsales[[#This Row],[Invoice Value USD]])</f>
        <v>0.72031298049811154</v>
      </c>
      <c r="BE94" s="11">
        <f>IF(tblsales[[#This Row],[SalesStage]]="Won",1,0)</f>
        <v>0</v>
      </c>
      <c r="BF94" s="21" t="str">
        <f>IF(tblsales[[#This Row],[Win Flag]]=1,"Won","Lost")</f>
        <v>Lost</v>
      </c>
      <c r="BG94" s="8"/>
    </row>
    <row r="95" spans="1:59" x14ac:dyDescent="0.3">
      <c r="A95" s="10" t="s">
        <v>625</v>
      </c>
      <c r="B95" s="9">
        <v>46059</v>
      </c>
      <c r="C95" s="10" t="s">
        <v>275</v>
      </c>
      <c r="D95" s="10" t="s">
        <v>245</v>
      </c>
      <c r="E95" s="10" t="s">
        <v>332</v>
      </c>
      <c r="F95" s="10" t="s">
        <v>228</v>
      </c>
      <c r="G95" s="10" t="s">
        <v>73</v>
      </c>
      <c r="H95" s="10" t="s">
        <v>197</v>
      </c>
      <c r="I95" s="10" t="s">
        <v>203</v>
      </c>
      <c r="J95" s="10" t="s">
        <v>136</v>
      </c>
      <c r="K95" s="10" t="s">
        <v>199</v>
      </c>
      <c r="L95" s="10" t="s">
        <v>626</v>
      </c>
      <c r="M95" s="9">
        <v>46009</v>
      </c>
      <c r="N95" s="9"/>
      <c r="O95" s="9"/>
      <c r="P95" s="11">
        <v>26</v>
      </c>
      <c r="Q95" s="12">
        <v>27979919</v>
      </c>
      <c r="R95">
        <v>32484685.959000003</v>
      </c>
      <c r="S95" s="22">
        <v>0.33</v>
      </c>
      <c r="T95" s="22">
        <v>-0.04</v>
      </c>
      <c r="U95" s="12">
        <v>17996683.899999999</v>
      </c>
      <c r="V95" s="24">
        <v>20894150.0079</v>
      </c>
      <c r="W95" s="8">
        <v>15930988.98</v>
      </c>
      <c r="X95" s="24">
        <v>18495878.205779999</v>
      </c>
      <c r="Y95" s="22">
        <v>0.16</v>
      </c>
      <c r="Z95" s="22">
        <v>7.0000000000000007E-2</v>
      </c>
      <c r="AA95" s="8" t="s">
        <v>627</v>
      </c>
      <c r="AB95" s="8">
        <v>8870785.7899999991</v>
      </c>
      <c r="AC95" s="24">
        <v>10298982.302189998</v>
      </c>
      <c r="AD95" s="8">
        <v>6670423.8600000003</v>
      </c>
      <c r="AE95" s="24">
        <v>7744362.1014600005</v>
      </c>
      <c r="AF95" s="8">
        <v>60</v>
      </c>
      <c r="AG95" s="8">
        <v>143</v>
      </c>
      <c r="AH95" s="8" t="s">
        <v>353</v>
      </c>
      <c r="AI95" s="8" t="s">
        <v>336</v>
      </c>
      <c r="AJ95" s="22">
        <v>0.55000000000000004</v>
      </c>
      <c r="AK95" s="8" t="s">
        <v>159</v>
      </c>
      <c r="AL95" s="22">
        <v>0.05</v>
      </c>
      <c r="AM95" s="22">
        <v>0.06</v>
      </c>
      <c r="AN95" s="8">
        <v>10</v>
      </c>
      <c r="AO95" s="8">
        <v>3963</v>
      </c>
      <c r="AP95" s="8">
        <v>997698.16</v>
      </c>
      <c r="AQ95" s="24">
        <v>1158327.56376</v>
      </c>
      <c r="AR95" s="8">
        <v>5280025.08</v>
      </c>
      <c r="AS95" s="37">
        <v>6130109.1178799998</v>
      </c>
      <c r="AT95" s="8" t="s">
        <v>391</v>
      </c>
      <c r="AU95" s="8" t="s">
        <v>332</v>
      </c>
      <c r="AV95" s="8"/>
      <c r="AW95" s="8">
        <v>36</v>
      </c>
      <c r="AX95" s="8" t="s">
        <v>332</v>
      </c>
      <c r="AY95" s="8" t="s">
        <v>192</v>
      </c>
      <c r="AZ95" s="8" t="s">
        <v>188</v>
      </c>
      <c r="BA95" s="21">
        <f>IF(OR(tblsales[[#This Row],[Invoice Value USD]]="",tblsales[[#This Row],[Collected Amount USD]]=""),"",tblsales[[#This Row],[Invoice Value USD]]-tblsales[[#This Row],[Collected Amount USD]])</f>
        <v>2554620.2007299978</v>
      </c>
      <c r="BB95" s="21">
        <f>IF(OR(tblsales[[#This Row],[Contract Value USD]]="",tblsales[[#This Row],[Cost Estimate USD]]=""),"",tblsales[[#This Row],[Contract Value USD]]-tblsales[[#This Row],[Cost Estimate USD]])</f>
        <v>2398271.8021200001</v>
      </c>
      <c r="BC95" s="21">
        <f>IF(OR(tblsales[[#This Row],[Contract Value USD]]="",tblsales[[#This Row],[Cost Estimate USD]]=""),"",tblsales[[#This Row],[Contract Value USD]]-tblsales[[#This Row],[Cost Estimate USD]])</f>
        <v>2398271.8021200001</v>
      </c>
      <c r="BD95" s="23">
        <f>IF(tblsales[[#This Row],[Invoice Value USD]]="","",tblsales[[#This Row],[Collected Amount USD]]/tblsales[[#This Row],[Invoice Value USD]])</f>
        <v>0.75195411296252279</v>
      </c>
      <c r="BE95" s="11">
        <f>IF(tblsales[[#This Row],[SalesStage]]="Won",1,0)</f>
        <v>0</v>
      </c>
      <c r="BF95" s="21" t="str">
        <f>IF(tblsales[[#This Row],[Win Flag]]=1,"Won","Lost")</f>
        <v>Lost</v>
      </c>
      <c r="BG95" s="8"/>
    </row>
    <row r="96" spans="1:59" x14ac:dyDescent="0.3">
      <c r="A96" s="10" t="s">
        <v>628</v>
      </c>
      <c r="B96" s="9">
        <v>45893</v>
      </c>
      <c r="C96" s="10" t="s">
        <v>285</v>
      </c>
      <c r="D96" s="10" t="s">
        <v>215</v>
      </c>
      <c r="E96" s="10" t="s">
        <v>52</v>
      </c>
      <c r="F96" s="10" t="s">
        <v>75</v>
      </c>
      <c r="G96" s="10" t="s">
        <v>38</v>
      </c>
      <c r="H96" s="10" t="s">
        <v>216</v>
      </c>
      <c r="I96" s="10" t="s">
        <v>183</v>
      </c>
      <c r="J96" s="10" t="s">
        <v>133</v>
      </c>
      <c r="K96" s="10" t="s">
        <v>210</v>
      </c>
      <c r="L96" s="10" t="s">
        <v>629</v>
      </c>
      <c r="M96" s="9">
        <v>45857</v>
      </c>
      <c r="N96" s="9">
        <v>45939</v>
      </c>
      <c r="O96" s="9">
        <v>45959</v>
      </c>
      <c r="P96" s="11">
        <v>22</v>
      </c>
      <c r="Q96" s="12">
        <v>26210604</v>
      </c>
      <c r="R96">
        <v>7137147.4691999992</v>
      </c>
      <c r="S96" s="22">
        <v>0.25</v>
      </c>
      <c r="T96" s="22">
        <v>0.08</v>
      </c>
      <c r="U96" s="12">
        <v>21230589.239999998</v>
      </c>
      <c r="V96" s="24">
        <v>5781089.4500519997</v>
      </c>
      <c r="W96" s="8">
        <v>14895841.43</v>
      </c>
      <c r="X96" s="24">
        <v>4056137.6213889997</v>
      </c>
      <c r="Y96" s="22">
        <v>0.1</v>
      </c>
      <c r="Z96" s="22">
        <v>0.12</v>
      </c>
      <c r="AA96" s="8" t="s">
        <v>630</v>
      </c>
      <c r="AB96" s="8">
        <v>1135696.17</v>
      </c>
      <c r="AC96" s="24">
        <v>309250.06709099998</v>
      </c>
      <c r="AD96" s="8">
        <v>1187790.4099999999</v>
      </c>
      <c r="AE96" s="24">
        <v>323435.32864299999</v>
      </c>
      <c r="AF96" s="8">
        <v>120</v>
      </c>
      <c r="AG96" s="8">
        <v>23</v>
      </c>
      <c r="AH96" s="8" t="s">
        <v>353</v>
      </c>
      <c r="AI96" s="8" t="s">
        <v>455</v>
      </c>
      <c r="AJ96" s="22">
        <v>0.36</v>
      </c>
      <c r="AK96" s="8" t="s">
        <v>153</v>
      </c>
      <c r="AL96" s="22">
        <v>0.05</v>
      </c>
      <c r="AM96" s="22">
        <v>0.02</v>
      </c>
      <c r="AN96" s="8">
        <v>9</v>
      </c>
      <c r="AO96" s="8">
        <v>1476</v>
      </c>
      <c r="AP96" s="8">
        <v>4776743.6399999997</v>
      </c>
      <c r="AQ96" s="24">
        <v>1300707.2931719997</v>
      </c>
      <c r="AR96" s="8">
        <v>7983762.21</v>
      </c>
      <c r="AS96" s="37">
        <v>2173978.4497829997</v>
      </c>
      <c r="AT96" s="8" t="s">
        <v>321</v>
      </c>
      <c r="AU96" s="8" t="s">
        <v>356</v>
      </c>
      <c r="AV96" s="8"/>
      <c r="AW96" s="8">
        <v>36</v>
      </c>
      <c r="AX96" s="8" t="s">
        <v>332</v>
      </c>
      <c r="AY96" s="8" t="s">
        <v>229</v>
      </c>
      <c r="AZ96" s="8" t="s">
        <v>332</v>
      </c>
      <c r="BA96" s="21">
        <f>IF(OR(tblsales[[#This Row],[Invoice Value USD]]="",tblsales[[#This Row],[Collected Amount USD]]=""),"",tblsales[[#This Row],[Invoice Value USD]]-tblsales[[#This Row],[Collected Amount USD]])</f>
        <v>-14185.261552000011</v>
      </c>
      <c r="BB96" s="21">
        <f>IF(OR(tblsales[[#This Row],[Contract Value USD]]="",tblsales[[#This Row],[Cost Estimate USD]]=""),"",tblsales[[#This Row],[Contract Value USD]]-tblsales[[#This Row],[Cost Estimate USD]])</f>
        <v>1724951.8286629999</v>
      </c>
      <c r="BC96" s="21">
        <f>IF(OR(tblsales[[#This Row],[Contract Value USD]]="",tblsales[[#This Row],[Cost Estimate USD]]=""),"",tblsales[[#This Row],[Contract Value USD]]-tblsales[[#This Row],[Cost Estimate USD]])</f>
        <v>1724951.8286629999</v>
      </c>
      <c r="BD96" s="23">
        <f>IF(tblsales[[#This Row],[Invoice Value USD]]="","",tblsales[[#This Row],[Collected Amount USD]]/tblsales[[#This Row],[Invoice Value USD]])</f>
        <v>1.0458698738061254</v>
      </c>
      <c r="BE96" s="11">
        <f>IF(tblsales[[#This Row],[SalesStage]]="Won",1,0)</f>
        <v>0</v>
      </c>
      <c r="BF96" s="21" t="str">
        <f>IF(tblsales[[#This Row],[Win Flag]]=1,"Won","Lost")</f>
        <v>Lost</v>
      </c>
      <c r="BG96" s="8"/>
    </row>
    <row r="97" spans="1:59" x14ac:dyDescent="0.3">
      <c r="A97" s="10" t="s">
        <v>631</v>
      </c>
      <c r="B97" s="9">
        <v>45948</v>
      </c>
      <c r="C97" s="10" t="s">
        <v>260</v>
      </c>
      <c r="D97" s="10" t="s">
        <v>215</v>
      </c>
      <c r="E97" s="10" t="s">
        <v>113</v>
      </c>
      <c r="F97" s="10" t="s">
        <v>332</v>
      </c>
      <c r="G97" s="10" t="s">
        <v>62</v>
      </c>
      <c r="H97" s="10" t="s">
        <v>212</v>
      </c>
      <c r="I97" s="10" t="s">
        <v>213</v>
      </c>
      <c r="J97" s="10" t="s">
        <v>111</v>
      </c>
      <c r="K97" s="10" t="s">
        <v>199</v>
      </c>
      <c r="L97" s="10" t="s">
        <v>632</v>
      </c>
      <c r="M97" s="9">
        <v>45894</v>
      </c>
      <c r="N97" s="9">
        <v>46002</v>
      </c>
      <c r="O97" s="9">
        <v>46236</v>
      </c>
      <c r="P97" s="11">
        <v>37</v>
      </c>
      <c r="Q97" s="12">
        <v>9044631</v>
      </c>
      <c r="R97">
        <v>9044631</v>
      </c>
      <c r="S97" s="22">
        <v>0.04</v>
      </c>
      <c r="T97" s="22">
        <v>0.15</v>
      </c>
      <c r="U97" s="12">
        <v>9985272.6199999992</v>
      </c>
      <c r="V97" s="24">
        <v>9985272.6199999992</v>
      </c>
      <c r="W97" s="8">
        <v>7760162.3300000001</v>
      </c>
      <c r="X97" s="24">
        <v>7760162.3300000001</v>
      </c>
      <c r="Y97" s="22">
        <v>0.14000000000000001</v>
      </c>
      <c r="Z97" s="22">
        <v>7.0000000000000007E-2</v>
      </c>
      <c r="AA97" s="8" t="s">
        <v>633</v>
      </c>
      <c r="AB97" s="8">
        <v>6428613.3499999996</v>
      </c>
      <c r="AC97" s="24">
        <v>6428613.3499999996</v>
      </c>
      <c r="AD97" s="8">
        <v>2428796.9700000002</v>
      </c>
      <c r="AE97" s="24">
        <v>2428796.9700000002</v>
      </c>
      <c r="AF97" s="8">
        <v>60</v>
      </c>
      <c r="AG97" s="8">
        <v>176</v>
      </c>
      <c r="AH97" s="8" t="s">
        <v>342</v>
      </c>
      <c r="AI97" s="8" t="s">
        <v>455</v>
      </c>
      <c r="AJ97" s="22">
        <v>0.66</v>
      </c>
      <c r="AK97" s="8" t="s">
        <v>152</v>
      </c>
      <c r="AL97" s="22">
        <v>0.1</v>
      </c>
      <c r="AM97" s="22">
        <v>0.05</v>
      </c>
      <c r="AN97" s="8">
        <v>7</v>
      </c>
      <c r="AO97" s="8">
        <v>3576</v>
      </c>
      <c r="AP97" s="8">
        <v>985608.24</v>
      </c>
      <c r="AQ97" s="24">
        <v>985608.24</v>
      </c>
      <c r="AR97" s="8">
        <v>1689849.45</v>
      </c>
      <c r="AS97" s="37">
        <v>1689849.45</v>
      </c>
      <c r="AT97" s="8" t="s">
        <v>391</v>
      </c>
      <c r="AU97" s="8" t="s">
        <v>330</v>
      </c>
      <c r="AV97" s="8">
        <v>67</v>
      </c>
      <c r="AW97" s="8">
        <v>60</v>
      </c>
      <c r="AX97" s="8" t="s">
        <v>387</v>
      </c>
      <c r="AY97" s="8" t="s">
        <v>229</v>
      </c>
      <c r="AZ97" s="8" t="s">
        <v>361</v>
      </c>
      <c r="BA97" s="21">
        <f>IF(OR(tblsales[[#This Row],[Invoice Value USD]]="",tblsales[[#This Row],[Collected Amount USD]]=""),"",tblsales[[#This Row],[Invoice Value USD]]-tblsales[[#This Row],[Collected Amount USD]])</f>
        <v>3999816.3799999994</v>
      </c>
      <c r="BB97" s="21">
        <f>IF(OR(tblsales[[#This Row],[Contract Value USD]]="",tblsales[[#This Row],[Cost Estimate USD]]=""),"",tblsales[[#This Row],[Contract Value USD]]-tblsales[[#This Row],[Cost Estimate USD]])</f>
        <v>2225110.2899999991</v>
      </c>
      <c r="BC97" s="21">
        <f>IF(OR(tblsales[[#This Row],[Contract Value USD]]="",tblsales[[#This Row],[Cost Estimate USD]]=""),"",tblsales[[#This Row],[Contract Value USD]]-tblsales[[#This Row],[Cost Estimate USD]])</f>
        <v>2225110.2899999991</v>
      </c>
      <c r="BD97" s="23">
        <f>IF(tblsales[[#This Row],[Invoice Value USD]]="","",tblsales[[#This Row],[Collected Amount USD]]/tblsales[[#This Row],[Invoice Value USD]])</f>
        <v>0.3778103982564141</v>
      </c>
      <c r="BE97" s="11">
        <f>IF(tblsales[[#This Row],[SalesStage]]="Won",1,0)</f>
        <v>0</v>
      </c>
      <c r="BF97" s="21" t="str">
        <f>IF(tblsales[[#This Row],[Win Flag]]=1,"Won","Lost")</f>
        <v>Lost</v>
      </c>
      <c r="BG97" s="8"/>
    </row>
    <row r="98" spans="1:59" x14ac:dyDescent="0.3">
      <c r="A98" s="10" t="s">
        <v>634</v>
      </c>
      <c r="B98" s="9">
        <v>45748</v>
      </c>
      <c r="C98" s="10" t="s">
        <v>252</v>
      </c>
      <c r="D98" s="10" t="s">
        <v>232</v>
      </c>
      <c r="E98" s="10" t="s">
        <v>332</v>
      </c>
      <c r="F98" s="10" t="s">
        <v>181</v>
      </c>
      <c r="G98" s="10" t="s">
        <v>62</v>
      </c>
      <c r="H98" s="10" t="s">
        <v>332</v>
      </c>
      <c r="I98" s="10" t="s">
        <v>203</v>
      </c>
      <c r="J98" s="10" t="s">
        <v>136</v>
      </c>
      <c r="K98" s="10" t="s">
        <v>199</v>
      </c>
      <c r="L98" s="10" t="s">
        <v>635</v>
      </c>
      <c r="M98" s="9">
        <v>45683</v>
      </c>
      <c r="N98" s="9">
        <v>45874</v>
      </c>
      <c r="O98" s="9">
        <v>45784</v>
      </c>
      <c r="P98" s="11">
        <v>57</v>
      </c>
      <c r="Q98" s="12">
        <v>20871927</v>
      </c>
      <c r="R98">
        <v>5683425.7220999999</v>
      </c>
      <c r="S98" s="22">
        <v>0.34</v>
      </c>
      <c r="T98" s="22">
        <v>-0.03</v>
      </c>
      <c r="U98" s="12">
        <v>13362207.67</v>
      </c>
      <c r="V98" s="24">
        <v>3638529.1485409997</v>
      </c>
      <c r="W98" s="8">
        <v>9497414.5</v>
      </c>
      <c r="X98" s="24">
        <v>2586145.9683499997</v>
      </c>
      <c r="Y98" s="22">
        <v>7.0000000000000007E-2</v>
      </c>
      <c r="Z98" s="22">
        <v>0.16</v>
      </c>
      <c r="AA98" s="8" t="s">
        <v>636</v>
      </c>
      <c r="AB98" s="8">
        <v>1903218.51</v>
      </c>
      <c r="AC98" s="24">
        <v>518246.40027299995</v>
      </c>
      <c r="AD98" s="8">
        <v>1810443.03</v>
      </c>
      <c r="AE98" s="24">
        <v>492983.63706899999</v>
      </c>
      <c r="AF98" s="8">
        <v>90</v>
      </c>
      <c r="AG98" s="8">
        <v>84</v>
      </c>
      <c r="AH98" s="8" t="s">
        <v>342</v>
      </c>
      <c r="AI98" s="8" t="s">
        <v>226</v>
      </c>
      <c r="AJ98" s="22">
        <v>0.51</v>
      </c>
      <c r="AK98" s="8" t="s">
        <v>153</v>
      </c>
      <c r="AL98" s="22">
        <v>0.15</v>
      </c>
      <c r="AM98" s="22">
        <v>0.02</v>
      </c>
      <c r="AN98" s="8">
        <v>6</v>
      </c>
      <c r="AO98" s="8">
        <v>4844</v>
      </c>
      <c r="AP98" s="8">
        <v>1244947.28</v>
      </c>
      <c r="AQ98" s="24">
        <v>338999.14434399997</v>
      </c>
      <c r="AR98" s="8">
        <v>3375641.32</v>
      </c>
      <c r="AS98" s="37">
        <v>919187.13143599988</v>
      </c>
      <c r="AT98" s="8" t="s">
        <v>343</v>
      </c>
      <c r="AU98" s="8" t="s">
        <v>332</v>
      </c>
      <c r="AV98" s="8">
        <v>55.5</v>
      </c>
      <c r="AW98" s="8">
        <v>24</v>
      </c>
      <c r="AX98" s="8" t="s">
        <v>387</v>
      </c>
      <c r="AY98" s="8" t="s">
        <v>229</v>
      </c>
      <c r="AZ98" s="8" t="s">
        <v>332</v>
      </c>
      <c r="BA98" s="21">
        <f>IF(OR(tblsales[[#This Row],[Invoice Value USD]]="",tblsales[[#This Row],[Collected Amount USD]]=""),"",tblsales[[#This Row],[Invoice Value USD]]-tblsales[[#This Row],[Collected Amount USD]])</f>
        <v>25262.763203999959</v>
      </c>
      <c r="BB98" s="21">
        <f>IF(OR(tblsales[[#This Row],[Contract Value USD]]="",tblsales[[#This Row],[Cost Estimate USD]]=""),"",tblsales[[#This Row],[Contract Value USD]]-tblsales[[#This Row],[Cost Estimate USD]])</f>
        <v>1052383.180191</v>
      </c>
      <c r="BC98" s="21">
        <f>IF(OR(tblsales[[#This Row],[Contract Value USD]]="",tblsales[[#This Row],[Cost Estimate USD]]=""),"",tblsales[[#This Row],[Contract Value USD]]-tblsales[[#This Row],[Cost Estimate USD]])</f>
        <v>1052383.180191</v>
      </c>
      <c r="BD98" s="23">
        <f>IF(tblsales[[#This Row],[Invoice Value USD]]="","",tblsales[[#This Row],[Collected Amount USD]]/tblsales[[#This Row],[Invoice Value USD]])</f>
        <v>0.95125337447458946</v>
      </c>
      <c r="BE98" s="11">
        <f>IF(tblsales[[#This Row],[SalesStage]]="Won",1,0)</f>
        <v>0</v>
      </c>
      <c r="BF98" s="21" t="str">
        <f>IF(tblsales[[#This Row],[Win Flag]]=1,"Won","Lost")</f>
        <v>Lost</v>
      </c>
      <c r="BG98" s="8"/>
    </row>
    <row r="99" spans="1:59" x14ac:dyDescent="0.3">
      <c r="A99" s="10" t="s">
        <v>637</v>
      </c>
      <c r="B99" s="9">
        <v>45736</v>
      </c>
      <c r="C99" s="10" t="s">
        <v>269</v>
      </c>
      <c r="D99" s="10" t="s">
        <v>248</v>
      </c>
      <c r="E99" s="10" t="s">
        <v>113</v>
      </c>
      <c r="F99" s="10" t="s">
        <v>181</v>
      </c>
      <c r="G99" s="10" t="s">
        <v>73</v>
      </c>
      <c r="H99" s="10" t="s">
        <v>182</v>
      </c>
      <c r="I99" s="10" t="s">
        <v>332</v>
      </c>
      <c r="J99" s="10" t="s">
        <v>111</v>
      </c>
      <c r="K99" s="10" t="s">
        <v>333</v>
      </c>
      <c r="L99" s="10" t="s">
        <v>638</v>
      </c>
      <c r="M99" s="9">
        <v>45871</v>
      </c>
      <c r="N99" s="9">
        <v>45770</v>
      </c>
      <c r="O99" s="9"/>
      <c r="P99" s="11"/>
      <c r="Q99" s="12">
        <v>19558952</v>
      </c>
      <c r="R99">
        <v>22707943.272</v>
      </c>
      <c r="S99" s="22">
        <v>0.35</v>
      </c>
      <c r="T99" s="22">
        <v>0.12</v>
      </c>
      <c r="U99" s="12">
        <v>14238917.060000001</v>
      </c>
      <c r="V99" s="24">
        <v>16531382.706660001</v>
      </c>
      <c r="W99" s="8">
        <v>10117798.27</v>
      </c>
      <c r="X99" s="24">
        <v>11746763.791470001</v>
      </c>
      <c r="Y99" s="22">
        <v>0.39</v>
      </c>
      <c r="Z99" s="22">
        <v>0.06</v>
      </c>
      <c r="AA99" s="8" t="s">
        <v>639</v>
      </c>
      <c r="AB99" s="8">
        <v>2337116.48</v>
      </c>
      <c r="AC99" s="24">
        <v>2713392.2332800003</v>
      </c>
      <c r="AD99" s="8">
        <v>835277.94</v>
      </c>
      <c r="AE99" s="24">
        <v>969757.68833999999</v>
      </c>
      <c r="AF99" s="8">
        <v>30</v>
      </c>
      <c r="AG99" s="8">
        <v>37</v>
      </c>
      <c r="AH99" s="8" t="s">
        <v>376</v>
      </c>
      <c r="AI99" s="8" t="s">
        <v>354</v>
      </c>
      <c r="AJ99" s="22"/>
      <c r="AK99" s="8" t="s">
        <v>159</v>
      </c>
      <c r="AL99" s="22">
        <v>0.1</v>
      </c>
      <c r="AM99" s="22">
        <v>7.0000000000000007E-2</v>
      </c>
      <c r="AN99" s="8">
        <v>4</v>
      </c>
      <c r="AO99" s="8">
        <v>734</v>
      </c>
      <c r="AP99" s="8">
        <v>2350168.2200000002</v>
      </c>
      <c r="AQ99" s="24">
        <v>2728545.3034200002</v>
      </c>
      <c r="AR99" s="8">
        <v>5232614.8600000003</v>
      </c>
      <c r="AS99" s="37">
        <v>6075065.8524600007</v>
      </c>
      <c r="AT99" s="8" t="s">
        <v>73</v>
      </c>
      <c r="AU99" s="8" t="s">
        <v>356</v>
      </c>
      <c r="AV99" s="8">
        <v>99.2</v>
      </c>
      <c r="AW99" s="8">
        <v>60</v>
      </c>
      <c r="AX99" s="8" t="s">
        <v>337</v>
      </c>
      <c r="AY99" s="8" t="s">
        <v>229</v>
      </c>
      <c r="AZ99" s="8" t="s">
        <v>324</v>
      </c>
      <c r="BA99" s="21">
        <f>IF(OR(tblsales[[#This Row],[Invoice Value USD]]="",tblsales[[#This Row],[Collected Amount USD]]=""),"",tblsales[[#This Row],[Invoice Value USD]]-tblsales[[#This Row],[Collected Amount USD]])</f>
        <v>1743634.5449400004</v>
      </c>
      <c r="BB99" s="21">
        <f>IF(OR(tblsales[[#This Row],[Contract Value USD]]="",tblsales[[#This Row],[Cost Estimate USD]]=""),"",tblsales[[#This Row],[Contract Value USD]]-tblsales[[#This Row],[Cost Estimate USD]])</f>
        <v>4784618.9151900001</v>
      </c>
      <c r="BC99" s="21">
        <f>IF(OR(tblsales[[#This Row],[Contract Value USD]]="",tblsales[[#This Row],[Cost Estimate USD]]=""),"",tblsales[[#This Row],[Contract Value USD]]-tblsales[[#This Row],[Cost Estimate USD]])</f>
        <v>4784618.9151900001</v>
      </c>
      <c r="BD99" s="23">
        <f>IF(tblsales[[#This Row],[Invoice Value USD]]="","",tblsales[[#This Row],[Collected Amount USD]]/tblsales[[#This Row],[Invoice Value USD]])</f>
        <v>0.3573967952166423</v>
      </c>
      <c r="BE99" s="11">
        <f>IF(tblsales[[#This Row],[SalesStage]]="Won",1,0)</f>
        <v>0</v>
      </c>
      <c r="BF99" s="21" t="str">
        <f>IF(tblsales[[#This Row],[Win Flag]]=1,"Won","Lost")</f>
        <v>Lost</v>
      </c>
      <c r="BG99" s="8"/>
    </row>
    <row r="100" spans="1:59" x14ac:dyDescent="0.3">
      <c r="A100" s="10" t="s">
        <v>640</v>
      </c>
      <c r="B100" s="9">
        <v>45920</v>
      </c>
      <c r="C100" s="10" t="s">
        <v>283</v>
      </c>
      <c r="D100" s="10" t="s">
        <v>232</v>
      </c>
      <c r="E100" s="10" t="s">
        <v>41</v>
      </c>
      <c r="F100" s="10" t="s">
        <v>363</v>
      </c>
      <c r="G100" s="10" t="s">
        <v>38</v>
      </c>
      <c r="H100" s="10" t="s">
        <v>182</v>
      </c>
      <c r="I100" s="10" t="s">
        <v>203</v>
      </c>
      <c r="J100" s="10" t="s">
        <v>105</v>
      </c>
      <c r="K100" s="10" t="s">
        <v>199</v>
      </c>
      <c r="L100" s="10" t="s">
        <v>641</v>
      </c>
      <c r="M100" s="9">
        <v>45908</v>
      </c>
      <c r="N100" s="9">
        <v>45848</v>
      </c>
      <c r="O100" s="9"/>
      <c r="P100" s="11">
        <v>14</v>
      </c>
      <c r="Q100" s="12">
        <v>31689652</v>
      </c>
      <c r="R100">
        <v>36791685.972000003</v>
      </c>
      <c r="S100" s="22">
        <v>0.21</v>
      </c>
      <c r="T100" s="22">
        <v>0.03</v>
      </c>
      <c r="U100" s="12">
        <v>25785869.829999998</v>
      </c>
      <c r="V100" s="24">
        <v>29937394.87263</v>
      </c>
      <c r="W100" s="8">
        <v>21187995.77</v>
      </c>
      <c r="X100" s="24">
        <v>24599263.088970002</v>
      </c>
      <c r="Y100" s="22">
        <v>0.18</v>
      </c>
      <c r="Z100" s="22">
        <v>0.08</v>
      </c>
      <c r="AA100" s="8" t="s">
        <v>642</v>
      </c>
      <c r="AB100" s="8">
        <v>9024470.6600000001</v>
      </c>
      <c r="AC100" s="24">
        <v>10477410.43626</v>
      </c>
      <c r="AD100" s="8">
        <v>9766358.0600000005</v>
      </c>
      <c r="AE100" s="24">
        <v>11338741.707660001</v>
      </c>
      <c r="AF100" s="8">
        <v>60</v>
      </c>
      <c r="AG100" s="8">
        <v>75</v>
      </c>
      <c r="AH100" s="8" t="s">
        <v>329</v>
      </c>
      <c r="AI100" s="8" t="s">
        <v>381</v>
      </c>
      <c r="AJ100" s="22">
        <v>0.21</v>
      </c>
      <c r="AK100" s="8" t="s">
        <v>159</v>
      </c>
      <c r="AL100" s="22">
        <v>0.15</v>
      </c>
      <c r="AM100" s="22">
        <v>0.09</v>
      </c>
      <c r="AN100" s="8">
        <v>9</v>
      </c>
      <c r="AO100" s="8">
        <v>1198</v>
      </c>
      <c r="AP100" s="8">
        <v>5389155.6799999997</v>
      </c>
      <c r="AQ100" s="24">
        <v>6256809.7444799999</v>
      </c>
      <c r="AR100" s="8">
        <v>10342828.91</v>
      </c>
      <c r="AS100" s="37">
        <v>12008024.36451</v>
      </c>
      <c r="AT100" s="8" t="s">
        <v>355</v>
      </c>
      <c r="AU100" s="8" t="s">
        <v>332</v>
      </c>
      <c r="AV100" s="8">
        <v>74.2</v>
      </c>
      <c r="AW100" s="8">
        <v>48</v>
      </c>
      <c r="AX100" s="8" t="s">
        <v>392</v>
      </c>
      <c r="AY100" s="8" t="s">
        <v>186</v>
      </c>
      <c r="AZ100" s="8" t="s">
        <v>357</v>
      </c>
      <c r="BA100" s="21">
        <f>IF(OR(tblsales[[#This Row],[Invoice Value USD]]="",tblsales[[#This Row],[Collected Amount USD]]=""),"",tblsales[[#This Row],[Invoice Value USD]]-tblsales[[#This Row],[Collected Amount USD]])</f>
        <v>-861331.2714000009</v>
      </c>
      <c r="BB100" s="21">
        <f>IF(OR(tblsales[[#This Row],[Contract Value USD]]="",tblsales[[#This Row],[Cost Estimate USD]]=""),"",tblsales[[#This Row],[Contract Value USD]]-tblsales[[#This Row],[Cost Estimate USD]])</f>
        <v>5338131.7836599983</v>
      </c>
      <c r="BC100" s="21">
        <f>IF(OR(tblsales[[#This Row],[Contract Value USD]]="",tblsales[[#This Row],[Cost Estimate USD]]=""),"",tblsales[[#This Row],[Contract Value USD]]-tblsales[[#This Row],[Cost Estimate USD]])</f>
        <v>5338131.7836599983</v>
      </c>
      <c r="BD100" s="23">
        <f>IF(tblsales[[#This Row],[Invoice Value USD]]="","",tblsales[[#This Row],[Collected Amount USD]]/tblsales[[#This Row],[Invoice Value USD]])</f>
        <v>1.0822084117673889</v>
      </c>
      <c r="BE100" s="11">
        <f>IF(tblsales[[#This Row],[SalesStage]]="Won",1,0)</f>
        <v>0</v>
      </c>
      <c r="BF100" s="21" t="str">
        <f>IF(tblsales[[#This Row],[Win Flag]]=1,"Won","Lost")</f>
        <v>Lost</v>
      </c>
      <c r="BG100" s="8"/>
    </row>
    <row r="101" spans="1:59" x14ac:dyDescent="0.3">
      <c r="A101" s="10" t="s">
        <v>643</v>
      </c>
      <c r="B101" s="9">
        <v>45685</v>
      </c>
      <c r="C101" s="10" t="s">
        <v>267</v>
      </c>
      <c r="D101" s="10" t="s">
        <v>215</v>
      </c>
      <c r="E101" s="10" t="s">
        <v>20</v>
      </c>
      <c r="F101" s="10" t="s">
        <v>31</v>
      </c>
      <c r="G101" s="10" t="s">
        <v>57</v>
      </c>
      <c r="H101" s="10" t="s">
        <v>212</v>
      </c>
      <c r="I101" s="10" t="s">
        <v>233</v>
      </c>
      <c r="J101" s="10" t="s">
        <v>136</v>
      </c>
      <c r="K101" s="10" t="s">
        <v>326</v>
      </c>
      <c r="L101" s="10" t="s">
        <v>644</v>
      </c>
      <c r="M101" s="9">
        <v>45302</v>
      </c>
      <c r="N101" s="9">
        <v>45702</v>
      </c>
      <c r="O101" s="9">
        <v>45996</v>
      </c>
      <c r="P101" s="11">
        <v>46</v>
      </c>
      <c r="Q101" s="12">
        <v>43301412</v>
      </c>
      <c r="R101">
        <v>11790974.487599999</v>
      </c>
      <c r="S101" s="22">
        <v>0.1</v>
      </c>
      <c r="T101" s="22">
        <v>0.15</v>
      </c>
      <c r="U101" s="12">
        <v>44816961.420000002</v>
      </c>
      <c r="V101" s="24">
        <v>12203658.594666</v>
      </c>
      <c r="W101" s="8">
        <v>36763086.200000003</v>
      </c>
      <c r="X101" s="24">
        <v>10010588.372260001</v>
      </c>
      <c r="Y101" s="22">
        <v>0.12</v>
      </c>
      <c r="Z101" s="22">
        <v>0.1</v>
      </c>
      <c r="AA101" s="8"/>
      <c r="AB101" s="8">
        <v>4241688.6500000004</v>
      </c>
      <c r="AC101" s="24">
        <v>1155011.8193950001</v>
      </c>
      <c r="AD101" s="8">
        <v>2847072.08</v>
      </c>
      <c r="AE101" s="24">
        <v>775257.72738399997</v>
      </c>
      <c r="AF101" s="8">
        <v>90</v>
      </c>
      <c r="AG101" s="8">
        <v>78</v>
      </c>
      <c r="AH101" s="8" t="s">
        <v>329</v>
      </c>
      <c r="AI101" s="8" t="s">
        <v>320</v>
      </c>
      <c r="AJ101" s="22">
        <v>0.5</v>
      </c>
      <c r="AK101" s="8" t="s">
        <v>153</v>
      </c>
      <c r="AL101" s="22">
        <v>0.15</v>
      </c>
      <c r="AM101" s="22">
        <v>0.03</v>
      </c>
      <c r="AN101" s="8">
        <v>12</v>
      </c>
      <c r="AO101" s="8">
        <v>107</v>
      </c>
      <c r="AP101" s="8">
        <v>6310711.3300000001</v>
      </c>
      <c r="AQ101" s="24">
        <v>1718406.6951589999</v>
      </c>
      <c r="AR101" s="8">
        <v>10783255.27</v>
      </c>
      <c r="AS101" s="37">
        <v>2936280.4100209996</v>
      </c>
      <c r="AT101" s="8" t="s">
        <v>321</v>
      </c>
      <c r="AU101" s="8" t="s">
        <v>356</v>
      </c>
      <c r="AV101" s="8">
        <v>65.7</v>
      </c>
      <c r="AW101" s="8">
        <v>36</v>
      </c>
      <c r="AX101" s="8" t="s">
        <v>332</v>
      </c>
      <c r="AY101" s="8" t="s">
        <v>224</v>
      </c>
      <c r="AZ101" s="8" t="s">
        <v>332</v>
      </c>
      <c r="BA101" s="21">
        <f>IF(OR(tblsales[[#This Row],[Invoice Value USD]]="",tblsales[[#This Row],[Collected Amount USD]]=""),"",tblsales[[#This Row],[Invoice Value USD]]-tblsales[[#This Row],[Collected Amount USD]])</f>
        <v>379754.09201100015</v>
      </c>
      <c r="BB101" s="21">
        <f>IF(OR(tblsales[[#This Row],[Contract Value USD]]="",tblsales[[#This Row],[Cost Estimate USD]]=""),"",tblsales[[#This Row],[Contract Value USD]]-tblsales[[#This Row],[Cost Estimate USD]])</f>
        <v>2193070.2224059999</v>
      </c>
      <c r="BC101" s="21">
        <f>IF(OR(tblsales[[#This Row],[Contract Value USD]]="",tblsales[[#This Row],[Cost Estimate USD]]=""),"",tblsales[[#This Row],[Contract Value USD]]-tblsales[[#This Row],[Cost Estimate USD]])</f>
        <v>2193070.2224059999</v>
      </c>
      <c r="BD101" s="23">
        <f>IF(tblsales[[#This Row],[Invoice Value USD]]="","",tblsales[[#This Row],[Collected Amount USD]]/tblsales[[#This Row],[Invoice Value USD]])</f>
        <v>0.67121194291334885</v>
      </c>
      <c r="BE101" s="11">
        <f>IF(tblsales[[#This Row],[SalesStage]]="Won",1,0)</f>
        <v>1</v>
      </c>
      <c r="BF101" s="21" t="str">
        <f>IF(tblsales[[#This Row],[Win Flag]]=1,"Won","Lost")</f>
        <v>Won</v>
      </c>
      <c r="BG101" s="8"/>
    </row>
    <row r="102" spans="1:59" x14ac:dyDescent="0.3">
      <c r="A102" s="10" t="s">
        <v>645</v>
      </c>
      <c r="B102" s="9">
        <v>45964</v>
      </c>
      <c r="C102" s="10" t="s">
        <v>285</v>
      </c>
      <c r="D102" s="10" t="s">
        <v>180</v>
      </c>
      <c r="E102" s="10" t="s">
        <v>41</v>
      </c>
      <c r="F102" s="10" t="s">
        <v>350</v>
      </c>
      <c r="G102" s="10" t="s">
        <v>38</v>
      </c>
      <c r="H102" s="10" t="s">
        <v>212</v>
      </c>
      <c r="I102" s="10" t="s">
        <v>246</v>
      </c>
      <c r="J102" s="10" t="s">
        <v>130</v>
      </c>
      <c r="K102" s="10" t="s">
        <v>210</v>
      </c>
      <c r="L102" s="10" t="s">
        <v>646</v>
      </c>
      <c r="M102" s="9">
        <v>45919</v>
      </c>
      <c r="N102" s="9">
        <v>45985</v>
      </c>
      <c r="O102" s="9">
        <v>46143</v>
      </c>
      <c r="P102" s="11">
        <v>34</v>
      </c>
      <c r="Q102" s="12">
        <v>43021017</v>
      </c>
      <c r="R102">
        <v>43021017</v>
      </c>
      <c r="S102" s="22">
        <v>0.05</v>
      </c>
      <c r="T102" s="22">
        <v>0.19</v>
      </c>
      <c r="U102" s="12">
        <v>48635259.719999999</v>
      </c>
      <c r="V102" s="24">
        <v>48635259.719999999</v>
      </c>
      <c r="W102" s="8">
        <v>32109034.18</v>
      </c>
      <c r="X102" s="24">
        <v>32109034.18</v>
      </c>
      <c r="Y102" s="22">
        <v>0.28000000000000003</v>
      </c>
      <c r="Z102" s="22">
        <v>7.0000000000000007E-2</v>
      </c>
      <c r="AA102" s="8" t="s">
        <v>647</v>
      </c>
      <c r="AB102" s="8">
        <v>6002973.1600000001</v>
      </c>
      <c r="AC102" s="24">
        <v>6002973.1600000001</v>
      </c>
      <c r="AD102" s="8">
        <v>4704821.97</v>
      </c>
      <c r="AE102" s="24">
        <v>4704821.97</v>
      </c>
      <c r="AF102" s="8">
        <v>90</v>
      </c>
      <c r="AG102" s="8">
        <v>169</v>
      </c>
      <c r="AH102" s="8" t="s">
        <v>347</v>
      </c>
      <c r="AI102" s="8" t="s">
        <v>455</v>
      </c>
      <c r="AJ102" s="22">
        <v>0.77</v>
      </c>
      <c r="AK102" s="8" t="s">
        <v>152</v>
      </c>
      <c r="AL102" s="22">
        <v>0.15</v>
      </c>
      <c r="AM102" s="22">
        <v>0.06</v>
      </c>
      <c r="AN102" s="8">
        <v>5</v>
      </c>
      <c r="AO102" s="8">
        <v>856</v>
      </c>
      <c r="AP102" s="8"/>
      <c r="AQ102" s="24"/>
      <c r="AR102" s="8"/>
      <c r="AS102" s="37"/>
      <c r="AT102" s="8" t="s">
        <v>391</v>
      </c>
      <c r="AU102" s="8" t="s">
        <v>348</v>
      </c>
      <c r="AV102" s="8">
        <v>60.9</v>
      </c>
      <c r="AW102" s="8">
        <v>48</v>
      </c>
      <c r="AX102" s="8" t="s">
        <v>332</v>
      </c>
      <c r="AY102" s="8" t="s">
        <v>229</v>
      </c>
      <c r="AZ102" s="8" t="s">
        <v>188</v>
      </c>
      <c r="BA102" s="21">
        <f>IF(OR(tblsales[[#This Row],[Invoice Value USD]]="",tblsales[[#This Row],[Collected Amount USD]]=""),"",tblsales[[#This Row],[Invoice Value USD]]-tblsales[[#This Row],[Collected Amount USD]])</f>
        <v>1298151.1900000004</v>
      </c>
      <c r="BB102" s="21">
        <f>IF(OR(tblsales[[#This Row],[Contract Value USD]]="",tblsales[[#This Row],[Cost Estimate USD]]=""),"",tblsales[[#This Row],[Contract Value USD]]-tblsales[[#This Row],[Cost Estimate USD]])</f>
        <v>16526225.539999999</v>
      </c>
      <c r="BC102" s="21">
        <f>IF(OR(tblsales[[#This Row],[Contract Value USD]]="",tblsales[[#This Row],[Cost Estimate USD]]=""),"",tblsales[[#This Row],[Contract Value USD]]-tblsales[[#This Row],[Cost Estimate USD]])</f>
        <v>16526225.539999999</v>
      </c>
      <c r="BD102" s="23">
        <f>IF(tblsales[[#This Row],[Invoice Value USD]]="","",tblsales[[#This Row],[Collected Amount USD]]/tblsales[[#This Row],[Invoice Value USD]])</f>
        <v>0.78374862665552869</v>
      </c>
      <c r="BE102" s="11">
        <f>IF(tblsales[[#This Row],[SalesStage]]="Won",1,0)</f>
        <v>0</v>
      </c>
      <c r="BF102" s="21" t="str">
        <f>IF(tblsales[[#This Row],[Win Flag]]=1,"Won","Lost")</f>
        <v>Lost</v>
      </c>
      <c r="BG102" s="8"/>
    </row>
    <row r="103" spans="1:59" x14ac:dyDescent="0.3">
      <c r="A103" s="10" t="s">
        <v>648</v>
      </c>
      <c r="B103" s="9">
        <v>45794</v>
      </c>
      <c r="C103" s="10" t="s">
        <v>247</v>
      </c>
      <c r="D103" s="10" t="s">
        <v>190</v>
      </c>
      <c r="E103" s="10" t="s">
        <v>36</v>
      </c>
      <c r="F103" s="10" t="s">
        <v>339</v>
      </c>
      <c r="G103" s="10" t="s">
        <v>50</v>
      </c>
      <c r="H103" s="10" t="s">
        <v>332</v>
      </c>
      <c r="I103" s="10" t="s">
        <v>332</v>
      </c>
      <c r="J103" s="10" t="s">
        <v>115</v>
      </c>
      <c r="K103" s="10" t="s">
        <v>223</v>
      </c>
      <c r="L103" s="10" t="s">
        <v>649</v>
      </c>
      <c r="M103" s="9">
        <v>45774</v>
      </c>
      <c r="N103" s="9">
        <v>45812</v>
      </c>
      <c r="O103" s="9"/>
      <c r="P103" s="11"/>
      <c r="Q103" s="12">
        <v>10374205</v>
      </c>
      <c r="R103">
        <v>12044452.005000001</v>
      </c>
      <c r="S103" s="22">
        <v>0.25</v>
      </c>
      <c r="T103" s="22">
        <v>0.18</v>
      </c>
      <c r="U103" s="12">
        <v>9181171.4199999999</v>
      </c>
      <c r="V103" s="24">
        <v>10659340.018619999</v>
      </c>
      <c r="W103" s="8">
        <v>6034792.6799999997</v>
      </c>
      <c r="X103" s="24">
        <v>7006394.3014799999</v>
      </c>
      <c r="Y103" s="22">
        <v>0.36</v>
      </c>
      <c r="Z103" s="22">
        <v>0.14000000000000001</v>
      </c>
      <c r="AA103" s="8" t="s">
        <v>650</v>
      </c>
      <c r="AB103" s="8">
        <v>4943548.63</v>
      </c>
      <c r="AC103" s="24">
        <v>5739459.9594299998</v>
      </c>
      <c r="AD103" s="8">
        <v>3521321.34</v>
      </c>
      <c r="AE103" s="24">
        <v>4088254.0757399998</v>
      </c>
      <c r="AF103" s="8">
        <v>90</v>
      </c>
      <c r="AG103" s="8">
        <v>123</v>
      </c>
      <c r="AH103" s="8" t="s">
        <v>332</v>
      </c>
      <c r="AI103" s="8" t="s">
        <v>406</v>
      </c>
      <c r="AJ103" s="22">
        <v>0.46</v>
      </c>
      <c r="AK103" s="8" t="s">
        <v>159</v>
      </c>
      <c r="AL103" s="22">
        <v>0.15</v>
      </c>
      <c r="AM103" s="22">
        <v>0.08</v>
      </c>
      <c r="AN103" s="8">
        <v>2</v>
      </c>
      <c r="AO103" s="8"/>
      <c r="AP103" s="8"/>
      <c r="AQ103" s="24"/>
      <c r="AR103" s="8">
        <v>1793946.29</v>
      </c>
      <c r="AS103" s="37">
        <v>2082771.6426900001</v>
      </c>
      <c r="AT103" s="8" t="s">
        <v>343</v>
      </c>
      <c r="AU103" s="8" t="s">
        <v>386</v>
      </c>
      <c r="AV103" s="8">
        <v>94.3</v>
      </c>
      <c r="AW103" s="8">
        <v>60</v>
      </c>
      <c r="AX103" s="8" t="s">
        <v>387</v>
      </c>
      <c r="AY103" s="8" t="s">
        <v>192</v>
      </c>
      <c r="AZ103" s="8" t="s">
        <v>332</v>
      </c>
      <c r="BA103" s="21">
        <f>IF(OR(tblsales[[#This Row],[Invoice Value USD]]="",tblsales[[#This Row],[Collected Amount USD]]=""),"",tblsales[[#This Row],[Invoice Value USD]]-tblsales[[#This Row],[Collected Amount USD]])</f>
        <v>1651205.88369</v>
      </c>
      <c r="BB103" s="21">
        <f>IF(OR(tblsales[[#This Row],[Contract Value USD]]="",tblsales[[#This Row],[Cost Estimate USD]]=""),"",tblsales[[#This Row],[Contract Value USD]]-tblsales[[#This Row],[Cost Estimate USD]])</f>
        <v>3652945.7171399994</v>
      </c>
      <c r="BC103" s="21">
        <f>IF(OR(tblsales[[#This Row],[Contract Value USD]]="",tblsales[[#This Row],[Cost Estimate USD]]=""),"",tblsales[[#This Row],[Contract Value USD]]-tblsales[[#This Row],[Cost Estimate USD]])</f>
        <v>3652945.7171399994</v>
      </c>
      <c r="BD103" s="23">
        <f>IF(tblsales[[#This Row],[Invoice Value USD]]="","",tblsales[[#This Row],[Collected Amount USD]]/tblsales[[#This Row],[Invoice Value USD]])</f>
        <v>0.71230640245567889</v>
      </c>
      <c r="BE103" s="11">
        <f>IF(tblsales[[#This Row],[SalesStage]]="Won",1,0)</f>
        <v>0</v>
      </c>
      <c r="BF103" s="21" t="str">
        <f>IF(tblsales[[#This Row],[Win Flag]]=1,"Won","Lost")</f>
        <v>Lost</v>
      </c>
      <c r="BG103" s="8"/>
    </row>
    <row r="104" spans="1:59" x14ac:dyDescent="0.3">
      <c r="A104" s="10" t="s">
        <v>651</v>
      </c>
      <c r="B104" s="9">
        <v>45830</v>
      </c>
      <c r="C104" s="10" t="s">
        <v>235</v>
      </c>
      <c r="D104" s="10" t="s">
        <v>562</v>
      </c>
      <c r="E104" s="10" t="s">
        <v>41</v>
      </c>
      <c r="F104" s="10" t="s">
        <v>350</v>
      </c>
      <c r="G104" s="10" t="s">
        <v>332</v>
      </c>
      <c r="H104" s="10" t="s">
        <v>236</v>
      </c>
      <c r="I104" s="10" t="s">
        <v>246</v>
      </c>
      <c r="J104" s="10" t="s">
        <v>105</v>
      </c>
      <c r="K104" s="10" t="s">
        <v>210</v>
      </c>
      <c r="L104" s="10" t="s">
        <v>652</v>
      </c>
      <c r="M104" s="9">
        <v>45762</v>
      </c>
      <c r="N104" s="9">
        <v>45834</v>
      </c>
      <c r="O104" s="9"/>
      <c r="P104" s="11">
        <v>42</v>
      </c>
      <c r="Q104" s="12">
        <v>48586295</v>
      </c>
      <c r="R104">
        <v>48586295</v>
      </c>
      <c r="S104" s="22">
        <v>0.02</v>
      </c>
      <c r="T104" s="22">
        <v>-0.02</v>
      </c>
      <c r="U104" s="12">
        <v>46662277.719999999</v>
      </c>
      <c r="V104" s="24">
        <v>46662277.719999999</v>
      </c>
      <c r="W104" s="8">
        <v>39258656.850000001</v>
      </c>
      <c r="X104" s="24">
        <v>39258656.850000001</v>
      </c>
      <c r="Y104" s="22">
        <v>0.33</v>
      </c>
      <c r="Z104" s="22">
        <v>0.2</v>
      </c>
      <c r="AA104" s="8" t="s">
        <v>653</v>
      </c>
      <c r="AB104" s="8">
        <v>34345216.560000002</v>
      </c>
      <c r="AC104" s="24">
        <v>34345216.560000002</v>
      </c>
      <c r="AD104" s="8">
        <v>28638866.489999998</v>
      </c>
      <c r="AE104" s="24">
        <v>28638866.489999998</v>
      </c>
      <c r="AF104" s="8">
        <v>90</v>
      </c>
      <c r="AG104" s="8">
        <v>174</v>
      </c>
      <c r="AH104" s="8" t="s">
        <v>329</v>
      </c>
      <c r="AI104" s="8" t="s">
        <v>320</v>
      </c>
      <c r="AJ104" s="22">
        <v>0.87</v>
      </c>
      <c r="AK104" s="8" t="s">
        <v>152</v>
      </c>
      <c r="AL104" s="22">
        <v>0.15</v>
      </c>
      <c r="AM104" s="22">
        <v>0.02</v>
      </c>
      <c r="AN104" s="8">
        <v>7</v>
      </c>
      <c r="AO104" s="8">
        <v>1756</v>
      </c>
      <c r="AP104" s="8">
        <v>7298428.5800000001</v>
      </c>
      <c r="AQ104" s="24">
        <v>7298428.5800000001</v>
      </c>
      <c r="AR104" s="8">
        <v>6919931.5999999996</v>
      </c>
      <c r="AS104" s="37">
        <v>6919931.5999999996</v>
      </c>
      <c r="AT104" s="8" t="s">
        <v>73</v>
      </c>
      <c r="AU104" s="8" t="s">
        <v>356</v>
      </c>
      <c r="AV104" s="8">
        <v>56</v>
      </c>
      <c r="AW104" s="8">
        <v>48</v>
      </c>
      <c r="AX104" s="8" t="s">
        <v>392</v>
      </c>
      <c r="AY104" s="8" t="s">
        <v>192</v>
      </c>
      <c r="AZ104" s="8" t="s">
        <v>377</v>
      </c>
      <c r="BA104" s="21">
        <f>IF(OR(tblsales[[#This Row],[Invoice Value USD]]="",tblsales[[#This Row],[Collected Amount USD]]=""),"",tblsales[[#This Row],[Invoice Value USD]]-tblsales[[#This Row],[Collected Amount USD]])</f>
        <v>5706350.070000004</v>
      </c>
      <c r="BB104" s="21">
        <f>IF(OR(tblsales[[#This Row],[Contract Value USD]]="",tblsales[[#This Row],[Cost Estimate USD]]=""),"",tblsales[[#This Row],[Contract Value USD]]-tblsales[[#This Row],[Cost Estimate USD]])</f>
        <v>7403620.8699999973</v>
      </c>
      <c r="BC104" s="21">
        <f>IF(OR(tblsales[[#This Row],[Contract Value USD]]="",tblsales[[#This Row],[Cost Estimate USD]]=""),"",tblsales[[#This Row],[Contract Value USD]]-tblsales[[#This Row],[Cost Estimate USD]])</f>
        <v>7403620.8699999973</v>
      </c>
      <c r="BD104" s="23">
        <f>IF(tblsales[[#This Row],[Invoice Value USD]]="","",tblsales[[#This Row],[Collected Amount USD]]/tblsales[[#This Row],[Invoice Value USD]])</f>
        <v>0.8338531346852569</v>
      </c>
      <c r="BE104" s="11">
        <f>IF(tblsales[[#This Row],[SalesStage]]="Won",1,0)</f>
        <v>1</v>
      </c>
      <c r="BF104" s="21" t="str">
        <f>IF(tblsales[[#This Row],[Win Flag]]=1,"Won","Lost")</f>
        <v>Won</v>
      </c>
      <c r="BG104" s="8"/>
    </row>
    <row r="105" spans="1:59" x14ac:dyDescent="0.3">
      <c r="A105" s="10" t="s">
        <v>654</v>
      </c>
      <c r="B105" s="9">
        <v>45726</v>
      </c>
      <c r="C105" s="10" t="s">
        <v>258</v>
      </c>
      <c r="D105" s="10" t="s">
        <v>253</v>
      </c>
      <c r="E105" s="10" t="s">
        <v>113</v>
      </c>
      <c r="F105" s="10" t="s">
        <v>181</v>
      </c>
      <c r="G105" s="10" t="s">
        <v>73</v>
      </c>
      <c r="H105" s="10" t="s">
        <v>332</v>
      </c>
      <c r="I105" s="10" t="s">
        <v>246</v>
      </c>
      <c r="J105" s="10" t="s">
        <v>123</v>
      </c>
      <c r="K105" s="10" t="s">
        <v>333</v>
      </c>
      <c r="L105" s="10" t="s">
        <v>655</v>
      </c>
      <c r="M105" s="9">
        <v>45638</v>
      </c>
      <c r="N105" s="9">
        <v>45776</v>
      </c>
      <c r="O105" s="9">
        <v>45756</v>
      </c>
      <c r="P105" s="11">
        <v>36</v>
      </c>
      <c r="Q105" s="12">
        <v>6908728</v>
      </c>
      <c r="R105">
        <v>6908728</v>
      </c>
      <c r="S105" s="22">
        <v>0.28000000000000003</v>
      </c>
      <c r="T105" s="22">
        <v>0.11</v>
      </c>
      <c r="U105" s="12">
        <v>5521455.4199999999</v>
      </c>
      <c r="V105" s="24">
        <v>5521455.4199999999</v>
      </c>
      <c r="W105" s="8">
        <v>4338076.57</v>
      </c>
      <c r="X105" s="24">
        <v>4338076.57</v>
      </c>
      <c r="Y105" s="22">
        <v>0.4</v>
      </c>
      <c r="Z105" s="22">
        <v>0.13</v>
      </c>
      <c r="AA105" s="8" t="s">
        <v>656</v>
      </c>
      <c r="AB105" s="8">
        <v>2041345</v>
      </c>
      <c r="AC105" s="24">
        <v>2041345</v>
      </c>
      <c r="AD105" s="8">
        <v>870027.22</v>
      </c>
      <c r="AE105" s="24">
        <v>870027.22</v>
      </c>
      <c r="AF105" s="8">
        <v>90</v>
      </c>
      <c r="AG105" s="8">
        <v>21</v>
      </c>
      <c r="AH105" s="8" t="s">
        <v>347</v>
      </c>
      <c r="AI105" s="8" t="s">
        <v>406</v>
      </c>
      <c r="AJ105" s="22">
        <v>0.06</v>
      </c>
      <c r="AK105" s="8" t="s">
        <v>152</v>
      </c>
      <c r="AL105" s="22">
        <v>0.05</v>
      </c>
      <c r="AM105" s="22">
        <v>0.09</v>
      </c>
      <c r="AN105" s="8">
        <v>9</v>
      </c>
      <c r="AO105" s="8">
        <v>1232</v>
      </c>
      <c r="AP105" s="8">
        <v>1340454.68</v>
      </c>
      <c r="AQ105" s="24">
        <v>1340454.68</v>
      </c>
      <c r="AR105" s="8">
        <v>941571.18</v>
      </c>
      <c r="AS105" s="37">
        <v>941571.18</v>
      </c>
      <c r="AT105" s="8" t="s">
        <v>343</v>
      </c>
      <c r="AU105" s="8" t="s">
        <v>330</v>
      </c>
      <c r="AV105" s="8">
        <v>83</v>
      </c>
      <c r="AW105" s="8">
        <v>12</v>
      </c>
      <c r="AX105" s="8" t="s">
        <v>392</v>
      </c>
      <c r="AY105" s="8" t="s">
        <v>206</v>
      </c>
      <c r="AZ105" s="8" t="s">
        <v>377</v>
      </c>
      <c r="BA105" s="21">
        <f>IF(OR(tblsales[[#This Row],[Invoice Value USD]]="",tblsales[[#This Row],[Collected Amount USD]]=""),"",tblsales[[#This Row],[Invoice Value USD]]-tblsales[[#This Row],[Collected Amount USD]])</f>
        <v>1171317.78</v>
      </c>
      <c r="BB105" s="21">
        <f>IF(OR(tblsales[[#This Row],[Contract Value USD]]="",tblsales[[#This Row],[Cost Estimate USD]]=""),"",tblsales[[#This Row],[Contract Value USD]]-tblsales[[#This Row],[Cost Estimate USD]])</f>
        <v>1183378.8499999996</v>
      </c>
      <c r="BC105" s="21">
        <f>IF(OR(tblsales[[#This Row],[Contract Value USD]]="",tblsales[[#This Row],[Cost Estimate USD]]=""),"",tblsales[[#This Row],[Contract Value USD]]-tblsales[[#This Row],[Cost Estimate USD]])</f>
        <v>1183378.8499999996</v>
      </c>
      <c r="BD105" s="23">
        <f>IF(tblsales[[#This Row],[Invoice Value USD]]="","",tblsales[[#This Row],[Collected Amount USD]]/tblsales[[#This Row],[Invoice Value USD]])</f>
        <v>0.42620292993100134</v>
      </c>
      <c r="BE105" s="11">
        <f>IF(tblsales[[#This Row],[SalesStage]]="Won",1,0)</f>
        <v>0</v>
      </c>
      <c r="BF105" s="21" t="str">
        <f>IF(tblsales[[#This Row],[Win Flag]]=1,"Won","Lost")</f>
        <v>Lost</v>
      </c>
      <c r="BG105" s="8"/>
    </row>
    <row r="106" spans="1:59" x14ac:dyDescent="0.3">
      <c r="A106" s="10" t="s">
        <v>657</v>
      </c>
      <c r="B106" s="9">
        <v>46070</v>
      </c>
      <c r="C106" s="10" t="s">
        <v>214</v>
      </c>
      <c r="D106" s="10" t="s">
        <v>274</v>
      </c>
      <c r="E106" s="10" t="s">
        <v>20</v>
      </c>
      <c r="F106" s="10" t="s">
        <v>196</v>
      </c>
      <c r="G106" s="10" t="s">
        <v>50</v>
      </c>
      <c r="H106" s="10" t="s">
        <v>216</v>
      </c>
      <c r="I106" s="10" t="s">
        <v>183</v>
      </c>
      <c r="J106" s="10" t="s">
        <v>136</v>
      </c>
      <c r="K106" s="10" t="s">
        <v>333</v>
      </c>
      <c r="L106" s="10" t="s">
        <v>658</v>
      </c>
      <c r="M106" s="9">
        <v>46024</v>
      </c>
      <c r="N106" s="9"/>
      <c r="O106" s="9">
        <v>46158</v>
      </c>
      <c r="P106" s="11">
        <v>11</v>
      </c>
      <c r="Q106" s="12">
        <v>30610222</v>
      </c>
      <c r="R106">
        <v>30610222</v>
      </c>
      <c r="S106" s="22">
        <v>0.02</v>
      </c>
      <c r="T106" s="22">
        <v>0.14000000000000001</v>
      </c>
      <c r="U106" s="12">
        <v>34197740.020000003</v>
      </c>
      <c r="V106" s="24">
        <v>34197740.020000003</v>
      </c>
      <c r="W106" s="8">
        <v>22510541.890000001</v>
      </c>
      <c r="X106" s="24">
        <v>22510541.890000001</v>
      </c>
      <c r="Y106" s="22">
        <v>0.14000000000000001</v>
      </c>
      <c r="Z106" s="22">
        <v>0.1</v>
      </c>
      <c r="AA106" s="8" t="s">
        <v>659</v>
      </c>
      <c r="AB106" s="8">
        <v>28593829.68</v>
      </c>
      <c r="AC106" s="24">
        <v>28593829.68</v>
      </c>
      <c r="AD106" s="8">
        <v>12601589.15</v>
      </c>
      <c r="AE106" s="24">
        <v>12601589.15</v>
      </c>
      <c r="AF106" s="8">
        <v>30</v>
      </c>
      <c r="AG106" s="8">
        <v>125</v>
      </c>
      <c r="AH106" s="8" t="s">
        <v>329</v>
      </c>
      <c r="AI106" s="8" t="s">
        <v>226</v>
      </c>
      <c r="AJ106" s="22">
        <v>0.53</v>
      </c>
      <c r="AK106" s="8" t="s">
        <v>152</v>
      </c>
      <c r="AL106" s="22">
        <v>0.05</v>
      </c>
      <c r="AM106" s="22">
        <v>0.09</v>
      </c>
      <c r="AN106" s="8">
        <v>14</v>
      </c>
      <c r="AO106" s="8">
        <v>3436</v>
      </c>
      <c r="AP106" s="8">
        <v>3386345.09</v>
      </c>
      <c r="AQ106" s="24">
        <v>3386345.09</v>
      </c>
      <c r="AR106" s="8">
        <v>11676968.57</v>
      </c>
      <c r="AS106" s="37">
        <v>11676968.57</v>
      </c>
      <c r="AT106" s="8" t="s">
        <v>332</v>
      </c>
      <c r="AU106" s="8" t="s">
        <v>321</v>
      </c>
      <c r="AV106" s="8">
        <v>53</v>
      </c>
      <c r="AW106" s="8">
        <v>60</v>
      </c>
      <c r="AX106" s="8" t="s">
        <v>392</v>
      </c>
      <c r="AY106" s="8" t="s">
        <v>206</v>
      </c>
      <c r="AZ106" s="8" t="s">
        <v>332</v>
      </c>
      <c r="BA106" s="21">
        <f>IF(OR(tblsales[[#This Row],[Invoice Value USD]]="",tblsales[[#This Row],[Collected Amount USD]]=""),"",tblsales[[#This Row],[Invoice Value USD]]-tblsales[[#This Row],[Collected Amount USD]])</f>
        <v>15992240.529999999</v>
      </c>
      <c r="BB106" s="21">
        <f>IF(OR(tblsales[[#This Row],[Contract Value USD]]="",tblsales[[#This Row],[Cost Estimate USD]]=""),"",tblsales[[#This Row],[Contract Value USD]]-tblsales[[#This Row],[Cost Estimate USD]])</f>
        <v>11687198.130000003</v>
      </c>
      <c r="BC106" s="21">
        <f>IF(OR(tblsales[[#This Row],[Contract Value USD]]="",tblsales[[#This Row],[Cost Estimate USD]]=""),"",tblsales[[#This Row],[Contract Value USD]]-tblsales[[#This Row],[Cost Estimate USD]])</f>
        <v>11687198.130000003</v>
      </c>
      <c r="BD106" s="23">
        <f>IF(tblsales[[#This Row],[Invoice Value USD]]="","",tblsales[[#This Row],[Collected Amount USD]]/tblsales[[#This Row],[Invoice Value USD]])</f>
        <v>0.44071008644267762</v>
      </c>
      <c r="BE106" s="11">
        <f>IF(tblsales[[#This Row],[SalesStage]]="Won",1,0)</f>
        <v>0</v>
      </c>
      <c r="BF106" s="21" t="str">
        <f>IF(tblsales[[#This Row],[Win Flag]]=1,"Won","Lost")</f>
        <v>Lost</v>
      </c>
      <c r="BG106" s="8"/>
    </row>
    <row r="107" spans="1:59" x14ac:dyDescent="0.3">
      <c r="A107" s="10" t="s">
        <v>660</v>
      </c>
      <c r="B107" s="9">
        <v>45908</v>
      </c>
      <c r="C107" s="10" t="s">
        <v>258</v>
      </c>
      <c r="D107" s="10" t="s">
        <v>255</v>
      </c>
      <c r="E107" s="10" t="s">
        <v>52</v>
      </c>
      <c r="F107" s="10" t="s">
        <v>75</v>
      </c>
      <c r="G107" s="10" t="s">
        <v>50</v>
      </c>
      <c r="H107" s="10" t="s">
        <v>182</v>
      </c>
      <c r="I107" s="10" t="s">
        <v>198</v>
      </c>
      <c r="J107" s="10" t="s">
        <v>119</v>
      </c>
      <c r="K107" s="10" t="s">
        <v>221</v>
      </c>
      <c r="L107" s="10" t="s">
        <v>661</v>
      </c>
      <c r="M107" s="9">
        <v>45882</v>
      </c>
      <c r="N107" s="9"/>
      <c r="O107" s="9">
        <v>45949</v>
      </c>
      <c r="P107" s="11">
        <v>22</v>
      </c>
      <c r="Q107" s="12">
        <v>14725217</v>
      </c>
      <c r="R107">
        <v>17095976.936999999</v>
      </c>
      <c r="S107" s="22">
        <v>0.21</v>
      </c>
      <c r="T107" s="22">
        <v>0.16</v>
      </c>
      <c r="U107" s="12">
        <v>13494188.859999999</v>
      </c>
      <c r="V107" s="24">
        <v>15666753.26646</v>
      </c>
      <c r="W107" s="8">
        <v>9955808.1199999992</v>
      </c>
      <c r="X107" s="24">
        <v>11558693.227319999</v>
      </c>
      <c r="Y107" s="22">
        <v>0.25</v>
      </c>
      <c r="Z107" s="22">
        <v>0.2</v>
      </c>
      <c r="AA107" s="8" t="s">
        <v>662</v>
      </c>
      <c r="AB107" s="8">
        <v>3876816.32</v>
      </c>
      <c r="AC107" s="24">
        <v>4500983.7475199997</v>
      </c>
      <c r="AD107" s="8">
        <v>3427160.69</v>
      </c>
      <c r="AE107" s="24">
        <v>3978933.56109</v>
      </c>
      <c r="AF107" s="8">
        <v>45</v>
      </c>
      <c r="AG107" s="8">
        <v>64</v>
      </c>
      <c r="AH107" s="8" t="s">
        <v>347</v>
      </c>
      <c r="AI107" s="8" t="s">
        <v>320</v>
      </c>
      <c r="AJ107" s="22">
        <v>0.36</v>
      </c>
      <c r="AK107" s="8" t="s">
        <v>159</v>
      </c>
      <c r="AL107" s="22">
        <v>0.15</v>
      </c>
      <c r="AM107" s="22">
        <v>0.03</v>
      </c>
      <c r="AN107" s="8">
        <v>4</v>
      </c>
      <c r="AO107" s="8">
        <v>3813</v>
      </c>
      <c r="AP107" s="8">
        <v>274116.08</v>
      </c>
      <c r="AQ107" s="24">
        <v>318248.76888000005</v>
      </c>
      <c r="AR107" s="8">
        <v>3426872.3</v>
      </c>
      <c r="AS107" s="37">
        <v>3978598.7402999997</v>
      </c>
      <c r="AT107" s="8" t="s">
        <v>332</v>
      </c>
      <c r="AU107" s="8" t="s">
        <v>330</v>
      </c>
      <c r="AV107" s="8">
        <v>93.7</v>
      </c>
      <c r="AW107" s="8">
        <v>60</v>
      </c>
      <c r="AX107" s="8" t="s">
        <v>332</v>
      </c>
      <c r="AY107" s="8" t="s">
        <v>224</v>
      </c>
      <c r="AZ107" s="8" t="s">
        <v>324</v>
      </c>
      <c r="BA107" s="21">
        <f>IF(OR(tblsales[[#This Row],[Invoice Value USD]]="",tblsales[[#This Row],[Collected Amount USD]]=""),"",tblsales[[#This Row],[Invoice Value USD]]-tblsales[[#This Row],[Collected Amount USD]])</f>
        <v>522050.18642999977</v>
      </c>
      <c r="BB107" s="21">
        <f>IF(OR(tblsales[[#This Row],[Contract Value USD]]="",tblsales[[#This Row],[Cost Estimate USD]]=""),"",tblsales[[#This Row],[Contract Value USD]]-tblsales[[#This Row],[Cost Estimate USD]])</f>
        <v>4108060.0391400009</v>
      </c>
      <c r="BC107" s="21">
        <f>IF(OR(tblsales[[#This Row],[Contract Value USD]]="",tblsales[[#This Row],[Cost Estimate USD]]=""),"",tblsales[[#This Row],[Contract Value USD]]-tblsales[[#This Row],[Cost Estimate USD]])</f>
        <v>4108060.0391400009</v>
      </c>
      <c r="BD107" s="23">
        <f>IF(tblsales[[#This Row],[Invoice Value USD]]="","",tblsales[[#This Row],[Collected Amount USD]]/tblsales[[#This Row],[Invoice Value USD]])</f>
        <v>0.88401420317999491</v>
      </c>
      <c r="BE107" s="11">
        <f>IF(tblsales[[#This Row],[SalesStage]]="Won",1,0)</f>
        <v>1</v>
      </c>
      <c r="BF107" s="21" t="str">
        <f>IF(tblsales[[#This Row],[Win Flag]]=1,"Won","Lost")</f>
        <v>Won</v>
      </c>
      <c r="BG107" s="8"/>
    </row>
    <row r="108" spans="1:59" x14ac:dyDescent="0.3">
      <c r="A108" s="10" t="s">
        <v>663</v>
      </c>
      <c r="B108" s="9">
        <v>46236</v>
      </c>
      <c r="C108" s="10" t="s">
        <v>217</v>
      </c>
      <c r="D108" s="10" t="s">
        <v>262</v>
      </c>
      <c r="E108" s="10" t="s">
        <v>41</v>
      </c>
      <c r="F108" s="10" t="s">
        <v>350</v>
      </c>
      <c r="G108" s="10" t="s">
        <v>66</v>
      </c>
      <c r="H108" s="10" t="s">
        <v>236</v>
      </c>
      <c r="I108" s="10" t="s">
        <v>183</v>
      </c>
      <c r="J108" s="10" t="s">
        <v>130</v>
      </c>
      <c r="K108" s="10" t="s">
        <v>221</v>
      </c>
      <c r="L108" s="10" t="s">
        <v>664</v>
      </c>
      <c r="M108" s="9">
        <v>46010</v>
      </c>
      <c r="N108" s="9">
        <v>46359</v>
      </c>
      <c r="O108" s="9">
        <v>46099</v>
      </c>
      <c r="P108" s="11">
        <v>34</v>
      </c>
      <c r="Q108" s="12">
        <v>46147102</v>
      </c>
      <c r="R108">
        <v>46147102</v>
      </c>
      <c r="S108" s="22">
        <v>0.04</v>
      </c>
      <c r="T108" s="22">
        <v>0.17</v>
      </c>
      <c r="U108" s="12">
        <v>51832424.969999999</v>
      </c>
      <c r="V108" s="24">
        <v>51832424.969999999</v>
      </c>
      <c r="W108" s="8">
        <v>43998884.219999999</v>
      </c>
      <c r="X108" s="24">
        <v>43998884.219999999</v>
      </c>
      <c r="Y108" s="22">
        <v>0.24</v>
      </c>
      <c r="Z108" s="22">
        <v>0.17</v>
      </c>
      <c r="AA108" s="8" t="s">
        <v>665</v>
      </c>
      <c r="AB108" s="8">
        <v>35007447.090000004</v>
      </c>
      <c r="AC108" s="24">
        <v>35007447.090000004</v>
      </c>
      <c r="AD108" s="8">
        <v>12037287.58</v>
      </c>
      <c r="AE108" s="24">
        <v>12037287.58</v>
      </c>
      <c r="AF108" s="8">
        <v>60</v>
      </c>
      <c r="AG108" s="8">
        <v>14</v>
      </c>
      <c r="AH108" s="8" t="s">
        <v>329</v>
      </c>
      <c r="AI108" s="8" t="s">
        <v>320</v>
      </c>
      <c r="AJ108" s="22">
        <v>0.15</v>
      </c>
      <c r="AK108" s="8" t="s">
        <v>152</v>
      </c>
      <c r="AL108" s="22">
        <v>0.1</v>
      </c>
      <c r="AM108" s="22">
        <v>0.05</v>
      </c>
      <c r="AN108" s="8">
        <v>1</v>
      </c>
      <c r="AO108" s="8">
        <v>3760</v>
      </c>
      <c r="AP108" s="8">
        <v>5694153.4500000002</v>
      </c>
      <c r="AQ108" s="24">
        <v>5694153.4500000002</v>
      </c>
      <c r="AR108" s="8">
        <v>25050745.859999999</v>
      </c>
      <c r="AS108" s="37">
        <v>25050745.859999999</v>
      </c>
      <c r="AT108" s="8" t="s">
        <v>343</v>
      </c>
      <c r="AU108" s="8" t="s">
        <v>386</v>
      </c>
      <c r="AV108" s="8">
        <v>68.400000000000006</v>
      </c>
      <c r="AW108" s="8"/>
      <c r="AX108" s="8" t="s">
        <v>387</v>
      </c>
      <c r="AY108" s="8" t="s">
        <v>192</v>
      </c>
      <c r="AZ108" s="8" t="s">
        <v>357</v>
      </c>
      <c r="BA108" s="21">
        <f>IF(OR(tblsales[[#This Row],[Invoice Value USD]]="",tblsales[[#This Row],[Collected Amount USD]]=""),"",tblsales[[#This Row],[Invoice Value USD]]-tblsales[[#This Row],[Collected Amount USD]])</f>
        <v>22970159.510000005</v>
      </c>
      <c r="BB108" s="21">
        <f>IF(OR(tblsales[[#This Row],[Contract Value USD]]="",tblsales[[#This Row],[Cost Estimate USD]]=""),"",tblsales[[#This Row],[Contract Value USD]]-tblsales[[#This Row],[Cost Estimate USD]])</f>
        <v>7833540.75</v>
      </c>
      <c r="BC108" s="21">
        <f>IF(OR(tblsales[[#This Row],[Contract Value USD]]="",tblsales[[#This Row],[Cost Estimate USD]]=""),"",tblsales[[#This Row],[Contract Value USD]]-tblsales[[#This Row],[Cost Estimate USD]])</f>
        <v>7833540.75</v>
      </c>
      <c r="BD108" s="23">
        <f>IF(tblsales[[#This Row],[Invoice Value USD]]="","",tblsales[[#This Row],[Collected Amount USD]]/tblsales[[#This Row],[Invoice Value USD]])</f>
        <v>0.34384934008622675</v>
      </c>
      <c r="BE108" s="11">
        <f>IF(tblsales[[#This Row],[SalesStage]]="Won",1,0)</f>
        <v>1</v>
      </c>
      <c r="BF108" s="21" t="str">
        <f>IF(tblsales[[#This Row],[Win Flag]]=1,"Won","Lost")</f>
        <v>Won</v>
      </c>
      <c r="BG108" s="8"/>
    </row>
    <row r="109" spans="1:59" x14ac:dyDescent="0.3">
      <c r="A109" s="10" t="s">
        <v>666</v>
      </c>
      <c r="B109" s="9">
        <v>45808</v>
      </c>
      <c r="C109" s="10" t="s">
        <v>271</v>
      </c>
      <c r="D109" s="10" t="s">
        <v>202</v>
      </c>
      <c r="E109" s="10" t="s">
        <v>332</v>
      </c>
      <c r="F109" s="10" t="s">
        <v>350</v>
      </c>
      <c r="G109" s="10" t="s">
        <v>66</v>
      </c>
      <c r="H109" s="10" t="s">
        <v>197</v>
      </c>
      <c r="I109" s="10" t="s">
        <v>233</v>
      </c>
      <c r="J109" s="10" t="s">
        <v>130</v>
      </c>
      <c r="K109" s="10" t="s">
        <v>199</v>
      </c>
      <c r="L109" s="10" t="s">
        <v>667</v>
      </c>
      <c r="M109" s="9">
        <v>45777</v>
      </c>
      <c r="N109" s="9"/>
      <c r="O109" s="9">
        <v>45785</v>
      </c>
      <c r="P109" s="11">
        <v>21</v>
      </c>
      <c r="Q109" s="12">
        <v>28153301</v>
      </c>
      <c r="R109">
        <v>7666143.8622999992</v>
      </c>
      <c r="S109" s="22">
        <v>0.34</v>
      </c>
      <c r="T109" s="22">
        <v>0.09</v>
      </c>
      <c r="U109" s="12">
        <v>20253484.739999998</v>
      </c>
      <c r="V109" s="24">
        <v>5515023.8947019996</v>
      </c>
      <c r="W109" s="8">
        <v>13162920.43</v>
      </c>
      <c r="X109" s="24">
        <v>3584263.2330889995</v>
      </c>
      <c r="Y109" s="22">
        <v>0.3</v>
      </c>
      <c r="Z109" s="22">
        <v>0.09</v>
      </c>
      <c r="AA109" s="8" t="s">
        <v>668</v>
      </c>
      <c r="AB109" s="8">
        <v>3285586.39</v>
      </c>
      <c r="AC109" s="24">
        <v>894665.17399699998</v>
      </c>
      <c r="AD109" s="8">
        <v>1896966.81</v>
      </c>
      <c r="AE109" s="24">
        <v>516544.062363</v>
      </c>
      <c r="AF109" s="8">
        <v>90</v>
      </c>
      <c r="AG109" s="8">
        <v>166</v>
      </c>
      <c r="AH109" s="8" t="s">
        <v>332</v>
      </c>
      <c r="AI109" s="8" t="s">
        <v>320</v>
      </c>
      <c r="AJ109" s="22">
        <v>7.0000000000000007E-2</v>
      </c>
      <c r="AK109" s="8" t="s">
        <v>153</v>
      </c>
      <c r="AL109" s="22">
        <v>0.05</v>
      </c>
      <c r="AM109" s="22">
        <v>0.02</v>
      </c>
      <c r="AN109" s="8">
        <v>7</v>
      </c>
      <c r="AO109" s="8">
        <v>347</v>
      </c>
      <c r="AP109" s="8">
        <v>3081381.15</v>
      </c>
      <c r="AQ109" s="24">
        <v>839060.08714499988</v>
      </c>
      <c r="AR109" s="8">
        <v>5020208.12</v>
      </c>
      <c r="AS109" s="37">
        <v>1367002.671076</v>
      </c>
      <c r="AT109" s="8" t="s">
        <v>343</v>
      </c>
      <c r="AU109" s="8" t="s">
        <v>322</v>
      </c>
      <c r="AV109" s="8">
        <v>84.6</v>
      </c>
      <c r="AW109" s="8">
        <v>12</v>
      </c>
      <c r="AX109" s="8" t="s">
        <v>392</v>
      </c>
      <c r="AY109" s="8" t="s">
        <v>224</v>
      </c>
      <c r="AZ109" s="8" t="s">
        <v>361</v>
      </c>
      <c r="BA109" s="21">
        <f>IF(OR(tblsales[[#This Row],[Invoice Value USD]]="",tblsales[[#This Row],[Collected Amount USD]]=""),"",tblsales[[#This Row],[Invoice Value USD]]-tblsales[[#This Row],[Collected Amount USD]])</f>
        <v>378121.11163399997</v>
      </c>
      <c r="BB109" s="21">
        <f>IF(OR(tblsales[[#This Row],[Contract Value USD]]="",tblsales[[#This Row],[Cost Estimate USD]]=""),"",tblsales[[#This Row],[Contract Value USD]]-tblsales[[#This Row],[Cost Estimate USD]])</f>
        <v>1930760.6616130001</v>
      </c>
      <c r="BC109" s="21">
        <f>IF(OR(tblsales[[#This Row],[Contract Value USD]]="",tblsales[[#This Row],[Cost Estimate USD]]=""),"",tblsales[[#This Row],[Contract Value USD]]-tblsales[[#This Row],[Cost Estimate USD]])</f>
        <v>1930760.6616130001</v>
      </c>
      <c r="BD109" s="23">
        <f>IF(tblsales[[#This Row],[Invoice Value USD]]="","",tblsales[[#This Row],[Collected Amount USD]]/tblsales[[#This Row],[Invoice Value USD]])</f>
        <v>0.57736019840281849</v>
      </c>
      <c r="BE109" s="11">
        <f>IF(tblsales[[#This Row],[SalesStage]]="Won",1,0)</f>
        <v>1</v>
      </c>
      <c r="BF109" s="21" t="str">
        <f>IF(tblsales[[#This Row],[Win Flag]]=1,"Won","Lost")</f>
        <v>Won</v>
      </c>
      <c r="BG109" s="8"/>
    </row>
    <row r="110" spans="1:59" x14ac:dyDescent="0.3">
      <c r="A110" s="10" t="s">
        <v>669</v>
      </c>
      <c r="B110" s="9">
        <v>45931</v>
      </c>
      <c r="C110" s="10" t="s">
        <v>247</v>
      </c>
      <c r="D110" s="10" t="s">
        <v>242</v>
      </c>
      <c r="E110" s="10" t="s">
        <v>20</v>
      </c>
      <c r="F110" s="10" t="s">
        <v>35</v>
      </c>
      <c r="G110" s="10" t="s">
        <v>66</v>
      </c>
      <c r="H110" s="10" t="s">
        <v>212</v>
      </c>
      <c r="I110" s="10" t="s">
        <v>240</v>
      </c>
      <c r="J110" s="10" t="s">
        <v>136</v>
      </c>
      <c r="K110" s="10" t="s">
        <v>199</v>
      </c>
      <c r="L110" s="10" t="s">
        <v>670</v>
      </c>
      <c r="M110" s="9">
        <v>45918</v>
      </c>
      <c r="N110" s="9" t="s">
        <v>671</v>
      </c>
      <c r="O110" s="9">
        <v>45973</v>
      </c>
      <c r="P110" s="11">
        <v>15</v>
      </c>
      <c r="Q110" s="12">
        <v>20437333</v>
      </c>
      <c r="R110">
        <v>5565085.7758999998</v>
      </c>
      <c r="S110" s="22">
        <v>0.05</v>
      </c>
      <c r="T110" s="22">
        <v>-0.04</v>
      </c>
      <c r="U110" s="12">
        <v>18638847.699999999</v>
      </c>
      <c r="V110" s="24">
        <v>5075358.2287099995</v>
      </c>
      <c r="W110" s="8">
        <v>12425460.279999999</v>
      </c>
      <c r="X110" s="24">
        <v>3383452.8342439998</v>
      </c>
      <c r="Y110" s="22">
        <v>0.15</v>
      </c>
      <c r="Z110" s="22">
        <v>0.05</v>
      </c>
      <c r="AA110" s="8" t="s">
        <v>672</v>
      </c>
      <c r="AB110" s="8">
        <v>15682886.35</v>
      </c>
      <c r="AC110" s="24">
        <v>4270449.9531049998</v>
      </c>
      <c r="AD110" s="8">
        <v>14346932.35</v>
      </c>
      <c r="AE110" s="24">
        <v>3906669.6789049995</v>
      </c>
      <c r="AF110" s="8">
        <v>90</v>
      </c>
      <c r="AG110" s="8">
        <v>82</v>
      </c>
      <c r="AH110" s="8" t="s">
        <v>329</v>
      </c>
      <c r="AI110" s="8" t="s">
        <v>455</v>
      </c>
      <c r="AJ110" s="22">
        <v>0.2</v>
      </c>
      <c r="AK110" s="8" t="s">
        <v>153</v>
      </c>
      <c r="AL110" s="22">
        <v>0.15</v>
      </c>
      <c r="AM110" s="22">
        <v>0.06</v>
      </c>
      <c r="AN110" s="8">
        <v>10</v>
      </c>
      <c r="AO110" s="8">
        <v>2613</v>
      </c>
      <c r="AP110" s="8">
        <v>2565783.59</v>
      </c>
      <c r="AQ110" s="24">
        <v>698662.87155699998</v>
      </c>
      <c r="AR110" s="8"/>
      <c r="AS110" s="37"/>
      <c r="AT110" s="8" t="s">
        <v>391</v>
      </c>
      <c r="AU110" s="8" t="s">
        <v>348</v>
      </c>
      <c r="AV110" s="8">
        <v>83.9</v>
      </c>
      <c r="AW110" s="8">
        <v>48</v>
      </c>
      <c r="AX110" s="8" t="s">
        <v>337</v>
      </c>
      <c r="AY110" s="8" t="s">
        <v>186</v>
      </c>
      <c r="AZ110" s="8" t="s">
        <v>377</v>
      </c>
      <c r="BA110" s="21">
        <f>IF(OR(tblsales[[#This Row],[Invoice Value USD]]="",tblsales[[#This Row],[Collected Amount USD]]=""),"",tblsales[[#This Row],[Invoice Value USD]]-tblsales[[#This Row],[Collected Amount USD]])</f>
        <v>363780.27420000033</v>
      </c>
      <c r="BB110" s="21">
        <f>IF(OR(tblsales[[#This Row],[Contract Value USD]]="",tblsales[[#This Row],[Cost Estimate USD]]=""),"",tblsales[[#This Row],[Contract Value USD]]-tblsales[[#This Row],[Cost Estimate USD]])</f>
        <v>1691905.3944659997</v>
      </c>
      <c r="BC110" s="21">
        <f>IF(OR(tblsales[[#This Row],[Contract Value USD]]="",tblsales[[#This Row],[Cost Estimate USD]]=""),"",tblsales[[#This Row],[Contract Value USD]]-tblsales[[#This Row],[Cost Estimate USD]])</f>
        <v>1691905.3944659997</v>
      </c>
      <c r="BD110" s="23">
        <f>IF(tblsales[[#This Row],[Invoice Value USD]]="","",tblsales[[#This Row],[Collected Amount USD]]/tblsales[[#This Row],[Invoice Value USD]])</f>
        <v>0.91481453284905034</v>
      </c>
      <c r="BE110" s="11">
        <f>IF(tblsales[[#This Row],[SalesStage]]="Won",1,0)</f>
        <v>0</v>
      </c>
      <c r="BF110" s="21" t="str">
        <f>IF(tblsales[[#This Row],[Win Flag]]=1,"Won","Lost")</f>
        <v>Lost</v>
      </c>
      <c r="BG110" s="8"/>
    </row>
    <row r="111" spans="1:59" x14ac:dyDescent="0.3">
      <c r="A111" s="10" t="s">
        <v>673</v>
      </c>
      <c r="B111" s="9">
        <v>45834</v>
      </c>
      <c r="C111" s="10" t="s">
        <v>247</v>
      </c>
      <c r="D111" s="10" t="s">
        <v>253</v>
      </c>
      <c r="E111" s="10" t="s">
        <v>20</v>
      </c>
      <c r="F111" s="10" t="s">
        <v>31</v>
      </c>
      <c r="G111" s="10" t="s">
        <v>28</v>
      </c>
      <c r="H111" s="10" t="s">
        <v>212</v>
      </c>
      <c r="I111" s="10" t="s">
        <v>191</v>
      </c>
      <c r="J111" s="10" t="s">
        <v>136</v>
      </c>
      <c r="K111" s="10" t="s">
        <v>199</v>
      </c>
      <c r="L111" s="10" t="s">
        <v>674</v>
      </c>
      <c r="M111" s="9">
        <v>45771</v>
      </c>
      <c r="N111" s="9">
        <v>45938</v>
      </c>
      <c r="O111" s="9"/>
      <c r="P111" s="11">
        <v>21</v>
      </c>
      <c r="Q111" s="12">
        <v>23779037</v>
      </c>
      <c r="R111">
        <v>6475031.7750999993</v>
      </c>
      <c r="S111" s="22">
        <v>0.11</v>
      </c>
      <c r="T111" s="22">
        <v>0.06</v>
      </c>
      <c r="U111" s="12">
        <v>22433143.510000002</v>
      </c>
      <c r="V111" s="24">
        <v>6108544.9777730005</v>
      </c>
      <c r="W111" s="8">
        <v>13744111.220000001</v>
      </c>
      <c r="X111" s="24">
        <v>3742521.485206</v>
      </c>
      <c r="Y111" s="22">
        <v>0.34</v>
      </c>
      <c r="Z111" s="22">
        <v>0.1</v>
      </c>
      <c r="AA111" s="8" t="s">
        <v>675</v>
      </c>
      <c r="AB111" s="8">
        <v>11819531.119999999</v>
      </c>
      <c r="AC111" s="24">
        <v>3218458.3239759998</v>
      </c>
      <c r="AD111" s="8">
        <v>5585391.8200000003</v>
      </c>
      <c r="AE111" s="24">
        <v>1520902.1925860001</v>
      </c>
      <c r="AF111" s="8">
        <v>90</v>
      </c>
      <c r="AG111" s="8">
        <v>107</v>
      </c>
      <c r="AH111" s="8" t="s">
        <v>347</v>
      </c>
      <c r="AI111" s="8" t="s">
        <v>381</v>
      </c>
      <c r="AJ111" s="22">
        <v>0.81</v>
      </c>
      <c r="AK111" s="8" t="s">
        <v>153</v>
      </c>
      <c r="AL111" s="22">
        <v>0.1</v>
      </c>
      <c r="AM111" s="22">
        <v>0.02</v>
      </c>
      <c r="AN111" s="8">
        <v>13</v>
      </c>
      <c r="AO111" s="8">
        <v>3881</v>
      </c>
      <c r="AP111" s="8">
        <v>3884525.29</v>
      </c>
      <c r="AQ111" s="24">
        <v>1057756.2364669999</v>
      </c>
      <c r="AR111" s="8">
        <v>3852868.23</v>
      </c>
      <c r="AS111" s="37">
        <v>1049136.0190289998</v>
      </c>
      <c r="AT111" s="8" t="s">
        <v>355</v>
      </c>
      <c r="AU111" s="8" t="s">
        <v>348</v>
      </c>
      <c r="AV111" s="8">
        <v>61.2</v>
      </c>
      <c r="AW111" s="8">
        <v>24</v>
      </c>
      <c r="AX111" s="8" t="s">
        <v>387</v>
      </c>
      <c r="AY111" s="8" t="s">
        <v>186</v>
      </c>
      <c r="AZ111" s="8" t="s">
        <v>332</v>
      </c>
      <c r="BA111" s="21">
        <f>IF(OR(tblsales[[#This Row],[Invoice Value USD]]="",tblsales[[#This Row],[Collected Amount USD]]=""),"",tblsales[[#This Row],[Invoice Value USD]]-tblsales[[#This Row],[Collected Amount USD]])</f>
        <v>1697556.1313899998</v>
      </c>
      <c r="BB111" s="21">
        <f>IF(OR(tblsales[[#This Row],[Contract Value USD]]="",tblsales[[#This Row],[Cost Estimate USD]]=""),"",tblsales[[#This Row],[Contract Value USD]]-tblsales[[#This Row],[Cost Estimate USD]])</f>
        <v>2366023.4925670004</v>
      </c>
      <c r="BC111" s="21">
        <f>IF(OR(tblsales[[#This Row],[Contract Value USD]]="",tblsales[[#This Row],[Cost Estimate USD]]=""),"",tblsales[[#This Row],[Contract Value USD]]-tblsales[[#This Row],[Cost Estimate USD]])</f>
        <v>2366023.4925670004</v>
      </c>
      <c r="BD111" s="23">
        <f>IF(tblsales[[#This Row],[Invoice Value USD]]="","",tblsales[[#This Row],[Collected Amount USD]]/tblsales[[#This Row],[Invoice Value USD]])</f>
        <v>0.47255612454447354</v>
      </c>
      <c r="BE111" s="11">
        <f>IF(tblsales[[#This Row],[SalesStage]]="Won",1,0)</f>
        <v>0</v>
      </c>
      <c r="BF111" s="21" t="str">
        <f>IF(tblsales[[#This Row],[Win Flag]]=1,"Won","Lost")</f>
        <v>Lost</v>
      </c>
      <c r="BG111" s="8"/>
    </row>
    <row r="112" spans="1:59" x14ac:dyDescent="0.3">
      <c r="A112" s="10" t="s">
        <v>676</v>
      </c>
      <c r="B112" s="9">
        <v>45955</v>
      </c>
      <c r="C112" s="10" t="s">
        <v>256</v>
      </c>
      <c r="D112" s="10" t="s">
        <v>190</v>
      </c>
      <c r="E112" s="10" t="s">
        <v>20</v>
      </c>
      <c r="F112" s="10" t="s">
        <v>31</v>
      </c>
      <c r="G112" s="10" t="s">
        <v>28</v>
      </c>
      <c r="H112" s="10" t="s">
        <v>197</v>
      </c>
      <c r="I112" s="10" t="s">
        <v>246</v>
      </c>
      <c r="J112" s="10" t="s">
        <v>136</v>
      </c>
      <c r="K112" s="10" t="s">
        <v>210</v>
      </c>
      <c r="L112" s="10" t="s">
        <v>677</v>
      </c>
      <c r="M112" s="9">
        <v>45880</v>
      </c>
      <c r="N112" s="9">
        <v>45788</v>
      </c>
      <c r="O112" s="9">
        <v>46006</v>
      </c>
      <c r="P112" s="11">
        <v>55</v>
      </c>
      <c r="Q112" s="12">
        <v>32444863</v>
      </c>
      <c r="R112">
        <v>32444863</v>
      </c>
      <c r="S112" s="22">
        <v>0.2</v>
      </c>
      <c r="T112" s="22">
        <v>0.17</v>
      </c>
      <c r="U112" s="12">
        <v>30368391.77</v>
      </c>
      <c r="V112" s="24">
        <v>30368391.77</v>
      </c>
      <c r="W112" s="8">
        <v>25508330.370000001</v>
      </c>
      <c r="X112" s="24">
        <v>25508330.370000001</v>
      </c>
      <c r="Y112" s="22">
        <v>0.28999999999999998</v>
      </c>
      <c r="Z112" s="22">
        <v>0.1</v>
      </c>
      <c r="AA112" s="8" t="s">
        <v>678</v>
      </c>
      <c r="AB112" s="8">
        <v>17728965.09</v>
      </c>
      <c r="AC112" s="24">
        <v>17728965.09</v>
      </c>
      <c r="AD112" s="8">
        <v>12070456.880000001</v>
      </c>
      <c r="AE112" s="24">
        <v>12070456.880000001</v>
      </c>
      <c r="AF112" s="8">
        <v>30</v>
      </c>
      <c r="AG112" s="8">
        <v>96</v>
      </c>
      <c r="AH112" s="8" t="s">
        <v>376</v>
      </c>
      <c r="AI112" s="8" t="s">
        <v>381</v>
      </c>
      <c r="AJ112" s="22">
        <v>0.53</v>
      </c>
      <c r="AK112" s="8" t="s">
        <v>152</v>
      </c>
      <c r="AL112" s="22">
        <v>0.15</v>
      </c>
      <c r="AM112" s="22">
        <v>0.01</v>
      </c>
      <c r="AN112" s="8">
        <v>8</v>
      </c>
      <c r="AO112" s="8">
        <v>3982</v>
      </c>
      <c r="AP112" s="8">
        <v>7039657.3200000003</v>
      </c>
      <c r="AQ112" s="24">
        <v>7039657.3200000003</v>
      </c>
      <c r="AR112" s="8">
        <v>5683459.2400000002</v>
      </c>
      <c r="AS112" s="37">
        <v>5683459.2400000002</v>
      </c>
      <c r="AT112" s="8" t="s">
        <v>73</v>
      </c>
      <c r="AU112" s="8" t="s">
        <v>348</v>
      </c>
      <c r="AV112" s="8">
        <v>91.2</v>
      </c>
      <c r="AW112" s="8">
        <v>24</v>
      </c>
      <c r="AX112" s="8" t="s">
        <v>332</v>
      </c>
      <c r="AY112" s="8" t="s">
        <v>192</v>
      </c>
      <c r="AZ112" s="8" t="s">
        <v>188</v>
      </c>
      <c r="BA112" s="21">
        <f>IF(OR(tblsales[[#This Row],[Invoice Value USD]]="",tblsales[[#This Row],[Collected Amount USD]]=""),"",tblsales[[#This Row],[Invoice Value USD]]-tblsales[[#This Row],[Collected Amount USD]])</f>
        <v>5658508.209999999</v>
      </c>
      <c r="BB112" s="21">
        <f>IF(OR(tblsales[[#This Row],[Contract Value USD]]="",tblsales[[#This Row],[Cost Estimate USD]]=""),"",tblsales[[#This Row],[Contract Value USD]]-tblsales[[#This Row],[Cost Estimate USD]])</f>
        <v>4860061.3999999985</v>
      </c>
      <c r="BC112" s="21">
        <f>IF(OR(tblsales[[#This Row],[Contract Value USD]]="",tblsales[[#This Row],[Cost Estimate USD]]=""),"",tblsales[[#This Row],[Contract Value USD]]-tblsales[[#This Row],[Cost Estimate USD]])</f>
        <v>4860061.3999999985</v>
      </c>
      <c r="BD112" s="23">
        <f>IF(tblsales[[#This Row],[Invoice Value USD]]="","",tblsales[[#This Row],[Collected Amount USD]]/tblsales[[#This Row],[Invoice Value USD]])</f>
        <v>0.68083257080856496</v>
      </c>
      <c r="BE112" s="11">
        <f>IF(tblsales[[#This Row],[SalesStage]]="Won",1,0)</f>
        <v>0</v>
      </c>
      <c r="BF112" s="21" t="str">
        <f>IF(tblsales[[#This Row],[Win Flag]]=1,"Won","Lost")</f>
        <v>Lost</v>
      </c>
      <c r="BG112" s="8"/>
    </row>
    <row r="113" spans="1:59" x14ac:dyDescent="0.3">
      <c r="A113" s="10" t="s">
        <v>679</v>
      </c>
      <c r="B113" s="9">
        <v>45696</v>
      </c>
      <c r="C113" s="10" t="s">
        <v>243</v>
      </c>
      <c r="D113" s="10" t="s">
        <v>274</v>
      </c>
      <c r="E113" s="10" t="s">
        <v>113</v>
      </c>
      <c r="F113" s="10" t="s">
        <v>367</v>
      </c>
      <c r="G113" s="10" t="s">
        <v>16</v>
      </c>
      <c r="H113" s="10" t="s">
        <v>332</v>
      </c>
      <c r="I113" s="10" t="s">
        <v>332</v>
      </c>
      <c r="J113" s="10" t="s">
        <v>111</v>
      </c>
      <c r="K113" s="10" t="s">
        <v>210</v>
      </c>
      <c r="L113" s="10" t="s">
        <v>680</v>
      </c>
      <c r="M113" s="9">
        <v>45859</v>
      </c>
      <c r="N113" s="9">
        <v>45873</v>
      </c>
      <c r="O113" s="9"/>
      <c r="P113" s="11">
        <v>35</v>
      </c>
      <c r="Q113" s="12">
        <v>31103051</v>
      </c>
      <c r="R113">
        <v>31103051</v>
      </c>
      <c r="S113" s="22">
        <v>0.32</v>
      </c>
      <c r="T113" s="22">
        <v>-0.02</v>
      </c>
      <c r="U113" s="12">
        <v>20727073.190000001</v>
      </c>
      <c r="V113" s="24">
        <v>20727073.190000001</v>
      </c>
      <c r="W113" s="8">
        <v>15353055.119999999</v>
      </c>
      <c r="X113" s="24">
        <v>15353055.119999999</v>
      </c>
      <c r="Y113" s="22">
        <v>7.0000000000000007E-2</v>
      </c>
      <c r="Z113" s="22">
        <v>0.1</v>
      </c>
      <c r="AA113" s="8" t="s">
        <v>681</v>
      </c>
      <c r="AB113" s="8">
        <v>3348403.4</v>
      </c>
      <c r="AC113" s="24">
        <v>3348403.4</v>
      </c>
      <c r="AD113" s="8">
        <v>1051075.6100000001</v>
      </c>
      <c r="AE113" s="24">
        <v>1051075.6100000001</v>
      </c>
      <c r="AF113" s="8">
        <v>60</v>
      </c>
      <c r="AG113" s="8">
        <v>80</v>
      </c>
      <c r="AH113" s="8" t="s">
        <v>353</v>
      </c>
      <c r="AI113" s="8" t="s">
        <v>320</v>
      </c>
      <c r="AJ113" s="22">
        <v>0.7</v>
      </c>
      <c r="AK113" s="8" t="s">
        <v>152</v>
      </c>
      <c r="AL113" s="22">
        <v>0.05</v>
      </c>
      <c r="AM113" s="22">
        <v>0.08</v>
      </c>
      <c r="AN113" s="8">
        <v>10</v>
      </c>
      <c r="AO113" s="8">
        <v>1523</v>
      </c>
      <c r="AP113" s="8">
        <v>554026.31000000006</v>
      </c>
      <c r="AQ113" s="24">
        <v>554026.31000000006</v>
      </c>
      <c r="AR113" s="8">
        <v>8259307.6500000004</v>
      </c>
      <c r="AS113" s="37">
        <v>8259307.6500000004</v>
      </c>
      <c r="AT113" s="8" t="s">
        <v>73</v>
      </c>
      <c r="AU113" s="8" t="s">
        <v>321</v>
      </c>
      <c r="AV113" s="8">
        <v>89.1</v>
      </c>
      <c r="AW113" s="8">
        <v>60</v>
      </c>
      <c r="AX113" s="8" t="s">
        <v>332</v>
      </c>
      <c r="AY113" s="8" t="s">
        <v>206</v>
      </c>
      <c r="AZ113" s="8" t="s">
        <v>324</v>
      </c>
      <c r="BA113" s="21">
        <f>IF(OR(tblsales[[#This Row],[Invoice Value USD]]="",tblsales[[#This Row],[Collected Amount USD]]=""),"",tblsales[[#This Row],[Invoice Value USD]]-tblsales[[#This Row],[Collected Amount USD]])</f>
        <v>2297327.79</v>
      </c>
      <c r="BB113" s="21">
        <f>IF(OR(tblsales[[#This Row],[Contract Value USD]]="",tblsales[[#This Row],[Cost Estimate USD]]=""),"",tblsales[[#This Row],[Contract Value USD]]-tblsales[[#This Row],[Cost Estimate USD]])</f>
        <v>5374018.0700000022</v>
      </c>
      <c r="BC113" s="21">
        <f>IF(OR(tblsales[[#This Row],[Contract Value USD]]="",tblsales[[#This Row],[Cost Estimate USD]]=""),"",tblsales[[#This Row],[Contract Value USD]]-tblsales[[#This Row],[Cost Estimate USD]])</f>
        <v>5374018.0700000022</v>
      </c>
      <c r="BD113" s="23">
        <f>IF(tblsales[[#This Row],[Invoice Value USD]]="","",tblsales[[#This Row],[Collected Amount USD]]/tblsales[[#This Row],[Invoice Value USD]])</f>
        <v>0.31390351891292434</v>
      </c>
      <c r="BE113" s="11">
        <f>IF(tblsales[[#This Row],[SalesStage]]="Won",1,0)</f>
        <v>1</v>
      </c>
      <c r="BF113" s="21" t="str">
        <f>IF(tblsales[[#This Row],[Win Flag]]=1,"Won","Lost")</f>
        <v>Won</v>
      </c>
      <c r="BG113" s="8"/>
    </row>
    <row r="114" spans="1:59" x14ac:dyDescent="0.3">
      <c r="A114" s="10" t="s">
        <v>682</v>
      </c>
      <c r="B114" s="9">
        <v>45692</v>
      </c>
      <c r="C114" s="10" t="s">
        <v>249</v>
      </c>
      <c r="D114" s="10" t="s">
        <v>209</v>
      </c>
      <c r="E114" s="10" t="s">
        <v>36</v>
      </c>
      <c r="F114" s="10" t="s">
        <v>339</v>
      </c>
      <c r="G114" s="10" t="s">
        <v>78</v>
      </c>
      <c r="H114" s="10" t="s">
        <v>332</v>
      </c>
      <c r="I114" s="10" t="s">
        <v>246</v>
      </c>
      <c r="J114" s="10" t="s">
        <v>115</v>
      </c>
      <c r="K114" s="10" t="s">
        <v>223</v>
      </c>
      <c r="L114" s="10" t="s">
        <v>683</v>
      </c>
      <c r="M114" s="9">
        <v>45931</v>
      </c>
      <c r="N114" s="9"/>
      <c r="O114" s="9"/>
      <c r="P114" s="11">
        <v>48</v>
      </c>
      <c r="Q114" s="12">
        <v>6850869</v>
      </c>
      <c r="R114">
        <v>1865491.6287</v>
      </c>
      <c r="S114" s="22">
        <v>0.28999999999999998</v>
      </c>
      <c r="T114" s="22">
        <v>0.14000000000000001</v>
      </c>
      <c r="U114" s="12">
        <v>5545093.3700000001</v>
      </c>
      <c r="V114" s="24">
        <v>1509928.924651</v>
      </c>
      <c r="W114" s="8">
        <v>4528350.4400000004</v>
      </c>
      <c r="X114" s="24">
        <v>1233069.8248120002</v>
      </c>
      <c r="Y114" s="22">
        <v>0.22</v>
      </c>
      <c r="Z114" s="22">
        <v>0.11</v>
      </c>
      <c r="AA114" s="8" t="s">
        <v>684</v>
      </c>
      <c r="AB114" s="8">
        <v>2769845.83</v>
      </c>
      <c r="AC114" s="24">
        <v>754229.01950900001</v>
      </c>
      <c r="AD114" s="8">
        <v>2417104.04</v>
      </c>
      <c r="AE114" s="24">
        <v>658177.43009199994</v>
      </c>
      <c r="AF114" s="8">
        <v>60</v>
      </c>
      <c r="AG114" s="8">
        <v>44</v>
      </c>
      <c r="AH114" s="8" t="s">
        <v>347</v>
      </c>
      <c r="AI114" s="8" t="s">
        <v>354</v>
      </c>
      <c r="AJ114" s="22">
        <v>0.9</v>
      </c>
      <c r="AK114" s="8" t="s">
        <v>153</v>
      </c>
      <c r="AL114" s="22">
        <v>0.15</v>
      </c>
      <c r="AM114" s="22">
        <v>0.01</v>
      </c>
      <c r="AN114" s="8">
        <v>3</v>
      </c>
      <c r="AO114" s="8">
        <v>3515</v>
      </c>
      <c r="AP114" s="8">
        <v>199679.4</v>
      </c>
      <c r="AQ114" s="24">
        <v>54372.700619999996</v>
      </c>
      <c r="AR114" s="8">
        <v>1609578.24</v>
      </c>
      <c r="AS114" s="37">
        <v>438288.154752</v>
      </c>
      <c r="AT114" s="8" t="s">
        <v>73</v>
      </c>
      <c r="AU114" s="8" t="s">
        <v>330</v>
      </c>
      <c r="AV114" s="8">
        <v>65.599999999999994</v>
      </c>
      <c r="AW114" s="8">
        <v>24</v>
      </c>
      <c r="AX114" s="8" t="s">
        <v>332</v>
      </c>
      <c r="AY114" s="8" t="s">
        <v>206</v>
      </c>
      <c r="AZ114" s="8" t="s">
        <v>332</v>
      </c>
      <c r="BA114" s="21">
        <f>IF(OR(tblsales[[#This Row],[Invoice Value USD]]="",tblsales[[#This Row],[Collected Amount USD]]=""),"",tblsales[[#This Row],[Invoice Value USD]]-tblsales[[#This Row],[Collected Amount USD]])</f>
        <v>96051.589417000068</v>
      </c>
      <c r="BB114" s="21">
        <f>IF(OR(tblsales[[#This Row],[Contract Value USD]]="",tblsales[[#This Row],[Cost Estimate USD]]=""),"",tblsales[[#This Row],[Contract Value USD]]-tblsales[[#This Row],[Cost Estimate USD]])</f>
        <v>276859.0998389998</v>
      </c>
      <c r="BC114" s="21">
        <f>IF(OR(tblsales[[#This Row],[Contract Value USD]]="",tblsales[[#This Row],[Cost Estimate USD]]=""),"",tblsales[[#This Row],[Contract Value USD]]-tblsales[[#This Row],[Cost Estimate USD]])</f>
        <v>276859.0998389998</v>
      </c>
      <c r="BD114" s="23">
        <f>IF(tblsales[[#This Row],[Invoice Value USD]]="","",tblsales[[#This Row],[Collected Amount USD]]/tblsales[[#This Row],[Invoice Value USD]])</f>
        <v>0.8726493055391461</v>
      </c>
      <c r="BE114" s="11">
        <f>IF(tblsales[[#This Row],[SalesStage]]="Won",1,0)</f>
        <v>0</v>
      </c>
      <c r="BF114" s="21" t="str">
        <f>IF(tblsales[[#This Row],[Win Flag]]=1,"Won","Lost")</f>
        <v>Lost</v>
      </c>
      <c r="BG114" s="8"/>
    </row>
    <row r="115" spans="1:59" x14ac:dyDescent="0.3">
      <c r="A115" s="10" t="s">
        <v>685</v>
      </c>
      <c r="B115" s="9">
        <v>45995</v>
      </c>
      <c r="C115" s="10" t="s">
        <v>249</v>
      </c>
      <c r="D115" s="10" t="s">
        <v>245</v>
      </c>
      <c r="E115" s="10" t="s">
        <v>113</v>
      </c>
      <c r="F115" s="10" t="s">
        <v>367</v>
      </c>
      <c r="G115" s="10" t="s">
        <v>50</v>
      </c>
      <c r="H115" s="10" t="s">
        <v>332</v>
      </c>
      <c r="I115" s="10" t="s">
        <v>246</v>
      </c>
      <c r="J115" s="10" t="s">
        <v>111</v>
      </c>
      <c r="K115" s="10" t="s">
        <v>333</v>
      </c>
      <c r="L115" s="10" t="s">
        <v>686</v>
      </c>
      <c r="M115" s="9">
        <v>45972</v>
      </c>
      <c r="N115" s="9"/>
      <c r="O115" s="9">
        <v>46105</v>
      </c>
      <c r="P115" s="11"/>
      <c r="Q115" s="12">
        <v>45600399</v>
      </c>
      <c r="R115">
        <v>12526429.6053</v>
      </c>
      <c r="S115" s="22">
        <v>0.04</v>
      </c>
      <c r="T115" s="22">
        <v>-0.01</v>
      </c>
      <c r="U115" s="12">
        <v>43338619.210000001</v>
      </c>
      <c r="V115" s="24">
        <v>11905118.696986999</v>
      </c>
      <c r="W115" s="8">
        <v>36798550.299999997</v>
      </c>
      <c r="X115" s="24">
        <v>10108561.767409999</v>
      </c>
      <c r="Y115" s="22">
        <v>0.06</v>
      </c>
      <c r="Z115" s="22">
        <v>0.08</v>
      </c>
      <c r="AA115" s="8" t="s">
        <v>687</v>
      </c>
      <c r="AB115" s="8">
        <v>16925058.899999999</v>
      </c>
      <c r="AC115" s="24">
        <v>4649313.6798299998</v>
      </c>
      <c r="AD115" s="8">
        <v>13073690.42</v>
      </c>
      <c r="AE115" s="24">
        <v>3591342.758374</v>
      </c>
      <c r="AF115" s="8">
        <v>30</v>
      </c>
      <c r="AG115" s="8">
        <v>44</v>
      </c>
      <c r="AH115" s="8" t="s">
        <v>376</v>
      </c>
      <c r="AI115" s="8" t="s">
        <v>354</v>
      </c>
      <c r="AJ115" s="22">
        <v>0.11</v>
      </c>
      <c r="AK115" s="8" t="s">
        <v>155</v>
      </c>
      <c r="AL115" s="22">
        <v>0.05</v>
      </c>
      <c r="AM115" s="22">
        <v>0.04</v>
      </c>
      <c r="AN115" s="8">
        <v>12</v>
      </c>
      <c r="AO115" s="8">
        <v>4269</v>
      </c>
      <c r="AP115" s="8">
        <v>8768625.9199999999</v>
      </c>
      <c r="AQ115" s="24">
        <v>2408741.5402239999</v>
      </c>
      <c r="AR115" s="8">
        <v>15811544.529999999</v>
      </c>
      <c r="AS115" s="37">
        <v>4343431.2823909996</v>
      </c>
      <c r="AT115" s="8" t="s">
        <v>321</v>
      </c>
      <c r="AU115" s="8" t="s">
        <v>348</v>
      </c>
      <c r="AV115" s="8">
        <v>57.6</v>
      </c>
      <c r="AW115" s="8">
        <v>36</v>
      </c>
      <c r="AX115" s="8" t="s">
        <v>332</v>
      </c>
      <c r="AY115" s="8" t="s">
        <v>192</v>
      </c>
      <c r="AZ115" s="8" t="s">
        <v>332</v>
      </c>
      <c r="BA115" s="21">
        <f>IF(OR(tblsales[[#This Row],[Invoice Value USD]]="",tblsales[[#This Row],[Collected Amount USD]]=""),"",tblsales[[#This Row],[Invoice Value USD]]-tblsales[[#This Row],[Collected Amount USD]])</f>
        <v>1057970.9214559998</v>
      </c>
      <c r="BB115" s="21">
        <f>IF(OR(tblsales[[#This Row],[Contract Value USD]]="",tblsales[[#This Row],[Cost Estimate USD]]=""),"",tblsales[[#This Row],[Contract Value USD]]-tblsales[[#This Row],[Cost Estimate USD]])</f>
        <v>1796556.9295770004</v>
      </c>
      <c r="BC115" s="21">
        <f>IF(OR(tblsales[[#This Row],[Contract Value USD]]="",tblsales[[#This Row],[Cost Estimate USD]]=""),"",tblsales[[#This Row],[Contract Value USD]]-tblsales[[#This Row],[Cost Estimate USD]])</f>
        <v>1796556.9295770004</v>
      </c>
      <c r="BD115" s="23">
        <f>IF(tblsales[[#This Row],[Invoice Value USD]]="","",tblsales[[#This Row],[Collected Amount USD]]/tblsales[[#This Row],[Invoice Value USD]])</f>
        <v>0.77244578569827016</v>
      </c>
      <c r="BE115" s="11">
        <f>IF(tblsales[[#This Row],[SalesStage]]="Won",1,0)</f>
        <v>0</v>
      </c>
      <c r="BF115" s="21" t="str">
        <f>IF(tblsales[[#This Row],[Win Flag]]=1,"Won","Lost")</f>
        <v>Lost</v>
      </c>
      <c r="BG115" s="8"/>
    </row>
    <row r="116" spans="1:59" x14ac:dyDescent="0.3">
      <c r="A116" s="10" t="s">
        <v>688</v>
      </c>
      <c r="B116" s="9">
        <v>45854</v>
      </c>
      <c r="C116" s="10" t="s">
        <v>278</v>
      </c>
      <c r="D116" s="10" t="s">
        <v>262</v>
      </c>
      <c r="E116" s="10" t="s">
        <v>36</v>
      </c>
      <c r="F116" s="10" t="s">
        <v>19</v>
      </c>
      <c r="G116" s="10" t="s">
        <v>38</v>
      </c>
      <c r="H116" s="10" t="s">
        <v>332</v>
      </c>
      <c r="I116" s="10" t="s">
        <v>233</v>
      </c>
      <c r="J116" s="10" t="s">
        <v>115</v>
      </c>
      <c r="K116" s="10" t="s">
        <v>199</v>
      </c>
      <c r="L116" s="10" t="s">
        <v>689</v>
      </c>
      <c r="M116" s="9">
        <v>45752</v>
      </c>
      <c r="N116" s="9">
        <v>45846</v>
      </c>
      <c r="O116" s="9">
        <v>45887</v>
      </c>
      <c r="P116" s="11">
        <v>26</v>
      </c>
      <c r="Q116" s="12">
        <v>30406741</v>
      </c>
      <c r="R116">
        <v>35302226.300999999</v>
      </c>
      <c r="S116" s="22">
        <v>0.12</v>
      </c>
      <c r="T116" s="22">
        <v>0.04</v>
      </c>
      <c r="U116" s="12">
        <v>27828249.359999999</v>
      </c>
      <c r="V116" s="24">
        <v>32308597.506960001</v>
      </c>
      <c r="W116" s="8">
        <v>22891994.91</v>
      </c>
      <c r="X116" s="24">
        <v>26577606.09051</v>
      </c>
      <c r="Y116" s="22"/>
      <c r="Z116" s="22">
        <v>0.18</v>
      </c>
      <c r="AA116" s="8" t="s">
        <v>690</v>
      </c>
      <c r="AB116" s="8">
        <v>12264126.640000001</v>
      </c>
      <c r="AC116" s="24">
        <v>14238651.029040001</v>
      </c>
      <c r="AD116" s="8">
        <v>4001635.35</v>
      </c>
      <c r="AE116" s="24">
        <v>4645898.6413500002</v>
      </c>
      <c r="AF116" s="8">
        <v>120</v>
      </c>
      <c r="AG116" s="8">
        <v>169</v>
      </c>
      <c r="AH116" s="8" t="s">
        <v>353</v>
      </c>
      <c r="AI116" s="8" t="s">
        <v>455</v>
      </c>
      <c r="AJ116" s="22">
        <v>0.86</v>
      </c>
      <c r="AK116" s="8" t="s">
        <v>159</v>
      </c>
      <c r="AL116" s="22">
        <v>0.1</v>
      </c>
      <c r="AM116" s="22">
        <v>0.09</v>
      </c>
      <c r="AN116" s="8">
        <v>5</v>
      </c>
      <c r="AO116" s="8">
        <v>2010</v>
      </c>
      <c r="AP116" s="8">
        <v>4704617.3899999997</v>
      </c>
      <c r="AQ116" s="24">
        <v>5462060.7897899998</v>
      </c>
      <c r="AR116" s="8">
        <v>12916637.99</v>
      </c>
      <c r="AS116" s="37">
        <v>14996216.706390001</v>
      </c>
      <c r="AT116" s="8" t="s">
        <v>355</v>
      </c>
      <c r="AU116" s="8" t="s">
        <v>386</v>
      </c>
      <c r="AV116" s="8">
        <v>71.400000000000006</v>
      </c>
      <c r="AW116" s="8"/>
      <c r="AX116" s="8" t="s">
        <v>323</v>
      </c>
      <c r="AY116" s="8" t="s">
        <v>229</v>
      </c>
      <c r="AZ116" s="8" t="s">
        <v>324</v>
      </c>
      <c r="BA116" s="21">
        <f>IF(OR(tblsales[[#This Row],[Invoice Value USD]]="",tblsales[[#This Row],[Collected Amount USD]]=""),"",tblsales[[#This Row],[Invoice Value USD]]-tblsales[[#This Row],[Collected Amount USD]])</f>
        <v>9592752.3876900002</v>
      </c>
      <c r="BB116" s="21">
        <f>IF(OR(tblsales[[#This Row],[Contract Value USD]]="",tblsales[[#This Row],[Cost Estimate USD]]=""),"",tblsales[[#This Row],[Contract Value USD]]-tblsales[[#This Row],[Cost Estimate USD]])</f>
        <v>5730991.4164500013</v>
      </c>
      <c r="BC116" s="21">
        <f>IF(OR(tblsales[[#This Row],[Contract Value USD]]="",tblsales[[#This Row],[Cost Estimate USD]]=""),"",tblsales[[#This Row],[Contract Value USD]]-tblsales[[#This Row],[Cost Estimate USD]])</f>
        <v>5730991.4164500013</v>
      </c>
      <c r="BD116" s="23">
        <f>IF(tblsales[[#This Row],[Invoice Value USD]]="","",tblsales[[#This Row],[Collected Amount USD]]/tblsales[[#This Row],[Invoice Value USD]])</f>
        <v>0.32628783666897943</v>
      </c>
      <c r="BE116" s="11">
        <f>IF(tblsales[[#This Row],[SalesStage]]="Won",1,0)</f>
        <v>0</v>
      </c>
      <c r="BF116" s="21" t="str">
        <f>IF(tblsales[[#This Row],[Win Flag]]=1,"Won","Lost")</f>
        <v>Lost</v>
      </c>
      <c r="BG116" s="8"/>
    </row>
    <row r="117" spans="1:59" x14ac:dyDescent="0.3">
      <c r="A117" s="10" t="s">
        <v>691</v>
      </c>
      <c r="B117" s="9">
        <v>45728</v>
      </c>
      <c r="C117" s="10" t="s">
        <v>225</v>
      </c>
      <c r="D117" s="10" t="s">
        <v>215</v>
      </c>
      <c r="E117" s="10" t="s">
        <v>41</v>
      </c>
      <c r="F117" s="10" t="s">
        <v>363</v>
      </c>
      <c r="G117" s="10" t="s">
        <v>66</v>
      </c>
      <c r="H117" s="10" t="s">
        <v>263</v>
      </c>
      <c r="I117" s="10" t="s">
        <v>183</v>
      </c>
      <c r="J117" s="10" t="s">
        <v>130</v>
      </c>
      <c r="K117" s="10" t="s">
        <v>210</v>
      </c>
      <c r="L117" s="10" t="s">
        <v>692</v>
      </c>
      <c r="M117" s="9">
        <v>45916</v>
      </c>
      <c r="N117" s="9"/>
      <c r="O117" s="9"/>
      <c r="P117" s="11">
        <v>28</v>
      </c>
      <c r="Q117" s="12">
        <v>28551685</v>
      </c>
      <c r="R117">
        <v>28551685</v>
      </c>
      <c r="S117" s="22">
        <v>0.2</v>
      </c>
      <c r="T117" s="22">
        <v>0.18</v>
      </c>
      <c r="U117" s="12">
        <v>26952790.640000001</v>
      </c>
      <c r="V117" s="24">
        <v>26952790.640000001</v>
      </c>
      <c r="W117" s="8">
        <v>21221864.239999998</v>
      </c>
      <c r="X117" s="24">
        <v>21221864.239999998</v>
      </c>
      <c r="Y117" s="22">
        <v>0.3</v>
      </c>
      <c r="Z117" s="22">
        <v>0.14000000000000001</v>
      </c>
      <c r="AA117" s="8" t="s">
        <v>693</v>
      </c>
      <c r="AB117" s="8">
        <v>7455844.0800000001</v>
      </c>
      <c r="AC117" s="24">
        <v>7455844.0800000001</v>
      </c>
      <c r="AD117" s="8">
        <v>6387919.5300000003</v>
      </c>
      <c r="AE117" s="24">
        <v>6387919.5300000003</v>
      </c>
      <c r="AF117" s="8">
        <v>120</v>
      </c>
      <c r="AG117" s="8">
        <v>6</v>
      </c>
      <c r="AH117" s="8" t="s">
        <v>342</v>
      </c>
      <c r="AI117" s="8" t="s">
        <v>336</v>
      </c>
      <c r="AJ117" s="22">
        <v>0.98</v>
      </c>
      <c r="AK117" s="8" t="s">
        <v>152</v>
      </c>
      <c r="AL117" s="22">
        <v>0.1</v>
      </c>
      <c r="AM117" s="22">
        <v>0.06</v>
      </c>
      <c r="AN117" s="8">
        <v>10</v>
      </c>
      <c r="AO117" s="8">
        <v>638</v>
      </c>
      <c r="AP117" s="8">
        <v>2410248.27</v>
      </c>
      <c r="AQ117" s="24">
        <v>2410248.27</v>
      </c>
      <c r="AR117" s="8">
        <v>7362537.3300000001</v>
      </c>
      <c r="AS117" s="37">
        <v>7362537.3300000001</v>
      </c>
      <c r="AT117" s="8" t="s">
        <v>391</v>
      </c>
      <c r="AU117" s="8" t="s">
        <v>348</v>
      </c>
      <c r="AV117" s="8">
        <v>53.4</v>
      </c>
      <c r="AW117" s="8">
        <v>24</v>
      </c>
      <c r="AX117" s="8" t="s">
        <v>332</v>
      </c>
      <c r="AY117" s="8" t="s">
        <v>192</v>
      </c>
      <c r="AZ117" s="8" t="s">
        <v>377</v>
      </c>
      <c r="BA117" s="21">
        <f>IF(OR(tblsales[[#This Row],[Invoice Value USD]]="",tblsales[[#This Row],[Collected Amount USD]]=""),"",tblsales[[#This Row],[Invoice Value USD]]-tblsales[[#This Row],[Collected Amount USD]])</f>
        <v>1067924.5499999998</v>
      </c>
      <c r="BB117" s="21">
        <f>IF(OR(tblsales[[#This Row],[Contract Value USD]]="",tblsales[[#This Row],[Cost Estimate USD]]=""),"",tblsales[[#This Row],[Contract Value USD]]-tblsales[[#This Row],[Cost Estimate USD]])</f>
        <v>5730926.4000000022</v>
      </c>
      <c r="BC117" s="21">
        <f>IF(OR(tblsales[[#This Row],[Contract Value USD]]="",tblsales[[#This Row],[Cost Estimate USD]]=""),"",tblsales[[#This Row],[Contract Value USD]]-tblsales[[#This Row],[Cost Estimate USD]])</f>
        <v>5730926.4000000022</v>
      </c>
      <c r="BD117" s="23">
        <f>IF(tblsales[[#This Row],[Invoice Value USD]]="","",tblsales[[#This Row],[Collected Amount USD]]/tblsales[[#This Row],[Invoice Value USD]])</f>
        <v>0.85676678072377288</v>
      </c>
      <c r="BE117" s="11">
        <f>IF(tblsales[[#This Row],[SalesStage]]="Won",1,0)</f>
        <v>0</v>
      </c>
      <c r="BF117" s="21" t="str">
        <f>IF(tblsales[[#This Row],[Win Flag]]=1,"Won","Lost")</f>
        <v>Lost</v>
      </c>
      <c r="BG117" s="8"/>
    </row>
    <row r="118" spans="1:59" x14ac:dyDescent="0.3">
      <c r="A118" s="10" t="s">
        <v>694</v>
      </c>
      <c r="B118" s="9">
        <v>45979</v>
      </c>
      <c r="C118" s="10" t="s">
        <v>257</v>
      </c>
      <c r="D118" s="10" t="s">
        <v>232</v>
      </c>
      <c r="E118" s="10" t="s">
        <v>41</v>
      </c>
      <c r="F118" s="10" t="s">
        <v>228</v>
      </c>
      <c r="G118" s="10" t="s">
        <v>16</v>
      </c>
      <c r="H118" s="10" t="s">
        <v>236</v>
      </c>
      <c r="I118" s="10" t="s">
        <v>183</v>
      </c>
      <c r="J118" s="10" t="s">
        <v>105</v>
      </c>
      <c r="K118" s="10" t="s">
        <v>199</v>
      </c>
      <c r="L118" s="10" t="s">
        <v>695</v>
      </c>
      <c r="M118" s="9">
        <v>45726</v>
      </c>
      <c r="N118" s="9"/>
      <c r="O118" s="9">
        <v>46060</v>
      </c>
      <c r="P118" s="11">
        <v>15</v>
      </c>
      <c r="Q118" s="12">
        <v>47399787</v>
      </c>
      <c r="R118">
        <v>12906962.0001</v>
      </c>
      <c r="S118" s="22">
        <v>0.19</v>
      </c>
      <c r="T118" s="22">
        <v>0</v>
      </c>
      <c r="U118" s="12">
        <v>38393827.469999999</v>
      </c>
      <c r="V118" s="24">
        <v>10454639.220081</v>
      </c>
      <c r="W118" s="8"/>
      <c r="X118" s="24"/>
      <c r="Y118" s="22">
        <v>0.16</v>
      </c>
      <c r="Z118" s="22">
        <v>0.12</v>
      </c>
      <c r="AA118" s="8" t="s">
        <v>696</v>
      </c>
      <c r="AB118" s="8">
        <v>18211078.75</v>
      </c>
      <c r="AC118" s="24">
        <v>4958876.7436250001</v>
      </c>
      <c r="AD118" s="8">
        <v>15090518.859999999</v>
      </c>
      <c r="AE118" s="24">
        <v>4109148.2855779994</v>
      </c>
      <c r="AF118" s="8">
        <v>90</v>
      </c>
      <c r="AG118" s="8">
        <v>69</v>
      </c>
      <c r="AH118" s="8" t="s">
        <v>332</v>
      </c>
      <c r="AI118" s="8" t="s">
        <v>406</v>
      </c>
      <c r="AJ118" s="22">
        <v>0.93</v>
      </c>
      <c r="AK118" s="8" t="s">
        <v>153</v>
      </c>
      <c r="AL118" s="22">
        <v>0.15</v>
      </c>
      <c r="AM118" s="22">
        <v>0.08</v>
      </c>
      <c r="AN118" s="8">
        <v>13</v>
      </c>
      <c r="AO118" s="8">
        <v>2126</v>
      </c>
      <c r="AP118" s="8">
        <v>3220764.43</v>
      </c>
      <c r="AQ118" s="24">
        <v>877014.15428899997</v>
      </c>
      <c r="AR118" s="8">
        <v>13734145.07</v>
      </c>
      <c r="AS118" s="37">
        <v>3739807.7025609999</v>
      </c>
      <c r="AT118" s="8" t="s">
        <v>355</v>
      </c>
      <c r="AU118" s="8" t="s">
        <v>330</v>
      </c>
      <c r="AV118" s="8">
        <v>95.3</v>
      </c>
      <c r="AW118" s="8"/>
      <c r="AX118" s="8" t="s">
        <v>323</v>
      </c>
      <c r="AY118" s="8" t="s">
        <v>206</v>
      </c>
      <c r="AZ118" s="8" t="s">
        <v>332</v>
      </c>
      <c r="BA118" s="21">
        <f>IF(OR(tblsales[[#This Row],[Invoice Value USD]]="",tblsales[[#This Row],[Collected Amount USD]]=""),"",tblsales[[#This Row],[Invoice Value USD]]-tblsales[[#This Row],[Collected Amount USD]])</f>
        <v>849728.45804700069</v>
      </c>
      <c r="BB118" s="21" t="str">
        <f>IF(OR(tblsales[[#This Row],[Contract Value USD]]="",tblsales[[#This Row],[Cost Estimate USD]]=""),"",tblsales[[#This Row],[Contract Value USD]]-tblsales[[#This Row],[Cost Estimate USD]])</f>
        <v/>
      </c>
      <c r="BC118" s="21" t="str">
        <f>IF(OR(tblsales[[#This Row],[Contract Value USD]]="",tblsales[[#This Row],[Cost Estimate USD]]=""),"",tblsales[[#This Row],[Contract Value USD]]-tblsales[[#This Row],[Cost Estimate USD]])</f>
        <v/>
      </c>
      <c r="BD118" s="23">
        <f>IF(tblsales[[#This Row],[Invoice Value USD]]="","",tblsales[[#This Row],[Collected Amount USD]]/tblsales[[#This Row],[Invoice Value USD]])</f>
        <v>0.82864497304971552</v>
      </c>
      <c r="BE118" s="11">
        <f>IF(tblsales[[#This Row],[SalesStage]]="Won",1,0)</f>
        <v>0</v>
      </c>
      <c r="BF118" s="21" t="str">
        <f>IF(tblsales[[#This Row],[Win Flag]]=1,"Won","Lost")</f>
        <v>Lost</v>
      </c>
      <c r="BG118" s="8"/>
    </row>
    <row r="119" spans="1:59" x14ac:dyDescent="0.3">
      <c r="A119" s="10" t="s">
        <v>697</v>
      </c>
      <c r="B119" s="9">
        <v>45810</v>
      </c>
      <c r="C119" s="10" t="s">
        <v>217</v>
      </c>
      <c r="D119" s="10" t="s">
        <v>250</v>
      </c>
      <c r="E119" s="10" t="s">
        <v>41</v>
      </c>
      <c r="F119" s="10" t="s">
        <v>350</v>
      </c>
      <c r="G119" s="10" t="s">
        <v>57</v>
      </c>
      <c r="H119" s="10" t="s">
        <v>263</v>
      </c>
      <c r="I119" s="10" t="s">
        <v>198</v>
      </c>
      <c r="J119" s="10" t="s">
        <v>105</v>
      </c>
      <c r="K119" s="10" t="s">
        <v>221</v>
      </c>
      <c r="L119" s="10" t="s">
        <v>698</v>
      </c>
      <c r="M119" s="9">
        <v>45746</v>
      </c>
      <c r="N119" s="9"/>
      <c r="O119" s="9"/>
      <c r="P119" s="11">
        <v>31</v>
      </c>
      <c r="Q119" s="12">
        <v>4466895</v>
      </c>
      <c r="R119">
        <v>4466895</v>
      </c>
      <c r="S119" s="22">
        <v>0.32</v>
      </c>
      <c r="T119" s="22">
        <v>0.05</v>
      </c>
      <c r="U119" s="12">
        <v>3189363.03</v>
      </c>
      <c r="V119" s="24">
        <v>3189363.03</v>
      </c>
      <c r="W119" s="8">
        <v>2739248.16</v>
      </c>
      <c r="X119" s="24">
        <v>2739248.16</v>
      </c>
      <c r="Y119" s="22">
        <v>0.24</v>
      </c>
      <c r="Z119" s="22">
        <v>0.15</v>
      </c>
      <c r="AA119" s="8" t="s">
        <v>699</v>
      </c>
      <c r="AB119" s="8">
        <v>1144723.3400000001</v>
      </c>
      <c r="AC119" s="24">
        <v>1144723.3400000001</v>
      </c>
      <c r="AD119" s="8">
        <v>945477.93</v>
      </c>
      <c r="AE119" s="24">
        <v>945477.93</v>
      </c>
      <c r="AF119" s="8">
        <v>30</v>
      </c>
      <c r="AG119" s="8">
        <v>102</v>
      </c>
      <c r="AH119" s="8" t="s">
        <v>347</v>
      </c>
      <c r="AI119" s="8" t="s">
        <v>406</v>
      </c>
      <c r="AJ119" s="22">
        <v>0.94</v>
      </c>
      <c r="AK119" s="8" t="s">
        <v>152</v>
      </c>
      <c r="AL119" s="22">
        <v>0.15</v>
      </c>
      <c r="AM119" s="22">
        <v>0.09</v>
      </c>
      <c r="AN119" s="8">
        <v>7</v>
      </c>
      <c r="AO119" s="8">
        <v>1197</v>
      </c>
      <c r="AP119" s="8">
        <v>588770.39</v>
      </c>
      <c r="AQ119" s="24">
        <v>588770.39</v>
      </c>
      <c r="AR119" s="8">
        <v>345821.63</v>
      </c>
      <c r="AS119" s="37">
        <v>345821.63</v>
      </c>
      <c r="AT119" s="8" t="s">
        <v>355</v>
      </c>
      <c r="AU119" s="8" t="s">
        <v>321</v>
      </c>
      <c r="AV119" s="8">
        <v>71.2</v>
      </c>
      <c r="AW119" s="8">
        <v>60</v>
      </c>
      <c r="AX119" s="8" t="s">
        <v>323</v>
      </c>
      <c r="AY119" s="8" t="s">
        <v>206</v>
      </c>
      <c r="AZ119" s="8" t="s">
        <v>188</v>
      </c>
      <c r="BA119" s="21">
        <f>IF(OR(tblsales[[#This Row],[Invoice Value USD]]="",tblsales[[#This Row],[Collected Amount USD]]=""),"",tblsales[[#This Row],[Invoice Value USD]]-tblsales[[#This Row],[Collected Amount USD]])</f>
        <v>199245.41000000003</v>
      </c>
      <c r="BB119" s="21">
        <f>IF(OR(tblsales[[#This Row],[Contract Value USD]]="",tblsales[[#This Row],[Cost Estimate USD]]=""),"",tblsales[[#This Row],[Contract Value USD]]-tblsales[[#This Row],[Cost Estimate USD]])</f>
        <v>450114.86999999965</v>
      </c>
      <c r="BC119" s="21">
        <f>IF(OR(tblsales[[#This Row],[Contract Value USD]]="",tblsales[[#This Row],[Cost Estimate USD]]=""),"",tblsales[[#This Row],[Contract Value USD]]-tblsales[[#This Row],[Cost Estimate USD]])</f>
        <v>450114.86999999965</v>
      </c>
      <c r="BD119" s="23">
        <f>IF(tblsales[[#This Row],[Invoice Value USD]]="","",tblsales[[#This Row],[Collected Amount USD]]/tblsales[[#This Row],[Invoice Value USD]])</f>
        <v>0.82594448541601329</v>
      </c>
      <c r="BE119" s="11">
        <f>IF(tblsales[[#This Row],[SalesStage]]="Won",1,0)</f>
        <v>0</v>
      </c>
      <c r="BF119" s="21" t="str">
        <f>IF(tblsales[[#This Row],[Win Flag]]=1,"Won","Lost")</f>
        <v>Lost</v>
      </c>
      <c r="BG119" s="8"/>
    </row>
    <row r="120" spans="1:59" x14ac:dyDescent="0.3">
      <c r="A120" s="10" t="s">
        <v>700</v>
      </c>
      <c r="B120" s="9">
        <v>45854</v>
      </c>
      <c r="C120" s="10" t="s">
        <v>275</v>
      </c>
      <c r="D120" s="10" t="s">
        <v>242</v>
      </c>
      <c r="E120" s="10" t="s">
        <v>20</v>
      </c>
      <c r="F120" s="10" t="s">
        <v>31</v>
      </c>
      <c r="G120" s="10" t="s">
        <v>80</v>
      </c>
      <c r="H120" s="10" t="s">
        <v>212</v>
      </c>
      <c r="I120" s="10" t="s">
        <v>240</v>
      </c>
      <c r="J120" s="10" t="s">
        <v>136</v>
      </c>
      <c r="K120" s="10" t="s">
        <v>210</v>
      </c>
      <c r="L120" s="10" t="s">
        <v>701</v>
      </c>
      <c r="M120" s="9">
        <v>45782</v>
      </c>
      <c r="N120" s="9">
        <v>45913</v>
      </c>
      <c r="O120" s="9">
        <v>45896</v>
      </c>
      <c r="P120" s="11">
        <v>35</v>
      </c>
      <c r="Q120" s="12">
        <v>20954657</v>
      </c>
      <c r="R120">
        <v>5588607.0219000001</v>
      </c>
      <c r="S120" s="22">
        <v>0.23</v>
      </c>
      <c r="T120" s="22">
        <v>0.13</v>
      </c>
      <c r="U120" s="12">
        <v>18232647.059999999</v>
      </c>
      <c r="V120" s="24">
        <v>4862646.9709019996</v>
      </c>
      <c r="W120" s="8">
        <v>13241663.4</v>
      </c>
      <c r="X120" s="24">
        <v>3531551.6287799999</v>
      </c>
      <c r="Y120" s="22">
        <v>0.24</v>
      </c>
      <c r="Z120" s="22">
        <v>0.1</v>
      </c>
      <c r="AA120" s="8" t="s">
        <v>702</v>
      </c>
      <c r="AB120" s="8">
        <v>14908535.279999999</v>
      </c>
      <c r="AC120" s="24">
        <v>3976106.3591759996</v>
      </c>
      <c r="AD120" s="8">
        <v>12645399.810000001</v>
      </c>
      <c r="AE120" s="24">
        <v>3372528.1293270001</v>
      </c>
      <c r="AF120" s="8">
        <v>120</v>
      </c>
      <c r="AG120" s="8">
        <v>61</v>
      </c>
      <c r="AH120" s="8" t="s">
        <v>347</v>
      </c>
      <c r="AI120" s="8" t="s">
        <v>226</v>
      </c>
      <c r="AJ120" s="22">
        <v>0.86</v>
      </c>
      <c r="AK120" s="8" t="s">
        <v>162</v>
      </c>
      <c r="AL120" s="22">
        <v>0.1</v>
      </c>
      <c r="AM120" s="22">
        <v>0.01</v>
      </c>
      <c r="AN120" s="8">
        <v>12</v>
      </c>
      <c r="AO120" s="8">
        <v>3642</v>
      </c>
      <c r="AP120" s="8">
        <v>935356.88</v>
      </c>
      <c r="AQ120" s="24">
        <v>249459.67989599999</v>
      </c>
      <c r="AR120" s="8">
        <v>6405466.3899999997</v>
      </c>
      <c r="AS120" s="37">
        <v>1708337.8862129999</v>
      </c>
      <c r="AT120" s="8" t="s">
        <v>385</v>
      </c>
      <c r="AU120" s="8" t="s">
        <v>356</v>
      </c>
      <c r="AV120" s="8"/>
      <c r="AW120" s="8">
        <v>12</v>
      </c>
      <c r="AX120" s="8" t="s">
        <v>332</v>
      </c>
      <c r="AY120" s="8" t="s">
        <v>206</v>
      </c>
      <c r="AZ120" s="8" t="s">
        <v>332</v>
      </c>
      <c r="BA120" s="21">
        <f>IF(OR(tblsales[[#This Row],[Invoice Value USD]]="",tblsales[[#This Row],[Collected Amount USD]]=""),"",tblsales[[#This Row],[Invoice Value USD]]-tblsales[[#This Row],[Collected Amount USD]])</f>
        <v>603578.22984899953</v>
      </c>
      <c r="BB120" s="21">
        <f>IF(OR(tblsales[[#This Row],[Contract Value USD]]="",tblsales[[#This Row],[Cost Estimate USD]]=""),"",tblsales[[#This Row],[Contract Value USD]]-tblsales[[#This Row],[Cost Estimate USD]])</f>
        <v>1331095.3421219997</v>
      </c>
      <c r="BC120" s="21">
        <f>IF(OR(tblsales[[#This Row],[Contract Value USD]]="",tblsales[[#This Row],[Cost Estimate USD]]=""),"",tblsales[[#This Row],[Contract Value USD]]-tblsales[[#This Row],[Cost Estimate USD]])</f>
        <v>1331095.3421219997</v>
      </c>
      <c r="BD120" s="23">
        <f>IF(tblsales[[#This Row],[Invoice Value USD]]="","",tblsales[[#This Row],[Collected Amount USD]]/tblsales[[#This Row],[Invoice Value USD]])</f>
        <v>0.84819867092939538</v>
      </c>
      <c r="BE120" s="11">
        <f>IF(tblsales[[#This Row],[SalesStage]]="Won",1,0)</f>
        <v>0</v>
      </c>
      <c r="BF120" s="21" t="str">
        <f>IF(tblsales[[#This Row],[Win Flag]]=1,"Won","Lost")</f>
        <v>Lost</v>
      </c>
      <c r="BG120" s="8"/>
    </row>
    <row r="121" spans="1:59" x14ac:dyDescent="0.3">
      <c r="A121" s="10" t="s">
        <v>5778</v>
      </c>
      <c r="B121" s="9">
        <v>46009</v>
      </c>
      <c r="C121" s="10" t="s">
        <v>275</v>
      </c>
      <c r="D121" s="10" t="s">
        <v>250</v>
      </c>
      <c r="E121" s="10" t="s">
        <v>113</v>
      </c>
      <c r="F121" s="10" t="s">
        <v>181</v>
      </c>
      <c r="G121" s="10" t="s">
        <v>28</v>
      </c>
      <c r="H121" s="10" t="s">
        <v>182</v>
      </c>
      <c r="I121" s="10" t="s">
        <v>233</v>
      </c>
      <c r="J121" s="10" t="s">
        <v>111</v>
      </c>
      <c r="K121" s="10" t="s">
        <v>184</v>
      </c>
      <c r="L121" s="10" t="s">
        <v>3510</v>
      </c>
      <c r="M121" s="9">
        <v>45948</v>
      </c>
      <c r="N121" s="9">
        <v>46018</v>
      </c>
      <c r="O121" s="9">
        <v>46205</v>
      </c>
      <c r="P121" s="11"/>
      <c r="Q121" s="12">
        <v>27735854</v>
      </c>
      <c r="R121">
        <v>7552473.0441999994</v>
      </c>
      <c r="S121" s="22">
        <v>0.28000000000000003</v>
      </c>
      <c r="T121" s="22">
        <v>0.03</v>
      </c>
      <c r="U121" s="12">
        <v>20568909.329999998</v>
      </c>
      <c r="V121" s="24">
        <v>5600914.0105589991</v>
      </c>
      <c r="W121" s="8">
        <v>17113492.920000002</v>
      </c>
      <c r="X121" s="24">
        <v>4660004.1221160004</v>
      </c>
      <c r="Y121" s="22">
        <v>0.34</v>
      </c>
      <c r="Z121" s="22">
        <v>0.12</v>
      </c>
      <c r="AA121" s="8" t="s">
        <v>3514</v>
      </c>
      <c r="AB121" s="8">
        <v>9391983.2200000007</v>
      </c>
      <c r="AC121" s="24">
        <v>2557437.0308059999</v>
      </c>
      <c r="AD121" s="8">
        <v>8341374.25</v>
      </c>
      <c r="AE121" s="24">
        <v>2271356.2082750001</v>
      </c>
      <c r="AF121" s="8">
        <v>60</v>
      </c>
      <c r="AG121" s="8">
        <v>45</v>
      </c>
      <c r="AH121" s="8" t="s">
        <v>342</v>
      </c>
      <c r="AI121" s="8" t="s">
        <v>336</v>
      </c>
      <c r="AJ121" s="22">
        <v>0.7</v>
      </c>
      <c r="AK121" s="8" t="s">
        <v>153</v>
      </c>
      <c r="AL121" s="22">
        <v>0.1</v>
      </c>
      <c r="AM121" s="22">
        <v>0.08</v>
      </c>
      <c r="AN121" s="8">
        <v>6</v>
      </c>
      <c r="AO121" s="8">
        <v>1076</v>
      </c>
      <c r="AP121" s="8">
        <v>1388799.78</v>
      </c>
      <c r="AQ121" s="24">
        <v>378170.18009400001</v>
      </c>
      <c r="AR121" s="8">
        <v>8837134.7799999993</v>
      </c>
      <c r="AS121" s="37">
        <v>2406351.8005939997</v>
      </c>
      <c r="AT121" s="8" t="s">
        <v>385</v>
      </c>
      <c r="AU121" s="8" t="s">
        <v>322</v>
      </c>
      <c r="AV121" s="8">
        <v>59.5</v>
      </c>
      <c r="AW121" s="8">
        <v>24</v>
      </c>
      <c r="AX121" s="8" t="s">
        <v>323</v>
      </c>
      <c r="AY121" s="8" t="s">
        <v>206</v>
      </c>
      <c r="AZ121" s="8" t="s">
        <v>361</v>
      </c>
      <c r="BA121" s="21">
        <f>IF(OR(tblsales[[#This Row],[Invoice Value USD]]="",tblsales[[#This Row],[Collected Amount USD]]=""),"",tblsales[[#This Row],[Invoice Value USD]]-tblsales[[#This Row],[Collected Amount USD]])</f>
        <v>286080.82253099978</v>
      </c>
      <c r="BB121" s="21">
        <f>IF(OR(tblsales[[#This Row],[Contract Value USD]]="",tblsales[[#This Row],[Cost Estimate USD]]=""),"",tblsales[[#This Row],[Contract Value USD]]-tblsales[[#This Row],[Cost Estimate USD]])</f>
        <v>940909.88844299875</v>
      </c>
      <c r="BC121" s="21">
        <f>IF(OR(tblsales[[#This Row],[Contract Value USD]]="",tblsales[[#This Row],[Cost Estimate USD]]=""),"",tblsales[[#This Row],[Contract Value USD]]-tblsales[[#This Row],[Cost Estimate USD]])</f>
        <v>940909.88844299875</v>
      </c>
      <c r="BD121" s="23">
        <f>IF(tblsales[[#This Row],[Invoice Value USD]]="","",tblsales[[#This Row],[Collected Amount USD]]/tblsales[[#This Row],[Invoice Value USD]])</f>
        <v>0.88813768664292836</v>
      </c>
      <c r="BE121" s="11">
        <f>IF(tblsales[[#This Row],[SalesStage]]="Won",1,0)</f>
        <v>0</v>
      </c>
      <c r="BF121" s="21" t="str">
        <f>IF(tblsales[[#This Row],[Win Flag]]=1,"Won","Lost")</f>
        <v>Lost</v>
      </c>
      <c r="BG121" s="8"/>
    </row>
    <row r="122" spans="1:59" x14ac:dyDescent="0.3">
      <c r="A122" s="10" t="s">
        <v>703</v>
      </c>
      <c r="B122" s="9">
        <v>45888</v>
      </c>
      <c r="C122" s="10" t="s">
        <v>249</v>
      </c>
      <c r="D122" s="10" t="s">
        <v>202</v>
      </c>
      <c r="E122" s="10" t="s">
        <v>41</v>
      </c>
      <c r="F122" s="10" t="s">
        <v>363</v>
      </c>
      <c r="G122" s="10" t="s">
        <v>62</v>
      </c>
      <c r="H122" s="10" t="s">
        <v>212</v>
      </c>
      <c r="I122" s="10" t="s">
        <v>203</v>
      </c>
      <c r="J122" s="10" t="s">
        <v>130</v>
      </c>
      <c r="K122" s="10" t="s">
        <v>184</v>
      </c>
      <c r="L122" s="10" t="s">
        <v>704</v>
      </c>
      <c r="M122" s="9">
        <v>45908</v>
      </c>
      <c r="N122" s="9">
        <v>46000</v>
      </c>
      <c r="O122" s="9">
        <v>46003</v>
      </c>
      <c r="P122" s="11">
        <v>60</v>
      </c>
      <c r="Q122" s="12">
        <v>16864336</v>
      </c>
      <c r="R122">
        <v>16864336</v>
      </c>
      <c r="S122" s="22">
        <v>0.14000000000000001</v>
      </c>
      <c r="T122" s="22">
        <v>0.12</v>
      </c>
      <c r="U122" s="12">
        <v>16243728.439999999</v>
      </c>
      <c r="V122" s="24">
        <v>16243728.439999999</v>
      </c>
      <c r="W122" s="8">
        <v>12575018.58</v>
      </c>
      <c r="X122" s="24">
        <v>12575018.58</v>
      </c>
      <c r="Y122" s="22">
        <v>0.23</v>
      </c>
      <c r="Z122" s="22">
        <v>0.19</v>
      </c>
      <c r="AA122" s="8" t="s">
        <v>705</v>
      </c>
      <c r="AB122" s="8">
        <v>7138135.8200000003</v>
      </c>
      <c r="AC122" s="24">
        <v>7138135.8200000003</v>
      </c>
      <c r="AD122" s="8">
        <v>2200374.58</v>
      </c>
      <c r="AE122" s="24">
        <v>2200374.58</v>
      </c>
      <c r="AF122" s="8">
        <v>45</v>
      </c>
      <c r="AG122" s="8">
        <v>83</v>
      </c>
      <c r="AH122" s="8" t="s">
        <v>342</v>
      </c>
      <c r="AI122" s="8" t="s">
        <v>320</v>
      </c>
      <c r="AJ122" s="22">
        <v>0.97</v>
      </c>
      <c r="AK122" s="8" t="s">
        <v>152</v>
      </c>
      <c r="AL122" s="22">
        <v>0.1</v>
      </c>
      <c r="AM122" s="22">
        <v>7.0000000000000007E-2</v>
      </c>
      <c r="AN122" s="8">
        <v>12</v>
      </c>
      <c r="AO122" s="8">
        <v>2576</v>
      </c>
      <c r="AP122" s="8"/>
      <c r="AQ122" s="24"/>
      <c r="AR122" s="8">
        <v>7288103.2599999998</v>
      </c>
      <c r="AS122" s="37">
        <v>7288103.2599999998</v>
      </c>
      <c r="AT122" s="8" t="s">
        <v>343</v>
      </c>
      <c r="AU122" s="8" t="s">
        <v>330</v>
      </c>
      <c r="AV122" s="8">
        <v>65.900000000000006</v>
      </c>
      <c r="AW122" s="8">
        <v>36</v>
      </c>
      <c r="AX122" s="8" t="s">
        <v>332</v>
      </c>
      <c r="AY122" s="8" t="s">
        <v>186</v>
      </c>
      <c r="AZ122" s="8" t="s">
        <v>332</v>
      </c>
      <c r="BA122" s="21">
        <f>IF(OR(tblsales[[#This Row],[Invoice Value USD]]="",tblsales[[#This Row],[Collected Amount USD]]=""),"",tblsales[[#This Row],[Invoice Value USD]]-tblsales[[#This Row],[Collected Amount USD]])</f>
        <v>4937761.24</v>
      </c>
      <c r="BB122" s="21">
        <f>IF(OR(tblsales[[#This Row],[Contract Value USD]]="",tblsales[[#This Row],[Cost Estimate USD]]=""),"",tblsales[[#This Row],[Contract Value USD]]-tblsales[[#This Row],[Cost Estimate USD]])</f>
        <v>3668709.8599999994</v>
      </c>
      <c r="BC122" s="21">
        <f>IF(OR(tblsales[[#This Row],[Contract Value USD]]="",tblsales[[#This Row],[Cost Estimate USD]]=""),"",tblsales[[#This Row],[Contract Value USD]]-tblsales[[#This Row],[Cost Estimate USD]])</f>
        <v>3668709.8599999994</v>
      </c>
      <c r="BD122" s="23">
        <f>IF(tblsales[[#This Row],[Invoice Value USD]]="","",tblsales[[#This Row],[Collected Amount USD]]/tblsales[[#This Row],[Invoice Value USD]])</f>
        <v>0.30825619398203047</v>
      </c>
      <c r="BE122" s="11">
        <f>IF(tblsales[[#This Row],[SalesStage]]="Won",1,0)</f>
        <v>1</v>
      </c>
      <c r="BF122" s="21" t="str">
        <f>IF(tblsales[[#This Row],[Win Flag]]=1,"Won","Lost")</f>
        <v>Won</v>
      </c>
      <c r="BG122" s="8"/>
    </row>
    <row r="123" spans="1:59" x14ac:dyDescent="0.3">
      <c r="A123" s="10" t="s">
        <v>706</v>
      </c>
      <c r="B123" s="9">
        <v>45881</v>
      </c>
      <c r="C123" s="10" t="s">
        <v>264</v>
      </c>
      <c r="D123" s="10" t="s">
        <v>262</v>
      </c>
      <c r="E123" s="10" t="s">
        <v>36</v>
      </c>
      <c r="F123" s="10" t="s">
        <v>19</v>
      </c>
      <c r="G123" s="10" t="s">
        <v>70</v>
      </c>
      <c r="H123" s="10" t="s">
        <v>182</v>
      </c>
      <c r="I123" s="10" t="s">
        <v>233</v>
      </c>
      <c r="J123" s="10" t="s">
        <v>115</v>
      </c>
      <c r="K123" s="10" t="s">
        <v>221</v>
      </c>
      <c r="L123" s="10" t="s">
        <v>707</v>
      </c>
      <c r="M123" s="9">
        <v>45835</v>
      </c>
      <c r="N123" s="9">
        <v>45928</v>
      </c>
      <c r="O123" s="9">
        <v>45995</v>
      </c>
      <c r="P123" s="11">
        <v>3</v>
      </c>
      <c r="Q123" s="12">
        <v>11271876</v>
      </c>
      <c r="R123">
        <v>11271876</v>
      </c>
      <c r="S123" s="22">
        <v>0.12</v>
      </c>
      <c r="T123" s="22">
        <v>0.2</v>
      </c>
      <c r="U123" s="12">
        <v>11903101.060000001</v>
      </c>
      <c r="V123" s="24">
        <v>11903101.060000001</v>
      </c>
      <c r="W123" s="8">
        <v>9180104.1400000006</v>
      </c>
      <c r="X123" s="24">
        <v>9180104.1400000006</v>
      </c>
      <c r="Y123" s="22">
        <v>0.08</v>
      </c>
      <c r="Z123" s="22">
        <v>0.17</v>
      </c>
      <c r="AA123" s="8" t="s">
        <v>708</v>
      </c>
      <c r="AB123" s="8">
        <v>8321744.8300000001</v>
      </c>
      <c r="AC123" s="24">
        <v>8321744.8300000001</v>
      </c>
      <c r="AD123" s="8">
        <v>3503552.74</v>
      </c>
      <c r="AE123" s="24">
        <v>3503552.74</v>
      </c>
      <c r="AF123" s="8">
        <v>90</v>
      </c>
      <c r="AG123" s="8">
        <v>14</v>
      </c>
      <c r="AH123" s="8" t="s">
        <v>342</v>
      </c>
      <c r="AI123" s="8" t="s">
        <v>320</v>
      </c>
      <c r="AJ123" s="22">
        <v>0.23</v>
      </c>
      <c r="AK123" s="8" t="s">
        <v>152</v>
      </c>
      <c r="AL123" s="22">
        <v>0.05</v>
      </c>
      <c r="AM123" s="22">
        <v>0.03</v>
      </c>
      <c r="AN123" s="8">
        <v>1</v>
      </c>
      <c r="AO123" s="8">
        <v>1009</v>
      </c>
      <c r="AP123" s="8">
        <v>1854239.55</v>
      </c>
      <c r="AQ123" s="24">
        <v>1854239.55</v>
      </c>
      <c r="AR123" s="8">
        <v>5175359.83</v>
      </c>
      <c r="AS123" s="37">
        <v>5175359.83</v>
      </c>
      <c r="AT123" s="8" t="s">
        <v>355</v>
      </c>
      <c r="AU123" s="8" t="s">
        <v>356</v>
      </c>
      <c r="AV123" s="8"/>
      <c r="AW123" s="8">
        <v>12</v>
      </c>
      <c r="AX123" s="8" t="s">
        <v>387</v>
      </c>
      <c r="AY123" s="8" t="s">
        <v>192</v>
      </c>
      <c r="AZ123" s="8" t="s">
        <v>377</v>
      </c>
      <c r="BA123" s="21">
        <f>IF(OR(tblsales[[#This Row],[Invoice Value USD]]="",tblsales[[#This Row],[Collected Amount USD]]=""),"",tblsales[[#This Row],[Invoice Value USD]]-tblsales[[#This Row],[Collected Amount USD]])</f>
        <v>4818192.09</v>
      </c>
      <c r="BB123" s="21">
        <f>IF(OR(tblsales[[#This Row],[Contract Value USD]]="",tblsales[[#This Row],[Cost Estimate USD]]=""),"",tblsales[[#This Row],[Contract Value USD]]-tblsales[[#This Row],[Cost Estimate USD]])</f>
        <v>2722996.92</v>
      </c>
      <c r="BC123" s="21">
        <f>IF(OR(tblsales[[#This Row],[Contract Value USD]]="",tblsales[[#This Row],[Cost Estimate USD]]=""),"",tblsales[[#This Row],[Contract Value USD]]-tblsales[[#This Row],[Cost Estimate USD]])</f>
        <v>2722996.92</v>
      </c>
      <c r="BD123" s="23">
        <f>IF(tblsales[[#This Row],[Invoice Value USD]]="","",tblsales[[#This Row],[Collected Amount USD]]/tblsales[[#This Row],[Invoice Value USD]])</f>
        <v>0.42101179639270436</v>
      </c>
      <c r="BE123" s="11">
        <f>IF(tblsales[[#This Row],[SalesStage]]="Won",1,0)</f>
        <v>1</v>
      </c>
      <c r="BF123" s="21" t="str">
        <f>IF(tblsales[[#This Row],[Win Flag]]=1,"Won","Lost")</f>
        <v>Won</v>
      </c>
      <c r="BG123" s="8"/>
    </row>
    <row r="124" spans="1:59" x14ac:dyDescent="0.3">
      <c r="A124" s="10" t="s">
        <v>709</v>
      </c>
      <c r="B124" s="9">
        <v>45826</v>
      </c>
      <c r="C124" s="10" t="s">
        <v>285</v>
      </c>
      <c r="D124" s="10" t="s">
        <v>274</v>
      </c>
      <c r="E124" s="10" t="s">
        <v>52</v>
      </c>
      <c r="F124" s="10" t="s">
        <v>75</v>
      </c>
      <c r="G124" s="10" t="s">
        <v>70</v>
      </c>
      <c r="H124" s="10" t="s">
        <v>263</v>
      </c>
      <c r="I124" s="10" t="s">
        <v>198</v>
      </c>
      <c r="J124" s="10" t="s">
        <v>133</v>
      </c>
      <c r="K124" s="10" t="s">
        <v>199</v>
      </c>
      <c r="L124" s="10" t="s">
        <v>710</v>
      </c>
      <c r="M124" s="9">
        <v>45797</v>
      </c>
      <c r="N124" s="9"/>
      <c r="O124" s="9">
        <v>45895</v>
      </c>
      <c r="P124" s="11">
        <v>9</v>
      </c>
      <c r="Q124" s="12">
        <v>3142522</v>
      </c>
      <c r="R124">
        <v>855708.7405999999</v>
      </c>
      <c r="S124" s="22">
        <v>0.23</v>
      </c>
      <c r="T124" s="22">
        <v>0.19</v>
      </c>
      <c r="U124" s="12">
        <v>2879492.91</v>
      </c>
      <c r="V124" s="24">
        <v>784085.91939299996</v>
      </c>
      <c r="W124" s="8">
        <v>2170550.14</v>
      </c>
      <c r="X124" s="24">
        <v>591040.80312199995</v>
      </c>
      <c r="Y124" s="22">
        <v>0.36</v>
      </c>
      <c r="Z124" s="22">
        <v>0.12</v>
      </c>
      <c r="AA124" s="8" t="s">
        <v>711</v>
      </c>
      <c r="AB124" s="8">
        <v>939227.66</v>
      </c>
      <c r="AC124" s="24">
        <v>255751.69181799999</v>
      </c>
      <c r="AD124" s="8">
        <v>831438.3</v>
      </c>
      <c r="AE124" s="24">
        <v>226400.64908999999</v>
      </c>
      <c r="AF124" s="8">
        <v>120</v>
      </c>
      <c r="AG124" s="8">
        <v>34</v>
      </c>
      <c r="AH124" s="8" t="s">
        <v>342</v>
      </c>
      <c r="AI124" s="8" t="s">
        <v>354</v>
      </c>
      <c r="AJ124" s="22">
        <v>0.25</v>
      </c>
      <c r="AK124" s="8" t="s">
        <v>153</v>
      </c>
      <c r="AL124" s="22">
        <v>0.05</v>
      </c>
      <c r="AM124" s="22">
        <v>0.08</v>
      </c>
      <c r="AN124" s="8">
        <v>9</v>
      </c>
      <c r="AO124" s="8">
        <v>3499</v>
      </c>
      <c r="AP124" s="8">
        <v>397567.37</v>
      </c>
      <c r="AQ124" s="24">
        <v>108257.59485099999</v>
      </c>
      <c r="AR124" s="8">
        <v>1067071</v>
      </c>
      <c r="AS124" s="37">
        <v>290563.43329999998</v>
      </c>
      <c r="AT124" s="8" t="s">
        <v>73</v>
      </c>
      <c r="AU124" s="8" t="s">
        <v>348</v>
      </c>
      <c r="AV124" s="8">
        <v>54.5</v>
      </c>
      <c r="AW124" s="8">
        <v>24</v>
      </c>
      <c r="AX124" s="8" t="s">
        <v>332</v>
      </c>
      <c r="AY124" s="8" t="s">
        <v>229</v>
      </c>
      <c r="AZ124" s="8" t="s">
        <v>332</v>
      </c>
      <c r="BA124" s="21">
        <f>IF(OR(tblsales[[#This Row],[Invoice Value USD]]="",tblsales[[#This Row],[Collected Amount USD]]=""),"",tblsales[[#This Row],[Invoice Value USD]]-tblsales[[#This Row],[Collected Amount USD]])</f>
        <v>29351.042728</v>
      </c>
      <c r="BB124" s="21">
        <f>IF(OR(tblsales[[#This Row],[Contract Value USD]]="",tblsales[[#This Row],[Cost Estimate USD]]=""),"",tblsales[[#This Row],[Contract Value USD]]-tblsales[[#This Row],[Cost Estimate USD]])</f>
        <v>193045.11627100001</v>
      </c>
      <c r="BC124" s="21">
        <f>IF(OR(tblsales[[#This Row],[Contract Value USD]]="",tblsales[[#This Row],[Cost Estimate USD]]=""),"",tblsales[[#This Row],[Contract Value USD]]-tblsales[[#This Row],[Cost Estimate USD]])</f>
        <v>193045.11627100001</v>
      </c>
      <c r="BD124" s="23">
        <f>IF(tblsales[[#This Row],[Invoice Value USD]]="","",tblsales[[#This Row],[Collected Amount USD]]/tblsales[[#This Row],[Invoice Value USD]])</f>
        <v>0.88523617373023278</v>
      </c>
      <c r="BE124" s="11">
        <f>IF(tblsales[[#This Row],[SalesStage]]="Won",1,0)</f>
        <v>0</v>
      </c>
      <c r="BF124" s="21" t="str">
        <f>IF(tblsales[[#This Row],[Win Flag]]=1,"Won","Lost")</f>
        <v>Lost</v>
      </c>
      <c r="BG124" s="8"/>
    </row>
    <row r="125" spans="1:59" x14ac:dyDescent="0.3">
      <c r="A125" s="10" t="s">
        <v>712</v>
      </c>
      <c r="B125" s="9">
        <v>45698</v>
      </c>
      <c r="C125" s="10" t="s">
        <v>249</v>
      </c>
      <c r="D125" s="10" t="s">
        <v>180</v>
      </c>
      <c r="E125" s="10" t="s">
        <v>20</v>
      </c>
      <c r="F125" s="10" t="s">
        <v>35</v>
      </c>
      <c r="G125" s="10" t="s">
        <v>57</v>
      </c>
      <c r="H125" s="10" t="s">
        <v>182</v>
      </c>
      <c r="I125" s="10" t="s">
        <v>233</v>
      </c>
      <c r="J125" s="10" t="s">
        <v>136</v>
      </c>
      <c r="K125" s="10" t="s">
        <v>204</v>
      </c>
      <c r="L125" s="10" t="s">
        <v>713</v>
      </c>
      <c r="M125" s="9">
        <v>45870</v>
      </c>
      <c r="N125" s="9"/>
      <c r="O125" s="9">
        <v>45936</v>
      </c>
      <c r="P125" s="11">
        <v>49</v>
      </c>
      <c r="Q125" s="12">
        <v>32251956</v>
      </c>
      <c r="R125">
        <v>32251956</v>
      </c>
      <c r="S125" s="22">
        <v>0.11</v>
      </c>
      <c r="T125" s="22">
        <v>0.2</v>
      </c>
      <c r="U125" s="12">
        <v>34445089.009999998</v>
      </c>
      <c r="V125" s="24">
        <v>34445089.009999998</v>
      </c>
      <c r="W125" s="8">
        <v>27593201.629999999</v>
      </c>
      <c r="X125" s="24">
        <v>27593201.629999999</v>
      </c>
      <c r="Y125" s="22">
        <v>0.14000000000000001</v>
      </c>
      <c r="Z125" s="22">
        <v>0.2</v>
      </c>
      <c r="AA125" s="8" t="s">
        <v>714</v>
      </c>
      <c r="AB125" s="8">
        <v>21757820.760000002</v>
      </c>
      <c r="AC125" s="24">
        <v>21757820.760000002</v>
      </c>
      <c r="AD125" s="8">
        <v>11756336.32</v>
      </c>
      <c r="AE125" s="24">
        <v>11756336.32</v>
      </c>
      <c r="AF125" s="8">
        <v>45</v>
      </c>
      <c r="AG125" s="8">
        <v>134</v>
      </c>
      <c r="AH125" s="8" t="s">
        <v>332</v>
      </c>
      <c r="AI125" s="8" t="s">
        <v>406</v>
      </c>
      <c r="AJ125" s="22">
        <v>0.45</v>
      </c>
      <c r="AK125" s="8" t="s">
        <v>152</v>
      </c>
      <c r="AL125" s="22">
        <v>0.15</v>
      </c>
      <c r="AM125" s="22">
        <v>0.01</v>
      </c>
      <c r="AN125" s="8">
        <v>2</v>
      </c>
      <c r="AO125" s="8">
        <v>881</v>
      </c>
      <c r="AP125" s="8">
        <v>830832.78</v>
      </c>
      <c r="AQ125" s="24">
        <v>830832.78</v>
      </c>
      <c r="AR125" s="8">
        <v>3627820.15</v>
      </c>
      <c r="AS125" s="37">
        <v>3627820.15</v>
      </c>
      <c r="AT125" s="8" t="s">
        <v>355</v>
      </c>
      <c r="AU125" s="8" t="s">
        <v>332</v>
      </c>
      <c r="AV125" s="8">
        <v>60.6</v>
      </c>
      <c r="AW125" s="8">
        <v>48</v>
      </c>
      <c r="AX125" s="8" t="s">
        <v>332</v>
      </c>
      <c r="AY125" s="8" t="s">
        <v>206</v>
      </c>
      <c r="AZ125" s="8" t="s">
        <v>324</v>
      </c>
      <c r="BA125" s="21">
        <f>IF(OR(tblsales[[#This Row],[Invoice Value USD]]="",tblsales[[#This Row],[Collected Amount USD]]=""),"",tblsales[[#This Row],[Invoice Value USD]]-tblsales[[#This Row],[Collected Amount USD]])</f>
        <v>10001484.440000001</v>
      </c>
      <c r="BB125" s="21">
        <f>IF(OR(tblsales[[#This Row],[Contract Value USD]]="",tblsales[[#This Row],[Cost Estimate USD]]=""),"",tblsales[[#This Row],[Contract Value USD]]-tblsales[[#This Row],[Cost Estimate USD]])</f>
        <v>6851887.379999999</v>
      </c>
      <c r="BC125" s="21">
        <f>IF(OR(tblsales[[#This Row],[Contract Value USD]]="",tblsales[[#This Row],[Cost Estimate USD]]=""),"",tblsales[[#This Row],[Contract Value USD]]-tblsales[[#This Row],[Cost Estimate USD]])</f>
        <v>6851887.379999999</v>
      </c>
      <c r="BD125" s="23">
        <f>IF(tblsales[[#This Row],[Invoice Value USD]]="","",tblsales[[#This Row],[Collected Amount USD]]/tblsales[[#This Row],[Invoice Value USD]])</f>
        <v>0.54032692196881571</v>
      </c>
      <c r="BE125" s="11">
        <f>IF(tblsales[[#This Row],[SalesStage]]="Won",1,0)</f>
        <v>0</v>
      </c>
      <c r="BF125" s="21" t="str">
        <f>IF(tblsales[[#This Row],[Win Flag]]=1,"Won","Lost")</f>
        <v>Lost</v>
      </c>
      <c r="BG125" s="8"/>
    </row>
    <row r="126" spans="1:59" x14ac:dyDescent="0.3">
      <c r="A126" s="10" t="s">
        <v>715</v>
      </c>
      <c r="B126" s="9">
        <v>46074</v>
      </c>
      <c r="C126" s="10" t="s">
        <v>230</v>
      </c>
      <c r="D126" s="10" t="s">
        <v>262</v>
      </c>
      <c r="E126" s="10" t="s">
        <v>113</v>
      </c>
      <c r="F126" s="10" t="s">
        <v>367</v>
      </c>
      <c r="G126" s="10" t="s">
        <v>78</v>
      </c>
      <c r="H126" s="10" t="s">
        <v>182</v>
      </c>
      <c r="I126" s="10" t="s">
        <v>183</v>
      </c>
      <c r="J126" s="10" t="s">
        <v>123</v>
      </c>
      <c r="K126" s="10" t="s">
        <v>204</v>
      </c>
      <c r="L126" s="10" t="s">
        <v>716</v>
      </c>
      <c r="M126" s="9">
        <v>46008</v>
      </c>
      <c r="N126" s="9" t="s">
        <v>717</v>
      </c>
      <c r="O126" s="9">
        <v>46129</v>
      </c>
      <c r="P126" s="11">
        <v>56</v>
      </c>
      <c r="Q126" s="12">
        <v>41589044</v>
      </c>
      <c r="R126">
        <v>48284880.083999999</v>
      </c>
      <c r="S126" s="22">
        <v>0.13</v>
      </c>
      <c r="T126" s="22">
        <v>0.12</v>
      </c>
      <c r="U126" s="12">
        <v>40524364.469999999</v>
      </c>
      <c r="V126" s="24">
        <v>47048787.149669997</v>
      </c>
      <c r="W126" s="8">
        <v>28373337.09</v>
      </c>
      <c r="X126" s="24">
        <v>32941444.36149</v>
      </c>
      <c r="Y126" s="22">
        <v>0.35</v>
      </c>
      <c r="Z126" s="22">
        <v>0.11</v>
      </c>
      <c r="AA126" s="8" t="s">
        <v>718</v>
      </c>
      <c r="AB126" s="8">
        <v>25803862.780000001</v>
      </c>
      <c r="AC126" s="24">
        <v>29958284.687580001</v>
      </c>
      <c r="AD126" s="8">
        <v>15895122.449999999</v>
      </c>
      <c r="AE126" s="24">
        <v>18454237.164450001</v>
      </c>
      <c r="AF126" s="8">
        <v>60</v>
      </c>
      <c r="AG126" s="8">
        <v>23</v>
      </c>
      <c r="AH126" s="8" t="s">
        <v>329</v>
      </c>
      <c r="AI126" s="8" t="s">
        <v>406</v>
      </c>
      <c r="AJ126" s="22">
        <v>0.17</v>
      </c>
      <c r="AK126" s="8" t="s">
        <v>159</v>
      </c>
      <c r="AL126" s="22">
        <v>0.05</v>
      </c>
      <c r="AM126" s="22">
        <v>0.03</v>
      </c>
      <c r="AN126" s="8">
        <v>0</v>
      </c>
      <c r="AO126" s="8"/>
      <c r="AP126" s="8">
        <v>5595272.5899999999</v>
      </c>
      <c r="AQ126" s="24">
        <v>6496111.4769900003</v>
      </c>
      <c r="AR126" s="8">
        <v>19213102.949999999</v>
      </c>
      <c r="AS126" s="37">
        <v>22306412.524950001</v>
      </c>
      <c r="AT126" s="8" t="s">
        <v>355</v>
      </c>
      <c r="AU126" s="8" t="s">
        <v>330</v>
      </c>
      <c r="AV126" s="8">
        <v>86.9</v>
      </c>
      <c r="AW126" s="8">
        <v>48</v>
      </c>
      <c r="AX126" s="8" t="s">
        <v>323</v>
      </c>
      <c r="AY126" s="8" t="s">
        <v>206</v>
      </c>
      <c r="AZ126" s="8" t="s">
        <v>377</v>
      </c>
      <c r="BA126" s="21">
        <f>IF(OR(tblsales[[#This Row],[Invoice Value USD]]="",tblsales[[#This Row],[Collected Amount USD]]=""),"",tblsales[[#This Row],[Invoice Value USD]]-tblsales[[#This Row],[Collected Amount USD]])</f>
        <v>11504047.52313</v>
      </c>
      <c r="BB126" s="21">
        <f>IF(OR(tblsales[[#This Row],[Contract Value USD]]="",tblsales[[#This Row],[Cost Estimate USD]]=""),"",tblsales[[#This Row],[Contract Value USD]]-tblsales[[#This Row],[Cost Estimate USD]])</f>
        <v>14107342.788179997</v>
      </c>
      <c r="BC126" s="21">
        <f>IF(OR(tblsales[[#This Row],[Contract Value USD]]="",tblsales[[#This Row],[Cost Estimate USD]]=""),"",tblsales[[#This Row],[Contract Value USD]]-tblsales[[#This Row],[Cost Estimate USD]])</f>
        <v>14107342.788179997</v>
      </c>
      <c r="BD126" s="23">
        <f>IF(tblsales[[#This Row],[Invoice Value USD]]="","",tblsales[[#This Row],[Collected Amount USD]]/tblsales[[#This Row],[Invoice Value USD]])</f>
        <v>0.61599779015721456</v>
      </c>
      <c r="BE126" s="11">
        <f>IF(tblsales[[#This Row],[SalesStage]]="Won",1,0)</f>
        <v>0</v>
      </c>
      <c r="BF126" s="21" t="str">
        <f>IF(tblsales[[#This Row],[Win Flag]]=1,"Won","Lost")</f>
        <v>Lost</v>
      </c>
      <c r="BG126" s="8"/>
    </row>
    <row r="127" spans="1:59" x14ac:dyDescent="0.3">
      <c r="A127" s="10" t="s">
        <v>719</v>
      </c>
      <c r="B127" s="9">
        <v>45690</v>
      </c>
      <c r="C127" s="10" t="s">
        <v>219</v>
      </c>
      <c r="D127" s="10" t="s">
        <v>242</v>
      </c>
      <c r="E127" s="10" t="s">
        <v>20</v>
      </c>
      <c r="F127" s="10" t="s">
        <v>31</v>
      </c>
      <c r="G127" s="10" t="s">
        <v>33</v>
      </c>
      <c r="H127" s="10" t="s">
        <v>236</v>
      </c>
      <c r="I127" s="10" t="s">
        <v>183</v>
      </c>
      <c r="J127" s="10" t="s">
        <v>136</v>
      </c>
      <c r="K127" s="10" t="s">
        <v>223</v>
      </c>
      <c r="L127" s="10" t="s">
        <v>720</v>
      </c>
      <c r="M127" s="9">
        <v>45620</v>
      </c>
      <c r="N127" s="9">
        <v>45708</v>
      </c>
      <c r="O127" s="9">
        <v>45736</v>
      </c>
      <c r="P127" s="11">
        <v>41</v>
      </c>
      <c r="Q127" s="12">
        <v>18175033</v>
      </c>
      <c r="R127">
        <v>4949061.4858999997</v>
      </c>
      <c r="S127" s="22">
        <v>0.31</v>
      </c>
      <c r="T127" s="22">
        <v>0.05</v>
      </c>
      <c r="U127" s="12">
        <v>13167811.41</v>
      </c>
      <c r="V127" s="24">
        <v>3585595.0469430001</v>
      </c>
      <c r="W127" s="8">
        <v>11035215.050000001</v>
      </c>
      <c r="X127" s="24">
        <v>3004889.0581149999</v>
      </c>
      <c r="Y127" s="22">
        <v>0.22</v>
      </c>
      <c r="Z127" s="22">
        <v>0.09</v>
      </c>
      <c r="AA127" s="8" t="s">
        <v>721</v>
      </c>
      <c r="AB127" s="8">
        <v>5956291.9400000004</v>
      </c>
      <c r="AC127" s="24">
        <v>1621898.2952620001</v>
      </c>
      <c r="AD127" s="8">
        <v>4144572.82</v>
      </c>
      <c r="AE127" s="24">
        <v>1128567.1788859998</v>
      </c>
      <c r="AF127" s="8">
        <v>60</v>
      </c>
      <c r="AG127" s="8">
        <v>115</v>
      </c>
      <c r="AH127" s="8" t="s">
        <v>376</v>
      </c>
      <c r="AI127" s="8" t="s">
        <v>406</v>
      </c>
      <c r="AJ127" s="22">
        <v>0.71</v>
      </c>
      <c r="AK127" s="8" t="s">
        <v>153</v>
      </c>
      <c r="AL127" s="22">
        <v>0.05</v>
      </c>
      <c r="AM127" s="22">
        <v>0.02</v>
      </c>
      <c r="AN127" s="8">
        <v>6</v>
      </c>
      <c r="AO127" s="8">
        <v>1309</v>
      </c>
      <c r="AP127" s="8">
        <v>2866318.95</v>
      </c>
      <c r="AQ127" s="24">
        <v>780498.65008499997</v>
      </c>
      <c r="AR127" s="8">
        <v>5566379.0999999996</v>
      </c>
      <c r="AS127" s="37">
        <v>1515725.0289299998</v>
      </c>
      <c r="AT127" s="8" t="s">
        <v>355</v>
      </c>
      <c r="AU127" s="8" t="s">
        <v>348</v>
      </c>
      <c r="AV127" s="8"/>
      <c r="AW127" s="8">
        <v>12</v>
      </c>
      <c r="AX127" s="8" t="s">
        <v>392</v>
      </c>
      <c r="AY127" s="8" t="s">
        <v>186</v>
      </c>
      <c r="AZ127" s="8" t="s">
        <v>377</v>
      </c>
      <c r="BA127" s="21">
        <f>IF(OR(tblsales[[#This Row],[Invoice Value USD]]="",tblsales[[#This Row],[Collected Amount USD]]=""),"",tblsales[[#This Row],[Invoice Value USD]]-tblsales[[#This Row],[Collected Amount USD]])</f>
        <v>493331.11637600022</v>
      </c>
      <c r="BB127" s="21">
        <f>IF(OR(tblsales[[#This Row],[Contract Value USD]]="",tblsales[[#This Row],[Cost Estimate USD]]=""),"",tblsales[[#This Row],[Contract Value USD]]-tblsales[[#This Row],[Cost Estimate USD]])</f>
        <v>580705.98882800015</v>
      </c>
      <c r="BC127" s="21">
        <f>IF(OR(tblsales[[#This Row],[Contract Value USD]]="",tblsales[[#This Row],[Cost Estimate USD]]=""),"",tblsales[[#This Row],[Contract Value USD]]-tblsales[[#This Row],[Cost Estimate USD]])</f>
        <v>580705.98882800015</v>
      </c>
      <c r="BD127" s="23">
        <f>IF(tblsales[[#This Row],[Invoice Value USD]]="","",tblsales[[#This Row],[Collected Amount USD]]/tblsales[[#This Row],[Invoice Value USD]])</f>
        <v>0.6958310408136239</v>
      </c>
      <c r="BE127" s="11">
        <f>IF(tblsales[[#This Row],[SalesStage]]="Won",1,0)</f>
        <v>0</v>
      </c>
      <c r="BF127" s="21" t="str">
        <f>IF(tblsales[[#This Row],[Win Flag]]=1,"Won","Lost")</f>
        <v>Lost</v>
      </c>
      <c r="BG127" s="8"/>
    </row>
    <row r="128" spans="1:59" x14ac:dyDescent="0.3">
      <c r="A128" s="10" t="s">
        <v>722</v>
      </c>
      <c r="B128" s="9">
        <v>46051</v>
      </c>
      <c r="C128" s="10" t="s">
        <v>225</v>
      </c>
      <c r="D128" s="10" t="s">
        <v>255</v>
      </c>
      <c r="E128" s="10" t="s">
        <v>332</v>
      </c>
      <c r="F128" s="10" t="s">
        <v>181</v>
      </c>
      <c r="G128" s="10" t="s">
        <v>78</v>
      </c>
      <c r="H128" s="10" t="s">
        <v>332</v>
      </c>
      <c r="I128" s="10" t="s">
        <v>203</v>
      </c>
      <c r="J128" s="10" t="s">
        <v>130</v>
      </c>
      <c r="K128" s="10" t="s">
        <v>333</v>
      </c>
      <c r="L128" s="10" t="s">
        <v>723</v>
      </c>
      <c r="M128" s="9">
        <v>45977</v>
      </c>
      <c r="N128" s="9">
        <v>46114</v>
      </c>
      <c r="O128" s="9">
        <v>46330</v>
      </c>
      <c r="P128" s="11">
        <v>15</v>
      </c>
      <c r="Q128" s="12">
        <v>3332397</v>
      </c>
      <c r="R128">
        <v>3332397</v>
      </c>
      <c r="S128" s="22">
        <v>0.27</v>
      </c>
      <c r="T128" s="22">
        <v>0.09</v>
      </c>
      <c r="U128" s="12">
        <v>2651588.29</v>
      </c>
      <c r="V128" s="24">
        <v>2651588.29</v>
      </c>
      <c r="W128" s="8">
        <v>1921672.2</v>
      </c>
      <c r="X128" s="24">
        <v>1921672.2</v>
      </c>
      <c r="Y128" s="22">
        <v>0.14000000000000001</v>
      </c>
      <c r="Z128" s="22">
        <v>0.17</v>
      </c>
      <c r="AA128" s="8" t="s">
        <v>724</v>
      </c>
      <c r="AB128" s="8">
        <v>2152745.1</v>
      </c>
      <c r="AC128" s="24">
        <v>2152745.1</v>
      </c>
      <c r="AD128" s="8">
        <v>2115559.7000000002</v>
      </c>
      <c r="AE128" s="24">
        <v>2115559.7000000002</v>
      </c>
      <c r="AF128" s="8">
        <v>120</v>
      </c>
      <c r="AG128" s="8">
        <v>155</v>
      </c>
      <c r="AH128" s="8" t="s">
        <v>342</v>
      </c>
      <c r="AI128" s="8" t="s">
        <v>226</v>
      </c>
      <c r="AJ128" s="22">
        <v>0.68</v>
      </c>
      <c r="AK128" s="8" t="s">
        <v>152</v>
      </c>
      <c r="AL128" s="22">
        <v>0.15</v>
      </c>
      <c r="AM128" s="22">
        <v>0.01</v>
      </c>
      <c r="AN128" s="8">
        <v>14</v>
      </c>
      <c r="AO128" s="8">
        <v>2964</v>
      </c>
      <c r="AP128" s="8">
        <v>202723.99</v>
      </c>
      <c r="AQ128" s="24">
        <v>202723.99</v>
      </c>
      <c r="AR128" s="8">
        <v>826924.61</v>
      </c>
      <c r="AS128" s="37">
        <v>826924.61</v>
      </c>
      <c r="AT128" s="8" t="s">
        <v>385</v>
      </c>
      <c r="AU128" s="8" t="s">
        <v>386</v>
      </c>
      <c r="AV128" s="8">
        <v>58.6</v>
      </c>
      <c r="AW128" s="8">
        <v>24</v>
      </c>
      <c r="AX128" s="8" t="s">
        <v>387</v>
      </c>
      <c r="AY128" s="8" t="s">
        <v>186</v>
      </c>
      <c r="AZ128" s="8" t="s">
        <v>332</v>
      </c>
      <c r="BA128" s="21">
        <f>IF(OR(tblsales[[#This Row],[Invoice Value USD]]="",tblsales[[#This Row],[Collected Amount USD]]=""),"",tblsales[[#This Row],[Invoice Value USD]]-tblsales[[#This Row],[Collected Amount USD]])</f>
        <v>37185.399999999907</v>
      </c>
      <c r="BB128" s="21">
        <f>IF(OR(tblsales[[#This Row],[Contract Value USD]]="",tblsales[[#This Row],[Cost Estimate USD]]=""),"",tblsales[[#This Row],[Contract Value USD]]-tblsales[[#This Row],[Cost Estimate USD]])</f>
        <v>729916.09000000008</v>
      </c>
      <c r="BC128" s="21">
        <f>IF(OR(tblsales[[#This Row],[Contract Value USD]]="",tblsales[[#This Row],[Cost Estimate USD]]=""),"",tblsales[[#This Row],[Contract Value USD]]-tblsales[[#This Row],[Cost Estimate USD]])</f>
        <v>729916.09000000008</v>
      </c>
      <c r="BD128" s="23">
        <f>IF(tblsales[[#This Row],[Invoice Value USD]]="","",tblsales[[#This Row],[Collected Amount USD]]/tblsales[[#This Row],[Invoice Value USD]])</f>
        <v>0.98272651973519765</v>
      </c>
      <c r="BE128" s="11">
        <f>IF(tblsales[[#This Row],[SalesStage]]="Won",1,0)</f>
        <v>0</v>
      </c>
      <c r="BF128" s="21" t="str">
        <f>IF(tblsales[[#This Row],[Win Flag]]=1,"Won","Lost")</f>
        <v>Lost</v>
      </c>
      <c r="BG128" s="8"/>
    </row>
    <row r="129" spans="1:59" x14ac:dyDescent="0.3">
      <c r="A129" s="10" t="s">
        <v>725</v>
      </c>
      <c r="B129" s="9">
        <v>45673</v>
      </c>
      <c r="C129" s="10" t="s">
        <v>241</v>
      </c>
      <c r="D129" s="10" t="s">
        <v>253</v>
      </c>
      <c r="E129" s="10" t="s">
        <v>332</v>
      </c>
      <c r="F129" s="10" t="s">
        <v>35</v>
      </c>
      <c r="G129" s="10" t="s">
        <v>332</v>
      </c>
      <c r="H129" s="10" t="s">
        <v>216</v>
      </c>
      <c r="I129" s="10" t="s">
        <v>191</v>
      </c>
      <c r="J129" s="10" t="s">
        <v>130</v>
      </c>
      <c r="K129" s="10" t="s">
        <v>223</v>
      </c>
      <c r="L129" s="10" t="s">
        <v>726</v>
      </c>
      <c r="M129" s="9">
        <v>45619</v>
      </c>
      <c r="N129" s="9">
        <v>45730</v>
      </c>
      <c r="O129" s="9">
        <v>45760</v>
      </c>
      <c r="P129" s="11">
        <v>42</v>
      </c>
      <c r="Q129" s="12">
        <v>29900953</v>
      </c>
      <c r="R129">
        <v>8142029.5018999996</v>
      </c>
      <c r="S129" s="22">
        <v>0.06</v>
      </c>
      <c r="T129" s="22">
        <v>-0.05</v>
      </c>
      <c r="U129" s="12">
        <v>26701551.030000001</v>
      </c>
      <c r="V129" s="24">
        <v>7270832.3454689998</v>
      </c>
      <c r="W129" s="8">
        <v>21244051.09</v>
      </c>
      <c r="X129" s="24">
        <v>5784755.1118069999</v>
      </c>
      <c r="Y129" s="22">
        <v>0.36</v>
      </c>
      <c r="Z129" s="22">
        <v>0.17</v>
      </c>
      <c r="AA129" s="8" t="s">
        <v>727</v>
      </c>
      <c r="AB129" s="8">
        <v>19633913.100000001</v>
      </c>
      <c r="AC129" s="24">
        <v>5346314.5371300001</v>
      </c>
      <c r="AD129" s="8">
        <v>20712095.149999999</v>
      </c>
      <c r="AE129" s="24">
        <v>5639903.5093449997</v>
      </c>
      <c r="AF129" s="8">
        <v>30</v>
      </c>
      <c r="AG129" s="8">
        <v>87</v>
      </c>
      <c r="AH129" s="8" t="s">
        <v>332</v>
      </c>
      <c r="AI129" s="8" t="s">
        <v>336</v>
      </c>
      <c r="AJ129" s="22">
        <v>0.35</v>
      </c>
      <c r="AK129" s="8" t="s">
        <v>153</v>
      </c>
      <c r="AL129" s="22">
        <v>0.05</v>
      </c>
      <c r="AM129" s="22">
        <v>0.05</v>
      </c>
      <c r="AN129" s="8">
        <v>12</v>
      </c>
      <c r="AO129" s="8">
        <v>1042</v>
      </c>
      <c r="AP129" s="8">
        <v>3855216.71</v>
      </c>
      <c r="AQ129" s="24">
        <v>1049775.5101329999</v>
      </c>
      <c r="AR129" s="8">
        <v>8135125.3099999996</v>
      </c>
      <c r="AS129" s="37">
        <v>2215194.621913</v>
      </c>
      <c r="AT129" s="8" t="s">
        <v>73</v>
      </c>
      <c r="AU129" s="8" t="s">
        <v>330</v>
      </c>
      <c r="AV129" s="8">
        <v>94</v>
      </c>
      <c r="AW129" s="8">
        <v>36</v>
      </c>
      <c r="AX129" s="8" t="s">
        <v>332</v>
      </c>
      <c r="AY129" s="8" t="s">
        <v>186</v>
      </c>
      <c r="AZ129" s="8" t="s">
        <v>324</v>
      </c>
      <c r="BA129" s="21">
        <f>IF(OR(tblsales[[#This Row],[Invoice Value USD]]="",tblsales[[#This Row],[Collected Amount USD]]=""),"",tblsales[[#This Row],[Invoice Value USD]]-tblsales[[#This Row],[Collected Amount USD]])</f>
        <v>-293588.97221499961</v>
      </c>
      <c r="BB129" s="21">
        <f>IF(OR(tblsales[[#This Row],[Contract Value USD]]="",tblsales[[#This Row],[Cost Estimate USD]]=""),"",tblsales[[#This Row],[Contract Value USD]]-tblsales[[#This Row],[Cost Estimate USD]])</f>
        <v>1486077.2336619999</v>
      </c>
      <c r="BC129" s="21">
        <f>IF(OR(tblsales[[#This Row],[Contract Value USD]]="",tblsales[[#This Row],[Cost Estimate USD]]=""),"",tblsales[[#This Row],[Contract Value USD]]-tblsales[[#This Row],[Cost Estimate USD]])</f>
        <v>1486077.2336619999</v>
      </c>
      <c r="BD129" s="23">
        <f>IF(tblsales[[#This Row],[Invoice Value USD]]="","",tblsales[[#This Row],[Collected Amount USD]]/tblsales[[#This Row],[Invoice Value USD]])</f>
        <v>1.0549142722853346</v>
      </c>
      <c r="BE129" s="11">
        <f>IF(tblsales[[#This Row],[SalesStage]]="Won",1,0)</f>
        <v>0</v>
      </c>
      <c r="BF129" s="21" t="str">
        <f>IF(tblsales[[#This Row],[Win Flag]]=1,"Won","Lost")</f>
        <v>Lost</v>
      </c>
      <c r="BG129" s="8"/>
    </row>
    <row r="130" spans="1:59" x14ac:dyDescent="0.3">
      <c r="A130" s="10" t="s">
        <v>728</v>
      </c>
      <c r="B130" s="9">
        <v>46204</v>
      </c>
      <c r="C130" s="10" t="s">
        <v>278</v>
      </c>
      <c r="D130" s="10" t="s">
        <v>394</v>
      </c>
      <c r="E130" s="10" t="s">
        <v>52</v>
      </c>
      <c r="F130" s="10" t="s">
        <v>75</v>
      </c>
      <c r="G130" s="10" t="s">
        <v>16</v>
      </c>
      <c r="H130" s="10" t="s">
        <v>182</v>
      </c>
      <c r="I130" s="10" t="s">
        <v>213</v>
      </c>
      <c r="J130" s="10" t="s">
        <v>133</v>
      </c>
      <c r="K130" s="10" t="s">
        <v>221</v>
      </c>
      <c r="L130" s="10" t="s">
        <v>729</v>
      </c>
      <c r="M130" s="9">
        <v>46002</v>
      </c>
      <c r="N130" s="9"/>
      <c r="O130" s="9">
        <v>46111</v>
      </c>
      <c r="P130" s="11"/>
      <c r="Q130" s="12">
        <v>28569995</v>
      </c>
      <c r="R130">
        <v>7619617.6664999994</v>
      </c>
      <c r="S130" s="22">
        <v>0.35</v>
      </c>
      <c r="T130" s="22">
        <v>-0.02</v>
      </c>
      <c r="U130" s="12">
        <v>18199086.82</v>
      </c>
      <c r="V130" s="24">
        <v>4853696.4548939997</v>
      </c>
      <c r="W130" s="8">
        <v>11629562.189999999</v>
      </c>
      <c r="X130" s="24">
        <v>3101604.2360729999</v>
      </c>
      <c r="Y130" s="22">
        <v>0.08</v>
      </c>
      <c r="Z130" s="22">
        <v>0.15</v>
      </c>
      <c r="AA130" s="8" t="s">
        <v>730</v>
      </c>
      <c r="AB130" s="8">
        <v>1837268.39</v>
      </c>
      <c r="AC130" s="24">
        <v>489999.47961299994</v>
      </c>
      <c r="AD130" s="8">
        <v>1099390.3400000001</v>
      </c>
      <c r="AE130" s="24">
        <v>293207.40367800003</v>
      </c>
      <c r="AF130" s="8">
        <v>120</v>
      </c>
      <c r="AG130" s="8">
        <v>91</v>
      </c>
      <c r="AH130" s="8" t="s">
        <v>329</v>
      </c>
      <c r="AI130" s="8" t="s">
        <v>381</v>
      </c>
      <c r="AJ130" s="22">
        <v>0.17</v>
      </c>
      <c r="AK130" s="8" t="s">
        <v>162</v>
      </c>
      <c r="AL130" s="22">
        <v>0.15</v>
      </c>
      <c r="AM130" s="22">
        <v>0.09</v>
      </c>
      <c r="AN130" s="8">
        <v>14</v>
      </c>
      <c r="AO130" s="8">
        <v>3478</v>
      </c>
      <c r="AP130" s="8">
        <v>3248065.79</v>
      </c>
      <c r="AQ130" s="24">
        <v>866259.14619300002</v>
      </c>
      <c r="AR130" s="8">
        <v>7146540.8799999999</v>
      </c>
      <c r="AS130" s="37">
        <v>1905982.452696</v>
      </c>
      <c r="AT130" s="8" t="s">
        <v>73</v>
      </c>
      <c r="AU130" s="8" t="s">
        <v>330</v>
      </c>
      <c r="AV130" s="8">
        <v>75.900000000000006</v>
      </c>
      <c r="AW130" s="8">
        <v>24</v>
      </c>
      <c r="AX130" s="8" t="s">
        <v>332</v>
      </c>
      <c r="AY130" s="8" t="s">
        <v>206</v>
      </c>
      <c r="AZ130" s="8" t="s">
        <v>377</v>
      </c>
      <c r="BA130" s="21">
        <f>IF(OR(tblsales[[#This Row],[Invoice Value USD]]="",tblsales[[#This Row],[Collected Amount USD]]=""),"",tblsales[[#This Row],[Invoice Value USD]]-tblsales[[#This Row],[Collected Amount USD]])</f>
        <v>196792.07593499991</v>
      </c>
      <c r="BB130" s="21">
        <f>IF(OR(tblsales[[#This Row],[Contract Value USD]]="",tblsales[[#This Row],[Cost Estimate USD]]=""),"",tblsales[[#This Row],[Contract Value USD]]-tblsales[[#This Row],[Cost Estimate USD]])</f>
        <v>1752092.2188209998</v>
      </c>
      <c r="BC130" s="21">
        <f>IF(OR(tblsales[[#This Row],[Contract Value USD]]="",tblsales[[#This Row],[Cost Estimate USD]]=""),"",tblsales[[#This Row],[Contract Value USD]]-tblsales[[#This Row],[Cost Estimate USD]])</f>
        <v>1752092.2188209998</v>
      </c>
      <c r="BD130" s="23">
        <f>IF(tblsales[[#This Row],[Invoice Value USD]]="","",tblsales[[#This Row],[Collected Amount USD]]/tblsales[[#This Row],[Invoice Value USD]])</f>
        <v>0.59838309197710637</v>
      </c>
      <c r="BE130" s="11">
        <f>IF(tblsales[[#This Row],[SalesStage]]="Won",1,0)</f>
        <v>0</v>
      </c>
      <c r="BF130" s="21" t="str">
        <f>IF(tblsales[[#This Row],[Win Flag]]=1,"Won","Lost")</f>
        <v>Lost</v>
      </c>
      <c r="BG130" s="8"/>
    </row>
    <row r="131" spans="1:59" x14ac:dyDescent="0.3">
      <c r="A131" s="10" t="s">
        <v>731</v>
      </c>
      <c r="B131" s="9">
        <v>45928</v>
      </c>
      <c r="C131" s="10" t="s">
        <v>243</v>
      </c>
      <c r="D131" s="10" t="s">
        <v>190</v>
      </c>
      <c r="E131" s="10" t="s">
        <v>113</v>
      </c>
      <c r="F131" s="10" t="s">
        <v>367</v>
      </c>
      <c r="G131" s="10" t="s">
        <v>62</v>
      </c>
      <c r="H131" s="10" t="s">
        <v>212</v>
      </c>
      <c r="I131" s="10" t="s">
        <v>198</v>
      </c>
      <c r="J131" s="10" t="s">
        <v>127</v>
      </c>
      <c r="K131" s="10" t="s">
        <v>199</v>
      </c>
      <c r="L131" s="10" t="s">
        <v>732</v>
      </c>
      <c r="M131" s="9">
        <v>45882</v>
      </c>
      <c r="N131" s="9"/>
      <c r="O131" s="9">
        <v>45958</v>
      </c>
      <c r="P131" s="11">
        <v>7</v>
      </c>
      <c r="Q131" s="12">
        <v>8122748</v>
      </c>
      <c r="R131">
        <v>2211824.2804</v>
      </c>
      <c r="S131" s="22">
        <v>0.25</v>
      </c>
      <c r="T131" s="22">
        <v>0.06</v>
      </c>
      <c r="U131" s="12">
        <v>6457584.6600000001</v>
      </c>
      <c r="V131" s="24">
        <v>1758400.3029179999</v>
      </c>
      <c r="W131" s="8">
        <v>4683508.87</v>
      </c>
      <c r="X131" s="24">
        <v>1275319.465301</v>
      </c>
      <c r="Y131" s="22">
        <v>0.25</v>
      </c>
      <c r="Z131" s="22">
        <v>0.19</v>
      </c>
      <c r="AA131" s="8" t="s">
        <v>733</v>
      </c>
      <c r="AB131" s="8">
        <v>501859.46</v>
      </c>
      <c r="AC131" s="24">
        <v>136656.33095800001</v>
      </c>
      <c r="AD131" s="8">
        <v>213527.03</v>
      </c>
      <c r="AE131" s="24">
        <v>58143.410269</v>
      </c>
      <c r="AF131" s="8">
        <v>120</v>
      </c>
      <c r="AG131" s="8">
        <v>95</v>
      </c>
      <c r="AH131" s="8" t="s">
        <v>376</v>
      </c>
      <c r="AI131" s="8" t="s">
        <v>406</v>
      </c>
      <c r="AJ131" s="22">
        <v>0.92</v>
      </c>
      <c r="AK131" s="8" t="s">
        <v>153</v>
      </c>
      <c r="AL131" s="22">
        <v>0.05</v>
      </c>
      <c r="AM131" s="22">
        <v>0.06</v>
      </c>
      <c r="AN131" s="8">
        <v>13</v>
      </c>
      <c r="AO131" s="8">
        <v>3785</v>
      </c>
      <c r="AP131" s="8">
        <v>1120137.6200000001</v>
      </c>
      <c r="AQ131" s="24">
        <v>305013.47392600001</v>
      </c>
      <c r="AR131" s="8">
        <v>2525856.23</v>
      </c>
      <c r="AS131" s="37">
        <v>687790.65142899996</v>
      </c>
      <c r="AT131" s="8" t="s">
        <v>332</v>
      </c>
      <c r="AU131" s="8" t="s">
        <v>332</v>
      </c>
      <c r="AV131" s="8">
        <v>91.7</v>
      </c>
      <c r="AW131" s="8"/>
      <c r="AX131" s="8" t="s">
        <v>387</v>
      </c>
      <c r="AY131" s="8" t="s">
        <v>206</v>
      </c>
      <c r="AZ131" s="8" t="s">
        <v>357</v>
      </c>
      <c r="BA131" s="21">
        <f>IF(OR(tblsales[[#This Row],[Invoice Value USD]]="",tblsales[[#This Row],[Collected Amount USD]]=""),"",tblsales[[#This Row],[Invoice Value USD]]-tblsales[[#This Row],[Collected Amount USD]])</f>
        <v>78512.920689000006</v>
      </c>
      <c r="BB131" s="21">
        <f>IF(OR(tblsales[[#This Row],[Contract Value USD]]="",tblsales[[#This Row],[Cost Estimate USD]]=""),"",tblsales[[#This Row],[Contract Value USD]]-tblsales[[#This Row],[Cost Estimate USD]])</f>
        <v>483080.83761699987</v>
      </c>
      <c r="BC131" s="21">
        <f>IF(OR(tblsales[[#This Row],[Contract Value USD]]="",tblsales[[#This Row],[Cost Estimate USD]]=""),"",tblsales[[#This Row],[Contract Value USD]]-tblsales[[#This Row],[Cost Estimate USD]])</f>
        <v>483080.83761699987</v>
      </c>
      <c r="BD131" s="23">
        <f>IF(tblsales[[#This Row],[Invoice Value USD]]="","",tblsales[[#This Row],[Collected Amount USD]]/tblsales[[#This Row],[Invoice Value USD]])</f>
        <v>0.42547176454539681</v>
      </c>
      <c r="BE131" s="11">
        <f>IF(tblsales[[#This Row],[SalesStage]]="Won",1,0)</f>
        <v>0</v>
      </c>
      <c r="BF131" s="21" t="str">
        <f>IF(tblsales[[#This Row],[Win Flag]]=1,"Won","Lost")</f>
        <v>Lost</v>
      </c>
      <c r="BG131" s="8"/>
    </row>
    <row r="132" spans="1:59" x14ac:dyDescent="0.3">
      <c r="A132" s="10" t="s">
        <v>734</v>
      </c>
      <c r="B132" s="9">
        <v>45681</v>
      </c>
      <c r="C132" s="10" t="s">
        <v>266</v>
      </c>
      <c r="D132" s="10" t="s">
        <v>202</v>
      </c>
      <c r="E132" s="10" t="s">
        <v>20</v>
      </c>
      <c r="F132" s="10" t="s">
        <v>35</v>
      </c>
      <c r="G132" s="10" t="s">
        <v>33</v>
      </c>
      <c r="H132" s="10" t="s">
        <v>263</v>
      </c>
      <c r="I132" s="10" t="s">
        <v>198</v>
      </c>
      <c r="J132" s="10" t="s">
        <v>136</v>
      </c>
      <c r="K132" s="10" t="s">
        <v>221</v>
      </c>
      <c r="L132" s="10" t="s">
        <v>735</v>
      </c>
      <c r="M132" s="9">
        <v>45640</v>
      </c>
      <c r="N132" s="9"/>
      <c r="O132" s="9">
        <v>45781</v>
      </c>
      <c r="P132" s="11">
        <v>34</v>
      </c>
      <c r="Q132" s="12">
        <v>45192724</v>
      </c>
      <c r="R132">
        <v>12305978.745199999</v>
      </c>
      <c r="S132" s="22">
        <v>0.31</v>
      </c>
      <c r="T132" s="22">
        <v>0.13</v>
      </c>
      <c r="U132" s="12">
        <v>35236766.899999999</v>
      </c>
      <c r="V132" s="24">
        <v>9594971.6268699989</v>
      </c>
      <c r="W132" s="8">
        <v>21387976.640000001</v>
      </c>
      <c r="X132" s="24">
        <v>5823946.0390719995</v>
      </c>
      <c r="Y132" s="22">
        <v>0.2</v>
      </c>
      <c r="Z132" s="22">
        <v>0.18</v>
      </c>
      <c r="AA132" s="8" t="s">
        <v>736</v>
      </c>
      <c r="AB132" s="8">
        <v>21107847.010000002</v>
      </c>
      <c r="AC132" s="24">
        <v>5747666.7408229997</v>
      </c>
      <c r="AD132" s="8">
        <v>20955086.539999999</v>
      </c>
      <c r="AE132" s="24">
        <v>5706070.0648419997</v>
      </c>
      <c r="AF132" s="8">
        <v>30</v>
      </c>
      <c r="AG132" s="8">
        <v>147</v>
      </c>
      <c r="AH132" s="8" t="s">
        <v>353</v>
      </c>
      <c r="AI132" s="8" t="s">
        <v>406</v>
      </c>
      <c r="AJ132" s="22">
        <v>0.64</v>
      </c>
      <c r="AK132" s="8" t="s">
        <v>153</v>
      </c>
      <c r="AL132" s="22">
        <v>0.15</v>
      </c>
      <c r="AM132" s="22">
        <v>0.04</v>
      </c>
      <c r="AN132" s="8">
        <v>3</v>
      </c>
      <c r="AO132" s="8">
        <v>1506</v>
      </c>
      <c r="AP132" s="8">
        <v>1431126.12</v>
      </c>
      <c r="AQ132" s="24">
        <v>389695.64247600001</v>
      </c>
      <c r="AR132" s="8">
        <v>9264118.5999999996</v>
      </c>
      <c r="AS132" s="37">
        <v>2522619.4947799998</v>
      </c>
      <c r="AT132" s="8" t="s">
        <v>343</v>
      </c>
      <c r="AU132" s="8" t="s">
        <v>386</v>
      </c>
      <c r="AV132" s="8">
        <v>54.6</v>
      </c>
      <c r="AW132" s="8">
        <v>60</v>
      </c>
      <c r="AX132" s="8" t="s">
        <v>337</v>
      </c>
      <c r="AY132" s="8" t="s">
        <v>224</v>
      </c>
      <c r="AZ132" s="8" t="s">
        <v>377</v>
      </c>
      <c r="BA132" s="21">
        <f>IF(OR(tblsales[[#This Row],[Invoice Value USD]]="",tblsales[[#This Row],[Collected Amount USD]]=""),"",tblsales[[#This Row],[Invoice Value USD]]-tblsales[[#This Row],[Collected Amount USD]])</f>
        <v>41596.675981000066</v>
      </c>
      <c r="BB132" s="21">
        <f>IF(OR(tblsales[[#This Row],[Contract Value USD]]="",tblsales[[#This Row],[Cost Estimate USD]]=""),"",tblsales[[#This Row],[Contract Value USD]]-tblsales[[#This Row],[Cost Estimate USD]])</f>
        <v>3771025.5877979994</v>
      </c>
      <c r="BC132" s="21">
        <f>IF(OR(tblsales[[#This Row],[Contract Value USD]]="",tblsales[[#This Row],[Cost Estimate USD]]=""),"",tblsales[[#This Row],[Contract Value USD]]-tblsales[[#This Row],[Cost Estimate USD]])</f>
        <v>3771025.5877979994</v>
      </c>
      <c r="BD132" s="23">
        <f>IF(tblsales[[#This Row],[Invoice Value USD]]="","",tblsales[[#This Row],[Collected Amount USD]]/tblsales[[#This Row],[Invoice Value USD]])</f>
        <v>0.99276285876396442</v>
      </c>
      <c r="BE132" s="11">
        <f>IF(tblsales[[#This Row],[SalesStage]]="Won",1,0)</f>
        <v>0</v>
      </c>
      <c r="BF132" s="21" t="str">
        <f>IF(tblsales[[#This Row],[Win Flag]]=1,"Won","Lost")</f>
        <v>Lost</v>
      </c>
      <c r="BG132" s="8"/>
    </row>
    <row r="133" spans="1:59" x14ac:dyDescent="0.3">
      <c r="A133" s="10" t="s">
        <v>737</v>
      </c>
      <c r="B133" s="9">
        <v>45869</v>
      </c>
      <c r="C133" s="10" t="s">
        <v>189</v>
      </c>
      <c r="D133" s="10" t="s">
        <v>274</v>
      </c>
      <c r="E133" s="10" t="s">
        <v>113</v>
      </c>
      <c r="F133" s="10" t="s">
        <v>367</v>
      </c>
      <c r="G133" s="10" t="s">
        <v>46</v>
      </c>
      <c r="H133" s="10" t="s">
        <v>182</v>
      </c>
      <c r="I133" s="10" t="s">
        <v>198</v>
      </c>
      <c r="J133" s="10" t="s">
        <v>111</v>
      </c>
      <c r="K133" s="10" t="s">
        <v>204</v>
      </c>
      <c r="L133" s="10" t="s">
        <v>738</v>
      </c>
      <c r="M133" s="9">
        <v>45821</v>
      </c>
      <c r="N133" s="9">
        <v>45923</v>
      </c>
      <c r="O133" s="9">
        <v>45917</v>
      </c>
      <c r="P133" s="11">
        <v>13</v>
      </c>
      <c r="Q133" s="12">
        <v>21957887</v>
      </c>
      <c r="R133">
        <v>21957887</v>
      </c>
      <c r="S133" s="22">
        <v>0.1</v>
      </c>
      <c r="T133" s="22">
        <v>0.19</v>
      </c>
      <c r="U133" s="12">
        <v>23516896.98</v>
      </c>
      <c r="V133" s="24">
        <v>23516896.98</v>
      </c>
      <c r="W133" s="8">
        <v>17902489.199999999</v>
      </c>
      <c r="X133" s="24">
        <v>17902489.199999999</v>
      </c>
      <c r="Y133" s="22">
        <v>0.37</v>
      </c>
      <c r="Z133" s="22">
        <v>0.12</v>
      </c>
      <c r="AA133" s="8" t="s">
        <v>739</v>
      </c>
      <c r="AB133" s="8">
        <v>19156306.41</v>
      </c>
      <c r="AC133" s="24">
        <v>19156306.41</v>
      </c>
      <c r="AD133" s="8">
        <v>6541926.4299999997</v>
      </c>
      <c r="AE133" s="24">
        <v>6541926.4299999997</v>
      </c>
      <c r="AF133" s="8">
        <v>45</v>
      </c>
      <c r="AG133" s="8">
        <v>153</v>
      </c>
      <c r="AH133" s="8" t="s">
        <v>353</v>
      </c>
      <c r="AI133" s="8" t="s">
        <v>406</v>
      </c>
      <c r="AJ133" s="22">
        <v>0.6</v>
      </c>
      <c r="AK133" s="8" t="s">
        <v>152</v>
      </c>
      <c r="AL133" s="22">
        <v>0.1</v>
      </c>
      <c r="AM133" s="22">
        <v>0.06</v>
      </c>
      <c r="AN133" s="8">
        <v>12</v>
      </c>
      <c r="AO133" s="8">
        <v>14</v>
      </c>
      <c r="AP133" s="8"/>
      <c r="AQ133" s="24"/>
      <c r="AR133" s="8">
        <v>4922584.53</v>
      </c>
      <c r="AS133" s="37">
        <v>4922584.53</v>
      </c>
      <c r="AT133" s="8" t="s">
        <v>385</v>
      </c>
      <c r="AU133" s="8" t="s">
        <v>321</v>
      </c>
      <c r="AV133" s="8">
        <v>98.1</v>
      </c>
      <c r="AW133" s="8">
        <v>48</v>
      </c>
      <c r="AX133" s="8" t="s">
        <v>332</v>
      </c>
      <c r="AY133" s="8" t="s">
        <v>192</v>
      </c>
      <c r="AZ133" s="8" t="s">
        <v>332</v>
      </c>
      <c r="BA133" s="21">
        <f>IF(OR(tblsales[[#This Row],[Invoice Value USD]]="",tblsales[[#This Row],[Collected Amount USD]]=""),"",tblsales[[#This Row],[Invoice Value USD]]-tblsales[[#This Row],[Collected Amount USD]])</f>
        <v>12614379.98</v>
      </c>
      <c r="BB133" s="21">
        <f>IF(OR(tblsales[[#This Row],[Contract Value USD]]="",tblsales[[#This Row],[Cost Estimate USD]]=""),"",tblsales[[#This Row],[Contract Value USD]]-tblsales[[#This Row],[Cost Estimate USD]])</f>
        <v>5614407.7800000012</v>
      </c>
      <c r="BC133" s="21">
        <f>IF(OR(tblsales[[#This Row],[Contract Value USD]]="",tblsales[[#This Row],[Cost Estimate USD]]=""),"",tblsales[[#This Row],[Contract Value USD]]-tblsales[[#This Row],[Cost Estimate USD]])</f>
        <v>5614407.7800000012</v>
      </c>
      <c r="BD133" s="23">
        <f>IF(tblsales[[#This Row],[Invoice Value USD]]="","",tblsales[[#This Row],[Collected Amount USD]]/tblsales[[#This Row],[Invoice Value USD]])</f>
        <v>0.34150249479121791</v>
      </c>
      <c r="BE133" s="11">
        <f>IF(tblsales[[#This Row],[SalesStage]]="Won",1,0)</f>
        <v>0</v>
      </c>
      <c r="BF133" s="21" t="str">
        <f>IF(tblsales[[#This Row],[Win Flag]]=1,"Won","Lost")</f>
        <v>Lost</v>
      </c>
      <c r="BG133" s="8"/>
    </row>
    <row r="134" spans="1:59" x14ac:dyDescent="0.3">
      <c r="A134" s="10" t="s">
        <v>740</v>
      </c>
      <c r="B134" s="9">
        <v>45740</v>
      </c>
      <c r="C134" s="10" t="s">
        <v>247</v>
      </c>
      <c r="D134" s="10" t="s">
        <v>215</v>
      </c>
      <c r="E134" s="10" t="s">
        <v>41</v>
      </c>
      <c r="F134" s="10" t="s">
        <v>350</v>
      </c>
      <c r="G134" s="10" t="s">
        <v>66</v>
      </c>
      <c r="H134" s="10" t="s">
        <v>212</v>
      </c>
      <c r="I134" s="10" t="s">
        <v>240</v>
      </c>
      <c r="J134" s="10" t="s">
        <v>105</v>
      </c>
      <c r="K134" s="10" t="s">
        <v>184</v>
      </c>
      <c r="L134" s="10" t="s">
        <v>741</v>
      </c>
      <c r="M134" s="9">
        <v>45653</v>
      </c>
      <c r="N134" s="9"/>
      <c r="O134" s="9"/>
      <c r="P134" s="11">
        <v>38</v>
      </c>
      <c r="Q134" s="12">
        <v>49805727</v>
      </c>
      <c r="R134">
        <v>49805727</v>
      </c>
      <c r="S134" s="22">
        <v>0.19</v>
      </c>
      <c r="T134" s="22">
        <v>-0.03</v>
      </c>
      <c r="U134" s="12">
        <v>39132359.700000003</v>
      </c>
      <c r="V134" s="24">
        <v>39132359.700000003</v>
      </c>
      <c r="W134" s="8">
        <v>31735948.579999998</v>
      </c>
      <c r="X134" s="24">
        <v>31735948.579999998</v>
      </c>
      <c r="Y134" s="22">
        <v>0.24</v>
      </c>
      <c r="Z134" s="22">
        <v>0.17</v>
      </c>
      <c r="AA134" s="8" t="s">
        <v>742</v>
      </c>
      <c r="AB134" s="8">
        <v>4940767.1399999997</v>
      </c>
      <c r="AC134" s="24">
        <v>4940767.1399999997</v>
      </c>
      <c r="AD134" s="8">
        <v>4242851.41</v>
      </c>
      <c r="AE134" s="24">
        <v>4242851.41</v>
      </c>
      <c r="AF134" s="8">
        <v>45</v>
      </c>
      <c r="AG134" s="8">
        <v>143</v>
      </c>
      <c r="AH134" s="8" t="s">
        <v>347</v>
      </c>
      <c r="AI134" s="8" t="s">
        <v>381</v>
      </c>
      <c r="AJ134" s="22">
        <v>0.99</v>
      </c>
      <c r="AK134" s="8" t="s">
        <v>152</v>
      </c>
      <c r="AL134" s="22">
        <v>0.1</v>
      </c>
      <c r="AM134" s="22">
        <v>0.03</v>
      </c>
      <c r="AN134" s="8">
        <v>10</v>
      </c>
      <c r="AO134" s="8">
        <v>3093</v>
      </c>
      <c r="AP134" s="8">
        <v>4004497.34</v>
      </c>
      <c r="AQ134" s="24">
        <v>4004497.34</v>
      </c>
      <c r="AR134" s="8">
        <v>15934162.23</v>
      </c>
      <c r="AS134" s="37">
        <v>15934162.23</v>
      </c>
      <c r="AT134" s="8" t="s">
        <v>385</v>
      </c>
      <c r="AU134" s="8" t="s">
        <v>356</v>
      </c>
      <c r="AV134" s="8">
        <v>76.900000000000006</v>
      </c>
      <c r="AW134" s="8">
        <v>12</v>
      </c>
      <c r="AX134" s="8" t="s">
        <v>387</v>
      </c>
      <c r="AY134" s="8" t="s">
        <v>192</v>
      </c>
      <c r="AZ134" s="8" t="s">
        <v>332</v>
      </c>
      <c r="BA134" s="21">
        <f>IF(OR(tblsales[[#This Row],[Invoice Value USD]]="",tblsales[[#This Row],[Collected Amount USD]]=""),"",tblsales[[#This Row],[Invoice Value USD]]-tblsales[[#This Row],[Collected Amount USD]])</f>
        <v>697915.72999999952</v>
      </c>
      <c r="BB134" s="21">
        <f>IF(OR(tblsales[[#This Row],[Contract Value USD]]="",tblsales[[#This Row],[Cost Estimate USD]]=""),"",tblsales[[#This Row],[Contract Value USD]]-tblsales[[#This Row],[Cost Estimate USD]])</f>
        <v>7396411.1200000048</v>
      </c>
      <c r="BC134" s="21">
        <f>IF(OR(tblsales[[#This Row],[Contract Value USD]]="",tblsales[[#This Row],[Cost Estimate USD]]=""),"",tblsales[[#This Row],[Contract Value USD]]-tblsales[[#This Row],[Cost Estimate USD]])</f>
        <v>7396411.1200000048</v>
      </c>
      <c r="BD134" s="23">
        <f>IF(tblsales[[#This Row],[Invoice Value USD]]="","",tblsales[[#This Row],[Collected Amount USD]]/tblsales[[#This Row],[Invoice Value USD]])</f>
        <v>0.85874344808729453</v>
      </c>
      <c r="BE134" s="11">
        <f>IF(tblsales[[#This Row],[SalesStage]]="Won",1,0)</f>
        <v>0</v>
      </c>
      <c r="BF134" s="21" t="str">
        <f>IF(tblsales[[#This Row],[Win Flag]]=1,"Won","Lost")</f>
        <v>Lost</v>
      </c>
      <c r="BG134" s="8"/>
    </row>
    <row r="135" spans="1:59" x14ac:dyDescent="0.3">
      <c r="A135" s="10" t="s">
        <v>743</v>
      </c>
      <c r="B135" s="9">
        <v>46046</v>
      </c>
      <c r="C135" s="10" t="s">
        <v>217</v>
      </c>
      <c r="D135" s="10" t="s">
        <v>245</v>
      </c>
      <c r="E135" s="10" t="s">
        <v>52</v>
      </c>
      <c r="F135" s="10" t="s">
        <v>75</v>
      </c>
      <c r="G135" s="10" t="s">
        <v>70</v>
      </c>
      <c r="H135" s="10" t="s">
        <v>332</v>
      </c>
      <c r="I135" s="10" t="s">
        <v>191</v>
      </c>
      <c r="J135" s="10" t="s">
        <v>133</v>
      </c>
      <c r="K135" s="10" t="s">
        <v>204</v>
      </c>
      <c r="L135" s="10" t="s">
        <v>744</v>
      </c>
      <c r="M135" s="9">
        <v>46174</v>
      </c>
      <c r="N135" s="9">
        <v>46024</v>
      </c>
      <c r="O135" s="9">
        <v>46105</v>
      </c>
      <c r="P135" s="11">
        <v>46</v>
      </c>
      <c r="Q135" s="12">
        <v>19066615</v>
      </c>
      <c r="R135">
        <v>5085066.2204999998</v>
      </c>
      <c r="S135" s="22">
        <v>0.24</v>
      </c>
      <c r="T135" s="22">
        <v>0.13</v>
      </c>
      <c r="U135" s="12">
        <v>16374408.960000001</v>
      </c>
      <c r="V135" s="24">
        <v>4367054.8696320001</v>
      </c>
      <c r="W135" s="8"/>
      <c r="X135" s="24"/>
      <c r="Y135" s="22">
        <v>0.28999999999999998</v>
      </c>
      <c r="Z135" s="22">
        <v>0.14000000000000001</v>
      </c>
      <c r="AA135" s="8" t="s">
        <v>745</v>
      </c>
      <c r="AB135" s="8">
        <v>3484227.38</v>
      </c>
      <c r="AC135" s="24">
        <v>929243.44224599993</v>
      </c>
      <c r="AD135" s="8">
        <v>3320554.61</v>
      </c>
      <c r="AE135" s="24">
        <v>885591.91448699997</v>
      </c>
      <c r="AF135" s="8">
        <v>60</v>
      </c>
      <c r="AG135" s="8">
        <v>57</v>
      </c>
      <c r="AH135" s="8" t="s">
        <v>342</v>
      </c>
      <c r="AI135" s="8" t="s">
        <v>455</v>
      </c>
      <c r="AJ135" s="22">
        <v>0.27</v>
      </c>
      <c r="AK135" s="8" t="s">
        <v>162</v>
      </c>
      <c r="AL135" s="22">
        <v>0.1</v>
      </c>
      <c r="AM135" s="22">
        <v>0.1</v>
      </c>
      <c r="AN135" s="8">
        <v>1</v>
      </c>
      <c r="AO135" s="8">
        <v>434</v>
      </c>
      <c r="AP135" s="8">
        <v>1543940.25</v>
      </c>
      <c r="AQ135" s="24">
        <v>411768.86467499996</v>
      </c>
      <c r="AR135" s="8">
        <v>4302381.82</v>
      </c>
      <c r="AS135" s="37">
        <v>1147445.2313940001</v>
      </c>
      <c r="AT135" s="8" t="s">
        <v>385</v>
      </c>
      <c r="AU135" s="8" t="s">
        <v>356</v>
      </c>
      <c r="AV135" s="8">
        <v>72.7</v>
      </c>
      <c r="AW135" s="8">
        <v>60</v>
      </c>
      <c r="AX135" s="8" t="s">
        <v>323</v>
      </c>
      <c r="AY135" s="8" t="s">
        <v>186</v>
      </c>
      <c r="AZ135" s="8" t="s">
        <v>188</v>
      </c>
      <c r="BA135" s="21">
        <f>IF(OR(tblsales[[#This Row],[Invoice Value USD]]="",tblsales[[#This Row],[Collected Amount USD]]=""),"",tblsales[[#This Row],[Invoice Value USD]]-tblsales[[#This Row],[Collected Amount USD]])</f>
        <v>43651.52775899996</v>
      </c>
      <c r="BB135" s="21" t="str">
        <f>IF(OR(tblsales[[#This Row],[Contract Value USD]]="",tblsales[[#This Row],[Cost Estimate USD]]=""),"",tblsales[[#This Row],[Contract Value USD]]-tblsales[[#This Row],[Cost Estimate USD]])</f>
        <v/>
      </c>
      <c r="BC135" s="21" t="str">
        <f>IF(OR(tblsales[[#This Row],[Contract Value USD]]="",tblsales[[#This Row],[Cost Estimate USD]]=""),"",tblsales[[#This Row],[Contract Value USD]]-tblsales[[#This Row],[Cost Estimate USD]])</f>
        <v/>
      </c>
      <c r="BD135" s="23">
        <f>IF(tblsales[[#This Row],[Invoice Value USD]]="","",tblsales[[#This Row],[Collected Amount USD]]/tblsales[[#This Row],[Invoice Value USD]])</f>
        <v>0.95302465879824416</v>
      </c>
      <c r="BE135" s="11">
        <f>IF(tblsales[[#This Row],[SalesStage]]="Won",1,0)</f>
        <v>0</v>
      </c>
      <c r="BF135" s="21" t="str">
        <f>IF(tblsales[[#This Row],[Win Flag]]=1,"Won","Lost")</f>
        <v>Lost</v>
      </c>
      <c r="BG135" s="8"/>
    </row>
    <row r="136" spans="1:59" x14ac:dyDescent="0.3">
      <c r="A136" s="10" t="s">
        <v>746</v>
      </c>
      <c r="B136" s="9">
        <v>45873</v>
      </c>
      <c r="C136" s="10" t="s">
        <v>257</v>
      </c>
      <c r="D136" s="10" t="s">
        <v>202</v>
      </c>
      <c r="E136" s="10" t="s">
        <v>41</v>
      </c>
      <c r="F136" s="10" t="s">
        <v>332</v>
      </c>
      <c r="G136" s="10" t="s">
        <v>33</v>
      </c>
      <c r="H136" s="10" t="s">
        <v>236</v>
      </c>
      <c r="I136" s="10" t="s">
        <v>213</v>
      </c>
      <c r="J136" s="10" t="s">
        <v>130</v>
      </c>
      <c r="K136" s="10" t="s">
        <v>210</v>
      </c>
      <c r="L136" s="10" t="s">
        <v>747</v>
      </c>
      <c r="M136" s="9">
        <v>45803</v>
      </c>
      <c r="N136" s="9">
        <v>45926</v>
      </c>
      <c r="O136" s="9">
        <v>45969</v>
      </c>
      <c r="P136" s="11">
        <v>52</v>
      </c>
      <c r="Q136" s="12">
        <v>35929449</v>
      </c>
      <c r="R136">
        <v>9869819.6403000001</v>
      </c>
      <c r="S136" s="22">
        <v>0.16</v>
      </c>
      <c r="T136" s="22">
        <v>-0.05</v>
      </c>
      <c r="U136" s="12">
        <v>28671700.300000001</v>
      </c>
      <c r="V136" s="24">
        <v>7876116.0724100005</v>
      </c>
      <c r="W136" s="8">
        <v>20975035.949999999</v>
      </c>
      <c r="X136" s="24">
        <v>5761842.375465</v>
      </c>
      <c r="Y136" s="22">
        <v>0.21</v>
      </c>
      <c r="Z136" s="22">
        <v>7.0000000000000007E-2</v>
      </c>
      <c r="AA136" s="8" t="s">
        <v>748</v>
      </c>
      <c r="AB136" s="8">
        <v>6176369.3300000001</v>
      </c>
      <c r="AC136" s="24">
        <v>1696648.6549510001</v>
      </c>
      <c r="AD136" s="8">
        <v>2257136.39</v>
      </c>
      <c r="AE136" s="24">
        <v>620035.36633300001</v>
      </c>
      <c r="AF136" s="8">
        <v>120</v>
      </c>
      <c r="AG136" s="8">
        <v>7</v>
      </c>
      <c r="AH136" s="8" t="s">
        <v>376</v>
      </c>
      <c r="AI136" s="8" t="s">
        <v>226</v>
      </c>
      <c r="AJ136" s="22">
        <v>0.98</v>
      </c>
      <c r="AK136" s="8" t="s">
        <v>155</v>
      </c>
      <c r="AL136" s="22">
        <v>0.05</v>
      </c>
      <c r="AM136" s="22">
        <v>0.1</v>
      </c>
      <c r="AN136" s="8">
        <v>13</v>
      </c>
      <c r="AO136" s="8">
        <v>3630</v>
      </c>
      <c r="AP136" s="8"/>
      <c r="AQ136" s="24"/>
      <c r="AR136" s="8">
        <v>7819793.2699999996</v>
      </c>
      <c r="AS136" s="37">
        <v>2148097.2112690001</v>
      </c>
      <c r="AT136" s="8" t="s">
        <v>332</v>
      </c>
      <c r="AU136" s="8" t="s">
        <v>321</v>
      </c>
      <c r="AV136" s="8">
        <v>68.900000000000006</v>
      </c>
      <c r="AW136" s="8">
        <v>12</v>
      </c>
      <c r="AX136" s="8" t="s">
        <v>387</v>
      </c>
      <c r="AY136" s="8" t="s">
        <v>229</v>
      </c>
      <c r="AZ136" s="8" t="s">
        <v>332</v>
      </c>
      <c r="BA136" s="21">
        <f>IF(OR(tblsales[[#This Row],[Invoice Value USD]]="",tblsales[[#This Row],[Collected Amount USD]]=""),"",tblsales[[#This Row],[Invoice Value USD]]-tblsales[[#This Row],[Collected Amount USD]])</f>
        <v>1076613.2886180002</v>
      </c>
      <c r="BB136" s="21">
        <f>IF(OR(tblsales[[#This Row],[Contract Value USD]]="",tblsales[[#This Row],[Cost Estimate USD]]=""),"",tblsales[[#This Row],[Contract Value USD]]-tblsales[[#This Row],[Cost Estimate USD]])</f>
        <v>2114273.6969450004</v>
      </c>
      <c r="BC136" s="21">
        <f>IF(OR(tblsales[[#This Row],[Contract Value USD]]="",tblsales[[#This Row],[Cost Estimate USD]]=""),"",tblsales[[#This Row],[Contract Value USD]]-tblsales[[#This Row],[Cost Estimate USD]])</f>
        <v>2114273.6969450004</v>
      </c>
      <c r="BD136" s="23">
        <f>IF(tblsales[[#This Row],[Invoice Value USD]]="","",tblsales[[#This Row],[Collected Amount USD]]/tblsales[[#This Row],[Invoice Value USD]])</f>
        <v>0.36544712101923477</v>
      </c>
      <c r="BE136" s="11">
        <f>IF(tblsales[[#This Row],[SalesStage]]="Won",1,0)</f>
        <v>0</v>
      </c>
      <c r="BF136" s="21" t="str">
        <f>IF(tblsales[[#This Row],[Win Flag]]=1,"Won","Lost")</f>
        <v>Lost</v>
      </c>
      <c r="BG136" s="8"/>
    </row>
    <row r="137" spans="1:59" x14ac:dyDescent="0.3">
      <c r="A137" s="10" t="s">
        <v>749</v>
      </c>
      <c r="B137" s="9">
        <v>45777</v>
      </c>
      <c r="C137" s="10" t="s">
        <v>270</v>
      </c>
      <c r="D137" s="10" t="s">
        <v>220</v>
      </c>
      <c r="E137" s="10" t="s">
        <v>20</v>
      </c>
      <c r="F137" s="10" t="s">
        <v>196</v>
      </c>
      <c r="G137" s="10" t="s">
        <v>62</v>
      </c>
      <c r="H137" s="10" t="s">
        <v>216</v>
      </c>
      <c r="I137" s="10" t="s">
        <v>203</v>
      </c>
      <c r="J137" s="10" t="s">
        <v>136</v>
      </c>
      <c r="K137" s="10" t="s">
        <v>204</v>
      </c>
      <c r="L137" s="10" t="s">
        <v>750</v>
      </c>
      <c r="M137" s="9">
        <v>45736</v>
      </c>
      <c r="N137" s="9">
        <v>45721</v>
      </c>
      <c r="O137" s="9">
        <v>45862</v>
      </c>
      <c r="P137" s="11">
        <v>59</v>
      </c>
      <c r="Q137" s="12">
        <v>40436854</v>
      </c>
      <c r="R137">
        <v>40436854</v>
      </c>
      <c r="S137" s="22">
        <v>0.28000000000000003</v>
      </c>
      <c r="T137" s="22">
        <v>0.11</v>
      </c>
      <c r="U137" s="12">
        <v>32317133.719999999</v>
      </c>
      <c r="V137" s="24">
        <v>32317133.719999999</v>
      </c>
      <c r="W137" s="8">
        <v>20802131.940000001</v>
      </c>
      <c r="X137" s="24">
        <v>20802131.940000001</v>
      </c>
      <c r="Y137" s="22">
        <v>0.26</v>
      </c>
      <c r="Z137" s="22">
        <v>0.09</v>
      </c>
      <c r="AA137" s="8" t="s">
        <v>751</v>
      </c>
      <c r="AB137" s="8">
        <v>14070865.789999999</v>
      </c>
      <c r="AC137" s="24">
        <v>14070865.789999999</v>
      </c>
      <c r="AD137" s="8">
        <v>9446718.8200000003</v>
      </c>
      <c r="AE137" s="24">
        <v>9446718.8200000003</v>
      </c>
      <c r="AF137" s="8">
        <v>90</v>
      </c>
      <c r="AG137" s="8">
        <v>159</v>
      </c>
      <c r="AH137" s="8" t="s">
        <v>353</v>
      </c>
      <c r="AI137" s="8" t="s">
        <v>320</v>
      </c>
      <c r="AJ137" s="22">
        <v>0.63</v>
      </c>
      <c r="AK137" s="8" t="s">
        <v>152</v>
      </c>
      <c r="AL137" s="22">
        <v>0.1</v>
      </c>
      <c r="AM137" s="22">
        <v>7.0000000000000007E-2</v>
      </c>
      <c r="AN137" s="8">
        <v>0</v>
      </c>
      <c r="AO137" s="8">
        <v>4593</v>
      </c>
      <c r="AP137" s="8">
        <v>3783498.13</v>
      </c>
      <c r="AQ137" s="24">
        <v>3783498.13</v>
      </c>
      <c r="AR137" s="8">
        <v>5821891.6100000003</v>
      </c>
      <c r="AS137" s="37">
        <v>5821891.6100000003</v>
      </c>
      <c r="AT137" s="8" t="s">
        <v>343</v>
      </c>
      <c r="AU137" s="8" t="s">
        <v>321</v>
      </c>
      <c r="AV137" s="8">
        <v>82.9</v>
      </c>
      <c r="AW137" s="8">
        <v>12</v>
      </c>
      <c r="AX137" s="8" t="s">
        <v>332</v>
      </c>
      <c r="AY137" s="8" t="s">
        <v>186</v>
      </c>
      <c r="AZ137" s="8" t="s">
        <v>188</v>
      </c>
      <c r="BA137" s="21">
        <f>IF(OR(tblsales[[#This Row],[Invoice Value USD]]="",tblsales[[#This Row],[Collected Amount USD]]=""),"",tblsales[[#This Row],[Invoice Value USD]]-tblsales[[#This Row],[Collected Amount USD]])</f>
        <v>4624146.9699999988</v>
      </c>
      <c r="BB137" s="21">
        <f>IF(OR(tblsales[[#This Row],[Contract Value USD]]="",tblsales[[#This Row],[Cost Estimate USD]]=""),"",tblsales[[#This Row],[Contract Value USD]]-tblsales[[#This Row],[Cost Estimate USD]])</f>
        <v>11515001.779999997</v>
      </c>
      <c r="BC137" s="21">
        <f>IF(OR(tblsales[[#This Row],[Contract Value USD]]="",tblsales[[#This Row],[Cost Estimate USD]]=""),"",tblsales[[#This Row],[Contract Value USD]]-tblsales[[#This Row],[Cost Estimate USD]])</f>
        <v>11515001.779999997</v>
      </c>
      <c r="BD137" s="23">
        <f>IF(tblsales[[#This Row],[Invoice Value USD]]="","",tblsales[[#This Row],[Collected Amount USD]]/tblsales[[#This Row],[Invoice Value USD]])</f>
        <v>0.67136727483490555</v>
      </c>
      <c r="BE137" s="11">
        <f>IF(tblsales[[#This Row],[SalesStage]]="Won",1,0)</f>
        <v>1</v>
      </c>
      <c r="BF137" s="21" t="str">
        <f>IF(tblsales[[#This Row],[Win Flag]]=1,"Won","Lost")</f>
        <v>Won</v>
      </c>
      <c r="BG137" s="8"/>
    </row>
    <row r="138" spans="1:59" x14ac:dyDescent="0.3">
      <c r="A138" s="10" t="s">
        <v>752</v>
      </c>
      <c r="B138" s="9">
        <v>45954</v>
      </c>
      <c r="C138" s="10" t="s">
        <v>251</v>
      </c>
      <c r="D138" s="10" t="s">
        <v>265</v>
      </c>
      <c r="E138" s="10" t="s">
        <v>41</v>
      </c>
      <c r="F138" s="10" t="s">
        <v>350</v>
      </c>
      <c r="G138" s="10" t="s">
        <v>33</v>
      </c>
      <c r="H138" s="10" t="s">
        <v>182</v>
      </c>
      <c r="I138" s="10" t="s">
        <v>183</v>
      </c>
      <c r="J138" s="10" t="s">
        <v>105</v>
      </c>
      <c r="K138" s="10" t="s">
        <v>223</v>
      </c>
      <c r="L138" s="10" t="s">
        <v>753</v>
      </c>
      <c r="M138" s="9">
        <v>45910</v>
      </c>
      <c r="N138" s="9"/>
      <c r="O138" s="9">
        <v>46012</v>
      </c>
      <c r="P138" s="11">
        <v>24</v>
      </c>
      <c r="Q138" s="12"/>
      <c r="S138" s="22">
        <v>0.34</v>
      </c>
      <c r="T138" s="22">
        <v>0.1</v>
      </c>
      <c r="U138" s="12">
        <v>27726027.120000001</v>
      </c>
      <c r="V138" s="24">
        <v>7549797.1847759997</v>
      </c>
      <c r="W138" s="8">
        <v>18681499.800000001</v>
      </c>
      <c r="X138" s="24">
        <v>5086972.3955399999</v>
      </c>
      <c r="Y138" s="22">
        <v>0.11</v>
      </c>
      <c r="Z138" s="22">
        <v>0.09</v>
      </c>
      <c r="AA138" s="8" t="s">
        <v>754</v>
      </c>
      <c r="AB138" s="8">
        <v>11253744.74</v>
      </c>
      <c r="AC138" s="24">
        <v>3064394.692702</v>
      </c>
      <c r="AD138" s="8">
        <v>4837129.46</v>
      </c>
      <c r="AE138" s="24">
        <v>1317150.3519579999</v>
      </c>
      <c r="AF138" s="8">
        <v>90</v>
      </c>
      <c r="AG138" s="8">
        <v>11</v>
      </c>
      <c r="AH138" s="8" t="s">
        <v>376</v>
      </c>
      <c r="AI138" s="8" t="s">
        <v>455</v>
      </c>
      <c r="AJ138" s="22">
        <v>0.52</v>
      </c>
      <c r="AK138" s="8" t="s">
        <v>153</v>
      </c>
      <c r="AL138" s="22">
        <v>0.05</v>
      </c>
      <c r="AM138" s="22">
        <v>7.0000000000000007E-2</v>
      </c>
      <c r="AN138" s="8">
        <v>7</v>
      </c>
      <c r="AO138" s="8">
        <v>919</v>
      </c>
      <c r="AP138" s="8">
        <v>1895201.41</v>
      </c>
      <c r="AQ138" s="24">
        <v>516063.34394299996</v>
      </c>
      <c r="AR138" s="8">
        <v>6872069.4400000004</v>
      </c>
      <c r="AS138" s="37">
        <v>1871264.5085120001</v>
      </c>
      <c r="AT138" s="8" t="s">
        <v>391</v>
      </c>
      <c r="AU138" s="8" t="s">
        <v>321</v>
      </c>
      <c r="AV138" s="8"/>
      <c r="AW138" s="8">
        <v>24</v>
      </c>
      <c r="AX138" s="8" t="s">
        <v>387</v>
      </c>
      <c r="AY138" s="8" t="s">
        <v>224</v>
      </c>
      <c r="AZ138" s="8" t="s">
        <v>188</v>
      </c>
      <c r="BA138" s="21">
        <f>IF(OR(tblsales[[#This Row],[Invoice Value USD]]="",tblsales[[#This Row],[Collected Amount USD]]=""),"",tblsales[[#This Row],[Invoice Value USD]]-tblsales[[#This Row],[Collected Amount USD]])</f>
        <v>1747244.3407440002</v>
      </c>
      <c r="BB138" s="21">
        <f>IF(OR(tblsales[[#This Row],[Contract Value USD]]="",tblsales[[#This Row],[Cost Estimate USD]]=""),"",tblsales[[#This Row],[Contract Value USD]]-tblsales[[#This Row],[Cost Estimate USD]])</f>
        <v>2462824.7892359998</v>
      </c>
      <c r="BC138" s="21">
        <f>IF(OR(tblsales[[#This Row],[Contract Value USD]]="",tblsales[[#This Row],[Cost Estimate USD]]=""),"",tblsales[[#This Row],[Contract Value USD]]-tblsales[[#This Row],[Cost Estimate USD]])</f>
        <v>2462824.7892359998</v>
      </c>
      <c r="BD138" s="23">
        <f>IF(tblsales[[#This Row],[Invoice Value USD]]="","",tblsales[[#This Row],[Collected Amount USD]]/tblsales[[#This Row],[Invoice Value USD]])</f>
        <v>0.42982398941456701</v>
      </c>
      <c r="BE138" s="11">
        <f>IF(tblsales[[#This Row],[SalesStage]]="Won",1,0)</f>
        <v>0</v>
      </c>
      <c r="BF138" s="21" t="str">
        <f>IF(tblsales[[#This Row],[Win Flag]]=1,"Won","Lost")</f>
        <v>Lost</v>
      </c>
      <c r="BG138" s="8"/>
    </row>
    <row r="139" spans="1:59" x14ac:dyDescent="0.3">
      <c r="A139" s="10" t="s">
        <v>755</v>
      </c>
      <c r="B139" s="9">
        <v>45724</v>
      </c>
      <c r="C139" s="10" t="s">
        <v>231</v>
      </c>
      <c r="D139" s="10" t="s">
        <v>202</v>
      </c>
      <c r="E139" s="10" t="s">
        <v>332</v>
      </c>
      <c r="F139" s="10" t="s">
        <v>228</v>
      </c>
      <c r="G139" s="10" t="s">
        <v>33</v>
      </c>
      <c r="H139" s="10" t="s">
        <v>182</v>
      </c>
      <c r="I139" s="10" t="s">
        <v>203</v>
      </c>
      <c r="J139" s="10" t="s">
        <v>130</v>
      </c>
      <c r="K139" s="10" t="s">
        <v>326</v>
      </c>
      <c r="L139" s="10" t="s">
        <v>756</v>
      </c>
      <c r="M139" s="9">
        <v>45649</v>
      </c>
      <c r="N139" s="9">
        <v>45812</v>
      </c>
      <c r="O139" s="9">
        <v>45801</v>
      </c>
      <c r="P139" s="11">
        <v>34</v>
      </c>
      <c r="Q139" s="12">
        <v>12926600</v>
      </c>
      <c r="R139">
        <v>3550937.02</v>
      </c>
      <c r="S139" s="22">
        <v>0.08</v>
      </c>
      <c r="T139" s="22">
        <v>0.04</v>
      </c>
      <c r="U139" s="12">
        <v>12368170.880000001</v>
      </c>
      <c r="V139" s="24">
        <v>3397536.5407360001</v>
      </c>
      <c r="W139" s="8">
        <v>9577367.4000000004</v>
      </c>
      <c r="X139" s="24">
        <v>2630902.8247799999</v>
      </c>
      <c r="Y139" s="22">
        <v>0.33</v>
      </c>
      <c r="Z139" s="22">
        <v>0.15</v>
      </c>
      <c r="AA139" s="8" t="s">
        <v>757</v>
      </c>
      <c r="AB139" s="8">
        <v>4552934.04</v>
      </c>
      <c r="AC139" s="24">
        <v>1250690.9807879999</v>
      </c>
      <c r="AD139" s="8">
        <v>3549646.44</v>
      </c>
      <c r="AE139" s="24">
        <v>975087.87706800003</v>
      </c>
      <c r="AF139" s="8">
        <v>45</v>
      </c>
      <c r="AG139" s="8">
        <v>12</v>
      </c>
      <c r="AH139" s="8" t="s">
        <v>353</v>
      </c>
      <c r="AI139" s="8" t="s">
        <v>354</v>
      </c>
      <c r="AJ139" s="22">
        <v>0.77</v>
      </c>
      <c r="AK139" s="8" t="s">
        <v>155</v>
      </c>
      <c r="AL139" s="22">
        <v>0.15</v>
      </c>
      <c r="AM139" s="22">
        <v>0.03</v>
      </c>
      <c r="AN139" s="8">
        <v>9</v>
      </c>
      <c r="AO139" s="8">
        <v>3099</v>
      </c>
      <c r="AP139" s="8">
        <v>2908557.8</v>
      </c>
      <c r="AQ139" s="24">
        <v>798980.82765999995</v>
      </c>
      <c r="AR139" s="8">
        <v>3960545.44</v>
      </c>
      <c r="AS139" s="37">
        <v>1087961.8323679999</v>
      </c>
      <c r="AT139" s="8" t="s">
        <v>343</v>
      </c>
      <c r="AU139" s="8" t="s">
        <v>322</v>
      </c>
      <c r="AV139" s="8">
        <v>60.2</v>
      </c>
      <c r="AW139" s="8">
        <v>12</v>
      </c>
      <c r="AX139" s="8" t="s">
        <v>392</v>
      </c>
      <c r="AY139" s="8" t="s">
        <v>206</v>
      </c>
      <c r="AZ139" s="8" t="s">
        <v>324</v>
      </c>
      <c r="BA139" s="21">
        <f>IF(OR(tblsales[[#This Row],[Invoice Value USD]]="",tblsales[[#This Row],[Collected Amount USD]]=""),"",tblsales[[#This Row],[Invoice Value USD]]-tblsales[[#This Row],[Collected Amount USD]])</f>
        <v>275603.1037199999</v>
      </c>
      <c r="BB139" s="21">
        <f>IF(OR(tblsales[[#This Row],[Contract Value USD]]="",tblsales[[#This Row],[Cost Estimate USD]]=""),"",tblsales[[#This Row],[Contract Value USD]]-tblsales[[#This Row],[Cost Estimate USD]])</f>
        <v>766633.71595600015</v>
      </c>
      <c r="BC139" s="21">
        <f>IF(OR(tblsales[[#This Row],[Contract Value USD]]="",tblsales[[#This Row],[Cost Estimate USD]]=""),"",tblsales[[#This Row],[Contract Value USD]]-tblsales[[#This Row],[Cost Estimate USD]])</f>
        <v>766633.71595600015</v>
      </c>
      <c r="BD139" s="23">
        <f>IF(tblsales[[#This Row],[Invoice Value USD]]="","",tblsales[[#This Row],[Collected Amount USD]]/tblsales[[#This Row],[Invoice Value USD]])</f>
        <v>0.77963932901606459</v>
      </c>
      <c r="BE139" s="11">
        <f>IF(tblsales[[#This Row],[SalesStage]]="Won",1,0)</f>
        <v>0</v>
      </c>
      <c r="BF139" s="21" t="str">
        <f>IF(tblsales[[#This Row],[Win Flag]]=1,"Won","Lost")</f>
        <v>Lost</v>
      </c>
      <c r="BG139" s="8"/>
    </row>
    <row r="140" spans="1:59" x14ac:dyDescent="0.3">
      <c r="A140" s="10" t="s">
        <v>758</v>
      </c>
      <c r="B140" s="9">
        <v>45976</v>
      </c>
      <c r="C140" s="10" t="s">
        <v>217</v>
      </c>
      <c r="D140" s="10" t="s">
        <v>255</v>
      </c>
      <c r="E140" s="10" t="s">
        <v>20</v>
      </c>
      <c r="F140" s="10" t="s">
        <v>196</v>
      </c>
      <c r="G140" s="10" t="s">
        <v>80</v>
      </c>
      <c r="H140" s="10" t="s">
        <v>263</v>
      </c>
      <c r="I140" s="10" t="s">
        <v>240</v>
      </c>
      <c r="J140" s="10" t="s">
        <v>136</v>
      </c>
      <c r="K140" s="10" t="s">
        <v>199</v>
      </c>
      <c r="L140" s="10" t="s">
        <v>759</v>
      </c>
      <c r="M140" s="9">
        <v>45931</v>
      </c>
      <c r="N140" s="9">
        <v>45984</v>
      </c>
      <c r="O140" s="9"/>
      <c r="P140" s="11">
        <v>55</v>
      </c>
      <c r="Q140" s="12">
        <v>22773675</v>
      </c>
      <c r="R140">
        <v>6201271.7024999997</v>
      </c>
      <c r="S140" s="22">
        <v>0.15</v>
      </c>
      <c r="T140" s="22">
        <v>7.0000000000000007E-2</v>
      </c>
      <c r="U140" s="12">
        <v>20712657.41</v>
      </c>
      <c r="V140" s="24">
        <v>5640056.6127429996</v>
      </c>
      <c r="W140" s="8">
        <v>18621770.579999998</v>
      </c>
      <c r="X140" s="24">
        <v>5070708.1289339997</v>
      </c>
      <c r="Y140" s="22">
        <v>0.34</v>
      </c>
      <c r="Z140" s="22">
        <v>0.16</v>
      </c>
      <c r="AA140" s="8" t="s">
        <v>760</v>
      </c>
      <c r="AB140" s="8">
        <v>8235556.79</v>
      </c>
      <c r="AC140" s="24">
        <v>2242542.1139170001</v>
      </c>
      <c r="AD140" s="8">
        <v>7771100.8099999996</v>
      </c>
      <c r="AE140" s="24">
        <v>2116070.7505629999</v>
      </c>
      <c r="AF140" s="8">
        <v>60</v>
      </c>
      <c r="AG140" s="8">
        <v>70</v>
      </c>
      <c r="AH140" s="8" t="s">
        <v>353</v>
      </c>
      <c r="AI140" s="8" t="s">
        <v>336</v>
      </c>
      <c r="AJ140" s="22">
        <v>0.41</v>
      </c>
      <c r="AK140" s="8" t="s">
        <v>153</v>
      </c>
      <c r="AL140" s="22">
        <v>0.05</v>
      </c>
      <c r="AM140" s="22">
        <v>0.05</v>
      </c>
      <c r="AN140" s="8">
        <v>8</v>
      </c>
      <c r="AO140" s="8">
        <v>1729</v>
      </c>
      <c r="AP140" s="8">
        <v>2871599.31</v>
      </c>
      <c r="AQ140" s="24">
        <v>781936.49211300001</v>
      </c>
      <c r="AR140" s="8">
        <v>8348205.9100000001</v>
      </c>
      <c r="AS140" s="37">
        <v>2273216.4692929997</v>
      </c>
      <c r="AT140" s="8" t="s">
        <v>343</v>
      </c>
      <c r="AU140" s="8" t="s">
        <v>321</v>
      </c>
      <c r="AV140" s="8">
        <v>75.599999999999994</v>
      </c>
      <c r="AW140" s="8">
        <v>48</v>
      </c>
      <c r="AX140" s="8" t="s">
        <v>392</v>
      </c>
      <c r="AY140" s="8" t="s">
        <v>229</v>
      </c>
      <c r="AZ140" s="8" t="s">
        <v>377</v>
      </c>
      <c r="BA140" s="21">
        <f>IF(OR(tblsales[[#This Row],[Invoice Value USD]]="",tblsales[[#This Row],[Collected Amount USD]]=""),"",tblsales[[#This Row],[Invoice Value USD]]-tblsales[[#This Row],[Collected Amount USD]])</f>
        <v>126471.36335400026</v>
      </c>
      <c r="BB140" s="21">
        <f>IF(OR(tblsales[[#This Row],[Contract Value USD]]="",tblsales[[#This Row],[Cost Estimate USD]]=""),"",tblsales[[#This Row],[Contract Value USD]]-tblsales[[#This Row],[Cost Estimate USD]])</f>
        <v>569348.48380899988</v>
      </c>
      <c r="BC140" s="21">
        <f>IF(OR(tblsales[[#This Row],[Contract Value USD]]="",tblsales[[#This Row],[Cost Estimate USD]]=""),"",tblsales[[#This Row],[Contract Value USD]]-tblsales[[#This Row],[Cost Estimate USD]])</f>
        <v>569348.48380899988</v>
      </c>
      <c r="BD140" s="23">
        <f>IF(tblsales[[#This Row],[Invoice Value USD]]="","",tblsales[[#This Row],[Collected Amount USD]]/tblsales[[#This Row],[Invoice Value USD]])</f>
        <v>0.94360357267356043</v>
      </c>
      <c r="BE140" s="11">
        <f>IF(tblsales[[#This Row],[SalesStage]]="Won",1,0)</f>
        <v>0</v>
      </c>
      <c r="BF140" s="21" t="str">
        <f>IF(tblsales[[#This Row],[Win Flag]]=1,"Won","Lost")</f>
        <v>Lost</v>
      </c>
      <c r="BG140" s="8"/>
    </row>
    <row r="141" spans="1:59" x14ac:dyDescent="0.3">
      <c r="A141" s="10" t="s">
        <v>761</v>
      </c>
      <c r="B141" s="9">
        <v>45888</v>
      </c>
      <c r="C141" s="10" t="s">
        <v>286</v>
      </c>
      <c r="D141" s="10" t="s">
        <v>332</v>
      </c>
      <c r="E141" s="10" t="s">
        <v>20</v>
      </c>
      <c r="F141" s="10" t="s">
        <v>332</v>
      </c>
      <c r="G141" s="10" t="s">
        <v>50</v>
      </c>
      <c r="H141" s="10" t="s">
        <v>332</v>
      </c>
      <c r="I141" s="10" t="s">
        <v>240</v>
      </c>
      <c r="J141" s="10" t="s">
        <v>99</v>
      </c>
      <c r="K141" s="10" t="s">
        <v>326</v>
      </c>
      <c r="L141" s="10" t="s">
        <v>762</v>
      </c>
      <c r="M141" s="9">
        <v>45830</v>
      </c>
      <c r="N141" s="9">
        <v>45892</v>
      </c>
      <c r="O141" s="9"/>
      <c r="P141" s="11">
        <v>39</v>
      </c>
      <c r="Q141" s="12">
        <v>37676731</v>
      </c>
      <c r="R141">
        <v>37676731</v>
      </c>
      <c r="S141" s="22">
        <v>0.02</v>
      </c>
      <c r="T141" s="22">
        <v>-0.02</v>
      </c>
      <c r="U141" s="12">
        <v>36184732.450000003</v>
      </c>
      <c r="V141" s="24">
        <v>36184732.450000003</v>
      </c>
      <c r="W141" s="8">
        <v>28647488.57</v>
      </c>
      <c r="X141" s="24">
        <v>28647488.57</v>
      </c>
      <c r="Y141" s="22">
        <v>0.11</v>
      </c>
      <c r="Z141" s="22">
        <v>0.15</v>
      </c>
      <c r="AA141" s="8" t="s">
        <v>763</v>
      </c>
      <c r="AB141" s="8">
        <v>28683191.59</v>
      </c>
      <c r="AC141" s="24">
        <v>28683191.59</v>
      </c>
      <c r="AD141" s="8">
        <v>15616780.18</v>
      </c>
      <c r="AE141" s="24">
        <v>15616780.18</v>
      </c>
      <c r="AF141" s="8">
        <v>30</v>
      </c>
      <c r="AG141" s="8">
        <v>128</v>
      </c>
      <c r="AH141" s="8" t="s">
        <v>347</v>
      </c>
      <c r="AI141" s="8" t="s">
        <v>406</v>
      </c>
      <c r="AJ141" s="22">
        <v>0.81</v>
      </c>
      <c r="AK141" s="8" t="s">
        <v>152</v>
      </c>
      <c r="AL141" s="22">
        <v>0.1</v>
      </c>
      <c r="AM141" s="22">
        <v>0.04</v>
      </c>
      <c r="AN141" s="8">
        <v>13</v>
      </c>
      <c r="AO141" s="8"/>
      <c r="AP141" s="8">
        <v>8308355.4800000004</v>
      </c>
      <c r="AQ141" s="24">
        <v>8308355.4800000004</v>
      </c>
      <c r="AR141" s="8">
        <v>6598536.3099999996</v>
      </c>
      <c r="AS141" s="37">
        <v>6598536.3099999996</v>
      </c>
      <c r="AT141" s="8" t="s">
        <v>391</v>
      </c>
      <c r="AU141" s="8" t="s">
        <v>322</v>
      </c>
      <c r="AV141" s="8"/>
      <c r="AW141" s="8">
        <v>60</v>
      </c>
      <c r="AX141" s="8" t="s">
        <v>332</v>
      </c>
      <c r="AY141" s="8" t="s">
        <v>229</v>
      </c>
      <c r="AZ141" s="8" t="s">
        <v>332</v>
      </c>
      <c r="BA141" s="21">
        <f>IF(OR(tblsales[[#This Row],[Invoice Value USD]]="",tblsales[[#This Row],[Collected Amount USD]]=""),"",tblsales[[#This Row],[Invoice Value USD]]-tblsales[[#This Row],[Collected Amount USD]])</f>
        <v>13066411.41</v>
      </c>
      <c r="BB141" s="21">
        <f>IF(OR(tblsales[[#This Row],[Contract Value USD]]="",tblsales[[#This Row],[Cost Estimate USD]]=""),"",tblsales[[#This Row],[Contract Value USD]]-tblsales[[#This Row],[Cost Estimate USD]])</f>
        <v>7537243.8800000027</v>
      </c>
      <c r="BC141" s="21">
        <f>IF(OR(tblsales[[#This Row],[Contract Value USD]]="",tblsales[[#This Row],[Cost Estimate USD]]=""),"",tblsales[[#This Row],[Contract Value USD]]-tblsales[[#This Row],[Cost Estimate USD]])</f>
        <v>7537243.8800000027</v>
      </c>
      <c r="BD141" s="23">
        <f>IF(tblsales[[#This Row],[Invoice Value USD]]="","",tblsales[[#This Row],[Collected Amount USD]]/tblsales[[#This Row],[Invoice Value USD]])</f>
        <v>0.54445754863083562</v>
      </c>
      <c r="BE141" s="11">
        <f>IF(tblsales[[#This Row],[SalesStage]]="Won",1,0)</f>
        <v>0</v>
      </c>
      <c r="BF141" s="21" t="str">
        <f>IF(tblsales[[#This Row],[Win Flag]]=1,"Won","Lost")</f>
        <v>Lost</v>
      </c>
      <c r="BG141" s="8"/>
    </row>
    <row r="142" spans="1:59" x14ac:dyDescent="0.3">
      <c r="A142" s="10" t="s">
        <v>764</v>
      </c>
      <c r="B142" s="9">
        <v>45858</v>
      </c>
      <c r="C142" s="10" t="s">
        <v>222</v>
      </c>
      <c r="D142" s="10" t="s">
        <v>332</v>
      </c>
      <c r="E142" s="10" t="s">
        <v>36</v>
      </c>
      <c r="F142" s="10" t="s">
        <v>339</v>
      </c>
      <c r="G142" s="10" t="s">
        <v>38</v>
      </c>
      <c r="H142" s="10" t="s">
        <v>263</v>
      </c>
      <c r="I142" s="10" t="s">
        <v>183</v>
      </c>
      <c r="J142" s="10" t="s">
        <v>115</v>
      </c>
      <c r="K142" s="10" t="s">
        <v>333</v>
      </c>
      <c r="L142" s="10" t="s">
        <v>765</v>
      </c>
      <c r="M142" s="9">
        <v>45790</v>
      </c>
      <c r="N142" s="9">
        <v>45786</v>
      </c>
      <c r="O142" s="9">
        <v>45946</v>
      </c>
      <c r="P142" s="11">
        <v>48</v>
      </c>
      <c r="Q142" s="12">
        <v>10738470</v>
      </c>
      <c r="R142">
        <v>2924085.3810000001</v>
      </c>
      <c r="S142" s="22">
        <v>0.35</v>
      </c>
      <c r="T142" s="22">
        <v>-0.02</v>
      </c>
      <c r="U142" s="12">
        <v>6840405.3899999997</v>
      </c>
      <c r="V142" s="24">
        <v>1862642.3876969998</v>
      </c>
      <c r="W142" s="8">
        <v>4906808.2300000004</v>
      </c>
      <c r="X142" s="24">
        <v>1336123.881029</v>
      </c>
      <c r="Y142" s="22">
        <v>0.35</v>
      </c>
      <c r="Z142" s="22">
        <v>0.11</v>
      </c>
      <c r="AA142" s="8" t="s">
        <v>766</v>
      </c>
      <c r="AB142" s="8">
        <v>2774818.81</v>
      </c>
      <c r="AC142" s="24">
        <v>755583.16196299996</v>
      </c>
      <c r="AD142" s="8">
        <v>2482114.84</v>
      </c>
      <c r="AE142" s="24">
        <v>675879.87093199987</v>
      </c>
      <c r="AF142" s="8">
        <v>90</v>
      </c>
      <c r="AG142" s="8">
        <v>53</v>
      </c>
      <c r="AH142" s="8" t="s">
        <v>353</v>
      </c>
      <c r="AI142" s="8" t="s">
        <v>381</v>
      </c>
      <c r="AJ142" s="22">
        <v>0.17</v>
      </c>
      <c r="AK142" s="8" t="s">
        <v>153</v>
      </c>
      <c r="AL142" s="22">
        <v>0.05</v>
      </c>
      <c r="AM142" s="22">
        <v>0.04</v>
      </c>
      <c r="AN142" s="8">
        <v>15</v>
      </c>
      <c r="AO142" s="8">
        <v>4668</v>
      </c>
      <c r="AP142" s="8">
        <v>1235981.18</v>
      </c>
      <c r="AQ142" s="24">
        <v>336557.67531399999</v>
      </c>
      <c r="AR142" s="8"/>
      <c r="AS142" s="37"/>
      <c r="AT142" s="8" t="s">
        <v>385</v>
      </c>
      <c r="AU142" s="8" t="s">
        <v>322</v>
      </c>
      <c r="AV142" s="8">
        <v>86.7</v>
      </c>
      <c r="AW142" s="8">
        <v>24</v>
      </c>
      <c r="AX142" s="8" t="s">
        <v>337</v>
      </c>
      <c r="AY142" s="8" t="s">
        <v>224</v>
      </c>
      <c r="AZ142" s="8" t="s">
        <v>188</v>
      </c>
      <c r="BA142" s="21">
        <f>IF(OR(tblsales[[#This Row],[Invoice Value USD]]="",tblsales[[#This Row],[Collected Amount USD]]=""),"",tblsales[[#This Row],[Invoice Value USD]]-tblsales[[#This Row],[Collected Amount USD]])</f>
        <v>79703.291031000088</v>
      </c>
      <c r="BB142" s="21">
        <f>IF(OR(tblsales[[#This Row],[Contract Value USD]]="",tblsales[[#This Row],[Cost Estimate USD]]=""),"",tblsales[[#This Row],[Contract Value USD]]-tblsales[[#This Row],[Cost Estimate USD]])</f>
        <v>526518.50666799978</v>
      </c>
      <c r="BC142" s="21">
        <f>IF(OR(tblsales[[#This Row],[Contract Value USD]]="",tblsales[[#This Row],[Cost Estimate USD]]=""),"",tblsales[[#This Row],[Contract Value USD]]-tblsales[[#This Row],[Cost Estimate USD]])</f>
        <v>526518.50666799978</v>
      </c>
      <c r="BD142" s="23">
        <f>IF(tblsales[[#This Row],[Invoice Value USD]]="","",tblsales[[#This Row],[Collected Amount USD]]/tblsales[[#This Row],[Invoice Value USD]])</f>
        <v>0.89451420433466056</v>
      </c>
      <c r="BE142" s="11">
        <f>IF(tblsales[[#This Row],[SalesStage]]="Won",1,0)</f>
        <v>0</v>
      </c>
      <c r="BF142" s="21" t="str">
        <f>IF(tblsales[[#This Row],[Win Flag]]=1,"Won","Lost")</f>
        <v>Lost</v>
      </c>
      <c r="BG142" s="8"/>
    </row>
    <row r="143" spans="1:59" x14ac:dyDescent="0.3">
      <c r="A143" s="10" t="s">
        <v>767</v>
      </c>
      <c r="B143" s="9">
        <v>45910</v>
      </c>
      <c r="C143" s="10" t="s">
        <v>254</v>
      </c>
      <c r="D143" s="10" t="s">
        <v>220</v>
      </c>
      <c r="E143" s="10" t="s">
        <v>20</v>
      </c>
      <c r="F143" s="10" t="s">
        <v>35</v>
      </c>
      <c r="G143" s="10" t="s">
        <v>16</v>
      </c>
      <c r="H143" s="10" t="s">
        <v>182</v>
      </c>
      <c r="I143" s="10" t="s">
        <v>198</v>
      </c>
      <c r="J143" s="10" t="s">
        <v>136</v>
      </c>
      <c r="K143" s="10" t="s">
        <v>333</v>
      </c>
      <c r="L143" s="10" t="s">
        <v>768</v>
      </c>
      <c r="M143" s="9">
        <v>45838</v>
      </c>
      <c r="N143" s="9"/>
      <c r="O143" s="9">
        <v>45941</v>
      </c>
      <c r="P143" s="11">
        <v>55</v>
      </c>
      <c r="Q143" s="12">
        <v>27800409</v>
      </c>
      <c r="R143">
        <v>27800409</v>
      </c>
      <c r="S143" s="22">
        <v>0.35</v>
      </c>
      <c r="T143" s="22">
        <v>0.09</v>
      </c>
      <c r="U143" s="12">
        <v>19696589.780000001</v>
      </c>
      <c r="V143" s="24">
        <v>19696589.780000001</v>
      </c>
      <c r="W143" s="8">
        <v>12771464.98</v>
      </c>
      <c r="X143" s="24">
        <v>12771464.98</v>
      </c>
      <c r="Y143" s="22">
        <v>0.26</v>
      </c>
      <c r="Z143" s="22">
        <v>0.08</v>
      </c>
      <c r="AA143" s="8" t="s">
        <v>769</v>
      </c>
      <c r="AB143" s="8">
        <v>17648517.190000001</v>
      </c>
      <c r="AC143" s="24">
        <v>17648517.190000001</v>
      </c>
      <c r="AD143" s="8">
        <v>6375119.3099999996</v>
      </c>
      <c r="AE143" s="24">
        <v>6375119.3099999996</v>
      </c>
      <c r="AF143" s="8">
        <v>30</v>
      </c>
      <c r="AG143" s="8">
        <v>130</v>
      </c>
      <c r="AH143" s="8" t="s">
        <v>329</v>
      </c>
      <c r="AI143" s="8" t="s">
        <v>381</v>
      </c>
      <c r="AJ143" s="22">
        <v>0.77</v>
      </c>
      <c r="AK143" s="8" t="s">
        <v>152</v>
      </c>
      <c r="AL143" s="22">
        <v>0.1</v>
      </c>
      <c r="AM143" s="22">
        <v>0.05</v>
      </c>
      <c r="AN143" s="8">
        <v>5</v>
      </c>
      <c r="AO143" s="8"/>
      <c r="AP143" s="8">
        <v>2390207.52</v>
      </c>
      <c r="AQ143" s="24">
        <v>2390207.52</v>
      </c>
      <c r="AR143" s="8">
        <v>7598253.1600000001</v>
      </c>
      <c r="AS143" s="37">
        <v>7598253.1600000001</v>
      </c>
      <c r="AT143" s="8" t="s">
        <v>332</v>
      </c>
      <c r="AU143" s="8" t="s">
        <v>321</v>
      </c>
      <c r="AV143" s="8">
        <v>69.5</v>
      </c>
      <c r="AW143" s="8">
        <v>60</v>
      </c>
      <c r="AX143" s="8" t="s">
        <v>332</v>
      </c>
      <c r="AY143" s="8" t="s">
        <v>192</v>
      </c>
      <c r="AZ143" s="8" t="s">
        <v>332</v>
      </c>
      <c r="BA143" s="21">
        <f>IF(OR(tblsales[[#This Row],[Invoice Value USD]]="",tblsales[[#This Row],[Collected Amount USD]]=""),"",tblsales[[#This Row],[Invoice Value USD]]-tblsales[[#This Row],[Collected Amount USD]])</f>
        <v>11273397.880000003</v>
      </c>
      <c r="BB143" s="21">
        <f>IF(OR(tblsales[[#This Row],[Contract Value USD]]="",tblsales[[#This Row],[Cost Estimate USD]]=""),"",tblsales[[#This Row],[Contract Value USD]]-tblsales[[#This Row],[Cost Estimate USD]])</f>
        <v>6925124.8000000007</v>
      </c>
      <c r="BC143" s="21">
        <f>IF(OR(tblsales[[#This Row],[Contract Value USD]]="",tblsales[[#This Row],[Cost Estimate USD]]=""),"",tblsales[[#This Row],[Contract Value USD]]-tblsales[[#This Row],[Cost Estimate USD]])</f>
        <v>6925124.8000000007</v>
      </c>
      <c r="BD143" s="23">
        <f>IF(tblsales[[#This Row],[Invoice Value USD]]="","",tblsales[[#This Row],[Collected Amount USD]]/tblsales[[#This Row],[Invoice Value USD]])</f>
        <v>0.36122690883131348</v>
      </c>
      <c r="BE143" s="11">
        <f>IF(tblsales[[#This Row],[SalesStage]]="Won",1,0)</f>
        <v>0</v>
      </c>
      <c r="BF143" s="21" t="str">
        <f>IF(tblsales[[#This Row],[Win Flag]]=1,"Won","Lost")</f>
        <v>Lost</v>
      </c>
      <c r="BG143" s="8"/>
    </row>
    <row r="144" spans="1:59" x14ac:dyDescent="0.3">
      <c r="A144" s="10" t="s">
        <v>770</v>
      </c>
      <c r="B144" s="9">
        <v>45857</v>
      </c>
      <c r="C144" s="10" t="s">
        <v>282</v>
      </c>
      <c r="D144" s="10" t="s">
        <v>209</v>
      </c>
      <c r="E144" s="10" t="s">
        <v>113</v>
      </c>
      <c r="F144" s="10" t="s">
        <v>181</v>
      </c>
      <c r="G144" s="10" t="s">
        <v>332</v>
      </c>
      <c r="H144" s="10" t="s">
        <v>182</v>
      </c>
      <c r="I144" s="10" t="s">
        <v>213</v>
      </c>
      <c r="J144" s="10" t="s">
        <v>127</v>
      </c>
      <c r="K144" s="10" t="s">
        <v>221</v>
      </c>
      <c r="L144" s="10" t="s">
        <v>771</v>
      </c>
      <c r="M144" s="9">
        <v>45768</v>
      </c>
      <c r="N144" s="9">
        <v>45882</v>
      </c>
      <c r="O144" s="9"/>
      <c r="P144" s="11">
        <v>25</v>
      </c>
      <c r="Q144" s="12">
        <v>46528383</v>
      </c>
      <c r="R144">
        <v>12409119.746099999</v>
      </c>
      <c r="S144" s="22">
        <v>0.11</v>
      </c>
      <c r="T144" s="22">
        <v>-0.04</v>
      </c>
      <c r="U144" s="12">
        <v>39753850.439999998</v>
      </c>
      <c r="V144" s="24">
        <v>10602351.912347998</v>
      </c>
      <c r="W144" s="8">
        <v>24031137.859999999</v>
      </c>
      <c r="X144" s="24">
        <v>6409104.4672619998</v>
      </c>
      <c r="Y144" s="22">
        <v>0.05</v>
      </c>
      <c r="Z144" s="22">
        <v>0.08</v>
      </c>
      <c r="AA144" s="8" t="s">
        <v>772</v>
      </c>
      <c r="AB144" s="8">
        <v>2145351.2400000002</v>
      </c>
      <c r="AC144" s="24">
        <v>572165.17570800008</v>
      </c>
      <c r="AD144" s="8">
        <v>1969277.45</v>
      </c>
      <c r="AE144" s="24">
        <v>525206.29591500002</v>
      </c>
      <c r="AF144" s="8">
        <v>45</v>
      </c>
      <c r="AG144" s="8">
        <v>64</v>
      </c>
      <c r="AH144" s="8" t="s">
        <v>376</v>
      </c>
      <c r="AI144" s="8" t="s">
        <v>381</v>
      </c>
      <c r="AJ144" s="22">
        <v>0.4</v>
      </c>
      <c r="AK144" s="8" t="s">
        <v>162</v>
      </c>
      <c r="AL144" s="22">
        <v>0.05</v>
      </c>
      <c r="AM144" s="22">
        <v>0.03</v>
      </c>
      <c r="AN144" s="8">
        <v>0</v>
      </c>
      <c r="AO144" s="8">
        <v>561</v>
      </c>
      <c r="AP144" s="8">
        <v>4553893.9000000004</v>
      </c>
      <c r="AQ144" s="24">
        <v>1214523.5031300001</v>
      </c>
      <c r="AR144" s="8">
        <v>11919413.27</v>
      </c>
      <c r="AS144" s="37">
        <v>3178907.519109</v>
      </c>
      <c r="AT144" s="8" t="s">
        <v>73</v>
      </c>
      <c r="AU144" s="8" t="s">
        <v>322</v>
      </c>
      <c r="AV144" s="8"/>
      <c r="AW144" s="8">
        <v>60</v>
      </c>
      <c r="AX144" s="8" t="s">
        <v>332</v>
      </c>
      <c r="AY144" s="8" t="s">
        <v>224</v>
      </c>
      <c r="AZ144" s="8" t="s">
        <v>361</v>
      </c>
      <c r="BA144" s="21">
        <f>IF(OR(tblsales[[#This Row],[Invoice Value USD]]="",tblsales[[#This Row],[Collected Amount USD]]=""),"",tblsales[[#This Row],[Invoice Value USD]]-tblsales[[#This Row],[Collected Amount USD]])</f>
        <v>46958.879793000058</v>
      </c>
      <c r="BB144" s="21">
        <f>IF(OR(tblsales[[#This Row],[Contract Value USD]]="",tblsales[[#This Row],[Cost Estimate USD]]=""),"",tblsales[[#This Row],[Contract Value USD]]-tblsales[[#This Row],[Cost Estimate USD]])</f>
        <v>4193247.4450859986</v>
      </c>
      <c r="BC144" s="21">
        <f>IF(OR(tblsales[[#This Row],[Contract Value USD]]="",tblsales[[#This Row],[Cost Estimate USD]]=""),"",tblsales[[#This Row],[Contract Value USD]]-tblsales[[#This Row],[Cost Estimate USD]])</f>
        <v>4193247.4450859986</v>
      </c>
      <c r="BD144" s="23">
        <f>IF(tblsales[[#This Row],[Invoice Value USD]]="","",tblsales[[#This Row],[Collected Amount USD]]/tblsales[[#This Row],[Invoice Value USD]])</f>
        <v>0.9179277562027558</v>
      </c>
      <c r="BE144" s="11">
        <f>IF(tblsales[[#This Row],[SalesStage]]="Won",1,0)</f>
        <v>0</v>
      </c>
      <c r="BF144" s="21" t="str">
        <f>IF(tblsales[[#This Row],[Win Flag]]=1,"Won","Lost")</f>
        <v>Lost</v>
      </c>
      <c r="BG144" s="8"/>
    </row>
    <row r="145" spans="1:61" x14ac:dyDescent="0.3">
      <c r="A145" s="10" t="s">
        <v>773</v>
      </c>
      <c r="B145" s="9">
        <v>45828</v>
      </c>
      <c r="C145" s="10" t="s">
        <v>243</v>
      </c>
      <c r="D145" s="10" t="s">
        <v>255</v>
      </c>
      <c r="E145" s="10" t="s">
        <v>52</v>
      </c>
      <c r="F145" s="10" t="s">
        <v>75</v>
      </c>
      <c r="G145" s="10" t="s">
        <v>70</v>
      </c>
      <c r="H145" s="10" t="s">
        <v>216</v>
      </c>
      <c r="I145" s="10" t="s">
        <v>198</v>
      </c>
      <c r="J145" s="10" t="s">
        <v>133</v>
      </c>
      <c r="K145" s="10" t="s">
        <v>333</v>
      </c>
      <c r="L145" s="10" t="s">
        <v>774</v>
      </c>
      <c r="M145" s="9">
        <v>45781</v>
      </c>
      <c r="N145" s="9"/>
      <c r="O145" s="9">
        <v>45862</v>
      </c>
      <c r="P145" s="11">
        <v>41</v>
      </c>
      <c r="Q145" s="12">
        <v>11966267</v>
      </c>
      <c r="R145">
        <v>3258414.5041</v>
      </c>
      <c r="S145" s="22">
        <v>0.23</v>
      </c>
      <c r="T145" s="22">
        <v>0.17</v>
      </c>
      <c r="U145" s="12">
        <v>10780409.939999999</v>
      </c>
      <c r="V145" s="24">
        <v>2935505.6266619996</v>
      </c>
      <c r="W145" s="8">
        <v>7903311.0700000003</v>
      </c>
      <c r="X145" s="24">
        <v>2152071.604361</v>
      </c>
      <c r="Y145" s="22">
        <v>0.1</v>
      </c>
      <c r="Z145" s="22">
        <v>0.1</v>
      </c>
      <c r="AA145" s="8" t="s">
        <v>775</v>
      </c>
      <c r="AB145" s="8">
        <v>3452662.69</v>
      </c>
      <c r="AC145" s="24">
        <v>940160.05048699991</v>
      </c>
      <c r="AD145" s="8">
        <v>3387902.37</v>
      </c>
      <c r="AE145" s="24">
        <v>922525.81535099994</v>
      </c>
      <c r="AF145" s="8">
        <v>90</v>
      </c>
      <c r="AG145" s="8">
        <v>18</v>
      </c>
      <c r="AH145" s="8" t="s">
        <v>332</v>
      </c>
      <c r="AI145" s="8" t="s">
        <v>320</v>
      </c>
      <c r="AJ145" s="22">
        <v>0.36</v>
      </c>
      <c r="AK145" s="8" t="s">
        <v>153</v>
      </c>
      <c r="AL145" s="22">
        <v>0.15</v>
      </c>
      <c r="AM145" s="22">
        <v>0.09</v>
      </c>
      <c r="AN145" s="8">
        <v>14</v>
      </c>
      <c r="AO145" s="8">
        <v>204</v>
      </c>
      <c r="AP145" s="8">
        <v>2032762.94</v>
      </c>
      <c r="AQ145" s="24">
        <v>553521.34856199997</v>
      </c>
      <c r="AR145" s="8">
        <v>1965559.52</v>
      </c>
      <c r="AS145" s="37">
        <v>535221.857296</v>
      </c>
      <c r="AT145" s="8" t="s">
        <v>332</v>
      </c>
      <c r="AU145" s="8" t="s">
        <v>332</v>
      </c>
      <c r="AV145" s="8">
        <v>76</v>
      </c>
      <c r="AW145" s="8"/>
      <c r="AX145" s="8" t="s">
        <v>332</v>
      </c>
      <c r="AY145" s="8" t="s">
        <v>186</v>
      </c>
      <c r="AZ145" s="8" t="s">
        <v>332</v>
      </c>
      <c r="BA145" s="21">
        <f>IF(OR(tblsales[[#This Row],[Invoice Value USD]]="",tblsales[[#This Row],[Collected Amount USD]]=""),"",tblsales[[#This Row],[Invoice Value USD]]-tblsales[[#This Row],[Collected Amount USD]])</f>
        <v>17634.235135999974</v>
      </c>
      <c r="BB145" s="21">
        <f>IF(OR(tblsales[[#This Row],[Contract Value USD]]="",tblsales[[#This Row],[Cost Estimate USD]]=""),"",tblsales[[#This Row],[Contract Value USD]]-tblsales[[#This Row],[Cost Estimate USD]])</f>
        <v>783434.02230099961</v>
      </c>
      <c r="BC145" s="21">
        <f>IF(OR(tblsales[[#This Row],[Contract Value USD]]="",tblsales[[#This Row],[Cost Estimate USD]]=""),"",tblsales[[#This Row],[Contract Value USD]]-tblsales[[#This Row],[Cost Estimate USD]])</f>
        <v>783434.02230099961</v>
      </c>
      <c r="BD145" s="23">
        <f>IF(tblsales[[#This Row],[Invoice Value USD]]="","",tblsales[[#This Row],[Collected Amount USD]]/tblsales[[#This Row],[Invoice Value USD]])</f>
        <v>0.98124336901268516</v>
      </c>
      <c r="BE145" s="11">
        <f>IF(tblsales[[#This Row],[SalesStage]]="Won",1,0)</f>
        <v>1</v>
      </c>
      <c r="BF145" s="21" t="str">
        <f>IF(tblsales[[#This Row],[Win Flag]]=1,"Won","Lost")</f>
        <v>Won</v>
      </c>
      <c r="BG145" s="8"/>
    </row>
    <row r="146" spans="1:61" x14ac:dyDescent="0.3">
      <c r="A146" s="10" t="s">
        <v>776</v>
      </c>
      <c r="B146" s="9">
        <v>45751</v>
      </c>
      <c r="C146" s="10" t="s">
        <v>282</v>
      </c>
      <c r="D146" s="10" t="s">
        <v>209</v>
      </c>
      <c r="E146" s="10" t="s">
        <v>52</v>
      </c>
      <c r="F146" s="10" t="s">
        <v>75</v>
      </c>
      <c r="G146" s="10" t="s">
        <v>73</v>
      </c>
      <c r="H146" s="10" t="s">
        <v>216</v>
      </c>
      <c r="I146" s="10" t="s">
        <v>183</v>
      </c>
      <c r="J146" s="10" t="s">
        <v>119</v>
      </c>
      <c r="K146" s="10" t="s">
        <v>221</v>
      </c>
      <c r="L146" s="10" t="s">
        <v>777</v>
      </c>
      <c r="M146" s="9">
        <v>45707</v>
      </c>
      <c r="N146" s="9"/>
      <c r="O146" s="9">
        <v>45831</v>
      </c>
      <c r="P146" s="11">
        <v>31</v>
      </c>
      <c r="Q146" s="12">
        <v>29886336</v>
      </c>
      <c r="R146">
        <v>8138049.2927999999</v>
      </c>
      <c r="S146" s="22">
        <v>0.22</v>
      </c>
      <c r="T146" s="22">
        <v>-0.03</v>
      </c>
      <c r="U146" s="12">
        <v>22612001.82</v>
      </c>
      <c r="V146" s="24">
        <v>6157248.095586</v>
      </c>
      <c r="W146" s="8">
        <v>17701088.059999999</v>
      </c>
      <c r="X146" s="24">
        <v>4820006.2787379995</v>
      </c>
      <c r="Y146" s="22">
        <v>0.1</v>
      </c>
      <c r="Z146" s="22">
        <v>0.19</v>
      </c>
      <c r="AA146" s="8" t="s">
        <v>778</v>
      </c>
      <c r="AB146" s="8">
        <v>10580063.98</v>
      </c>
      <c r="AC146" s="24">
        <v>2880951.4217539998</v>
      </c>
      <c r="AD146" s="8">
        <v>11245856.32</v>
      </c>
      <c r="AE146" s="24">
        <v>3062246.675936</v>
      </c>
      <c r="AF146" s="8">
        <v>30</v>
      </c>
      <c r="AG146" s="8">
        <v>163</v>
      </c>
      <c r="AH146" s="8" t="s">
        <v>353</v>
      </c>
      <c r="AI146" s="8" t="s">
        <v>336</v>
      </c>
      <c r="AJ146" s="22">
        <v>0.98</v>
      </c>
      <c r="AK146" s="8" t="s">
        <v>153</v>
      </c>
      <c r="AL146" s="22">
        <v>0.05</v>
      </c>
      <c r="AM146" s="22">
        <v>0.02</v>
      </c>
      <c r="AN146" s="8">
        <v>5</v>
      </c>
      <c r="AO146" s="8">
        <v>2469</v>
      </c>
      <c r="AP146" s="8">
        <v>1246909.51</v>
      </c>
      <c r="AQ146" s="24">
        <v>339533.45957299997</v>
      </c>
      <c r="AR146" s="8">
        <v>4588352.54</v>
      </c>
      <c r="AS146" s="37">
        <v>1249408.3966419999</v>
      </c>
      <c r="AT146" s="8" t="s">
        <v>332</v>
      </c>
      <c r="AU146" s="8" t="s">
        <v>330</v>
      </c>
      <c r="AV146" s="8"/>
      <c r="AW146" s="8">
        <v>48</v>
      </c>
      <c r="AX146" s="8" t="s">
        <v>387</v>
      </c>
      <c r="AY146" s="8" t="s">
        <v>229</v>
      </c>
      <c r="AZ146" s="8" t="s">
        <v>332</v>
      </c>
      <c r="BA146" s="21">
        <f>IF(OR(tblsales[[#This Row],[Invoice Value USD]]="",tblsales[[#This Row],[Collected Amount USD]]=""),"",tblsales[[#This Row],[Invoice Value USD]]-tblsales[[#This Row],[Collected Amount USD]])</f>
        <v>-181295.25418200018</v>
      </c>
      <c r="BB146" s="21">
        <f>IF(OR(tblsales[[#This Row],[Contract Value USD]]="",tblsales[[#This Row],[Cost Estimate USD]]=""),"",tblsales[[#This Row],[Contract Value USD]]-tblsales[[#This Row],[Cost Estimate USD]])</f>
        <v>1337241.8168480005</v>
      </c>
      <c r="BC146" s="21">
        <f>IF(OR(tblsales[[#This Row],[Contract Value USD]]="",tblsales[[#This Row],[Cost Estimate USD]]=""),"",tblsales[[#This Row],[Contract Value USD]]-tblsales[[#This Row],[Cost Estimate USD]])</f>
        <v>1337241.8168480005</v>
      </c>
      <c r="BD146" s="23">
        <f>IF(tblsales[[#This Row],[Invoice Value USD]]="","",tblsales[[#This Row],[Collected Amount USD]]/tblsales[[#This Row],[Invoice Value USD]])</f>
        <v>1.0629289521555427</v>
      </c>
      <c r="BE146" s="11">
        <f>IF(tblsales[[#This Row],[SalesStage]]="Won",1,0)</f>
        <v>0</v>
      </c>
      <c r="BF146" s="21" t="str">
        <f>IF(tblsales[[#This Row],[Win Flag]]=1,"Won","Lost")</f>
        <v>Lost</v>
      </c>
      <c r="BG146" s="8"/>
    </row>
    <row r="147" spans="1:61" x14ac:dyDescent="0.3">
      <c r="A147" s="10" t="s">
        <v>779</v>
      </c>
      <c r="B147" s="9">
        <v>45758</v>
      </c>
      <c r="C147" s="10" t="s">
        <v>225</v>
      </c>
      <c r="D147" s="10" t="s">
        <v>394</v>
      </c>
      <c r="E147" s="10" t="s">
        <v>20</v>
      </c>
      <c r="F147" s="10" t="s">
        <v>196</v>
      </c>
      <c r="G147" s="10" t="s">
        <v>66</v>
      </c>
      <c r="H147" s="10" t="s">
        <v>263</v>
      </c>
      <c r="I147" s="10" t="s">
        <v>203</v>
      </c>
      <c r="J147" s="10" t="s">
        <v>136</v>
      </c>
      <c r="K147" s="10" t="s">
        <v>333</v>
      </c>
      <c r="L147" s="10" t="s">
        <v>780</v>
      </c>
      <c r="M147" s="9">
        <v>45701</v>
      </c>
      <c r="N147" s="9">
        <v>45906</v>
      </c>
      <c r="O147" s="9">
        <v>45967</v>
      </c>
      <c r="P147" s="11"/>
      <c r="Q147" s="12">
        <v>10583382</v>
      </c>
      <c r="R147">
        <v>10583382</v>
      </c>
      <c r="S147" s="22">
        <v>0.32</v>
      </c>
      <c r="T147" s="22">
        <v>-0.05</v>
      </c>
      <c r="U147" s="12">
        <v>6836864.7699999996</v>
      </c>
      <c r="V147" s="24">
        <v>6836864.7699999996</v>
      </c>
      <c r="W147" s="8">
        <v>5396240.3799999999</v>
      </c>
      <c r="X147" s="24">
        <v>5396240.3799999999</v>
      </c>
      <c r="Y147" s="22">
        <v>0.28999999999999998</v>
      </c>
      <c r="Z147" s="22">
        <v>0.15</v>
      </c>
      <c r="AA147" s="8" t="s">
        <v>781</v>
      </c>
      <c r="AB147" s="8">
        <v>5349209.88</v>
      </c>
      <c r="AC147" s="24">
        <v>5349209.88</v>
      </c>
      <c r="AD147" s="8">
        <v>4730279.09</v>
      </c>
      <c r="AE147" s="24">
        <v>4730279.09</v>
      </c>
      <c r="AF147" s="8">
        <v>60</v>
      </c>
      <c r="AG147" s="8">
        <v>126</v>
      </c>
      <c r="AH147" s="8" t="s">
        <v>332</v>
      </c>
      <c r="AI147" s="8" t="s">
        <v>336</v>
      </c>
      <c r="AJ147" s="22">
        <v>0.43</v>
      </c>
      <c r="AK147" s="8" t="s">
        <v>152</v>
      </c>
      <c r="AL147" s="22">
        <v>0.1</v>
      </c>
      <c r="AM147" s="22">
        <v>0.09</v>
      </c>
      <c r="AN147" s="8">
        <v>11</v>
      </c>
      <c r="AO147" s="8">
        <v>1332</v>
      </c>
      <c r="AP147" s="8"/>
      <c r="AQ147" s="24"/>
      <c r="AR147" s="8">
        <v>2445949.6</v>
      </c>
      <c r="AS147" s="37">
        <v>2445949.6</v>
      </c>
      <c r="AT147" s="8" t="s">
        <v>343</v>
      </c>
      <c r="AU147" s="8" t="s">
        <v>386</v>
      </c>
      <c r="AV147" s="8">
        <v>97.2</v>
      </c>
      <c r="AW147" s="8">
        <v>48</v>
      </c>
      <c r="AX147" s="8" t="s">
        <v>332</v>
      </c>
      <c r="AY147" s="8" t="s">
        <v>229</v>
      </c>
      <c r="AZ147" s="8" t="s">
        <v>357</v>
      </c>
      <c r="BA147" s="21">
        <f>IF(OR(tblsales[[#This Row],[Invoice Value USD]]="",tblsales[[#This Row],[Collected Amount USD]]=""),"",tblsales[[#This Row],[Invoice Value USD]]-tblsales[[#This Row],[Collected Amount USD]])</f>
        <v>618930.79</v>
      </c>
      <c r="BB147" s="21">
        <f>IF(OR(tblsales[[#This Row],[Contract Value USD]]="",tblsales[[#This Row],[Cost Estimate USD]]=""),"",tblsales[[#This Row],[Contract Value USD]]-tblsales[[#This Row],[Cost Estimate USD]])</f>
        <v>1440624.3899999997</v>
      </c>
      <c r="BC147" s="21">
        <f>IF(OR(tblsales[[#This Row],[Contract Value USD]]="",tblsales[[#This Row],[Cost Estimate USD]]=""),"",tblsales[[#This Row],[Contract Value USD]]-tblsales[[#This Row],[Cost Estimate USD]])</f>
        <v>1440624.3899999997</v>
      </c>
      <c r="BD147" s="23">
        <f>IF(tblsales[[#This Row],[Invoice Value USD]]="","",tblsales[[#This Row],[Collected Amount USD]]/tblsales[[#This Row],[Invoice Value USD]])</f>
        <v>0.88429491384996839</v>
      </c>
      <c r="BE147" s="11">
        <f>IF(tblsales[[#This Row],[SalesStage]]="Won",1,0)</f>
        <v>0</v>
      </c>
      <c r="BF147" s="21" t="str">
        <f>IF(tblsales[[#This Row],[Win Flag]]=1,"Won","Lost")</f>
        <v>Lost</v>
      </c>
      <c r="BG147" s="8"/>
    </row>
    <row r="148" spans="1:61" x14ac:dyDescent="0.3">
      <c r="A148" s="10" t="s">
        <v>782</v>
      </c>
      <c r="B148" s="9">
        <v>45787</v>
      </c>
      <c r="C148" s="10" t="s">
        <v>279</v>
      </c>
      <c r="D148" s="10" t="s">
        <v>245</v>
      </c>
      <c r="E148" s="10" t="s">
        <v>20</v>
      </c>
      <c r="F148" s="10" t="s">
        <v>196</v>
      </c>
      <c r="G148" s="10" t="s">
        <v>73</v>
      </c>
      <c r="H148" s="10" t="s">
        <v>197</v>
      </c>
      <c r="I148" s="10" t="s">
        <v>332</v>
      </c>
      <c r="J148" s="10" t="s">
        <v>136</v>
      </c>
      <c r="K148" s="10" t="s">
        <v>326</v>
      </c>
      <c r="L148" s="10" t="s">
        <v>783</v>
      </c>
      <c r="M148" s="9">
        <v>45710</v>
      </c>
      <c r="N148" s="9">
        <v>45833</v>
      </c>
      <c r="O148" s="9"/>
      <c r="P148" s="11">
        <v>48</v>
      </c>
      <c r="Q148" s="12">
        <v>46628381</v>
      </c>
      <c r="R148">
        <v>54135550.340999998</v>
      </c>
      <c r="S148" s="22"/>
      <c r="T148" s="22">
        <v>0.19</v>
      </c>
      <c r="U148" s="12">
        <v>49384118.32</v>
      </c>
      <c r="V148" s="24">
        <v>57334961.369520001</v>
      </c>
      <c r="W148" s="8">
        <v>36837657.259999998</v>
      </c>
      <c r="X148" s="24">
        <v>42768520.07886</v>
      </c>
      <c r="Y148" s="22">
        <v>0.09</v>
      </c>
      <c r="Z148" s="22">
        <v>0.14000000000000001</v>
      </c>
      <c r="AA148" s="8" t="s">
        <v>784</v>
      </c>
      <c r="AB148" s="8">
        <v>30110146.390000001</v>
      </c>
      <c r="AC148" s="24">
        <v>34957879.958790004</v>
      </c>
      <c r="AD148" s="8">
        <v>18253700.789999999</v>
      </c>
      <c r="AE148" s="24">
        <v>21192546.61719</v>
      </c>
      <c r="AF148" s="8">
        <v>60</v>
      </c>
      <c r="AG148" s="8">
        <v>106</v>
      </c>
      <c r="AH148" s="8" t="s">
        <v>347</v>
      </c>
      <c r="AI148" s="8" t="s">
        <v>320</v>
      </c>
      <c r="AJ148" s="22">
        <v>0.76</v>
      </c>
      <c r="AK148" s="8" t="s">
        <v>159</v>
      </c>
      <c r="AL148" s="22">
        <v>0.15</v>
      </c>
      <c r="AM148" s="22">
        <v>0.09</v>
      </c>
      <c r="AN148" s="8">
        <v>3</v>
      </c>
      <c r="AO148" s="8">
        <v>3358</v>
      </c>
      <c r="AP148" s="8">
        <v>11357528.57</v>
      </c>
      <c r="AQ148" s="24">
        <v>13186090.669770001</v>
      </c>
      <c r="AR148" s="8">
        <v>17510297.5</v>
      </c>
      <c r="AS148" s="37">
        <v>20329455.397500001</v>
      </c>
      <c r="AT148" s="8" t="s">
        <v>355</v>
      </c>
      <c r="AU148" s="8" t="s">
        <v>322</v>
      </c>
      <c r="AV148" s="8">
        <v>52.9</v>
      </c>
      <c r="AW148" s="8"/>
      <c r="AX148" s="8" t="s">
        <v>323</v>
      </c>
      <c r="AY148" s="8" t="s">
        <v>224</v>
      </c>
      <c r="AZ148" s="8" t="s">
        <v>361</v>
      </c>
      <c r="BA148" s="21">
        <f>IF(OR(tblsales[[#This Row],[Invoice Value USD]]="",tblsales[[#This Row],[Collected Amount USD]]=""),"",tblsales[[#This Row],[Invoice Value USD]]-tblsales[[#This Row],[Collected Amount USD]])</f>
        <v>13765333.341600005</v>
      </c>
      <c r="BB148" s="21">
        <f>IF(OR(tblsales[[#This Row],[Contract Value USD]]="",tblsales[[#This Row],[Cost Estimate USD]]=""),"",tblsales[[#This Row],[Contract Value USD]]-tblsales[[#This Row],[Cost Estimate USD]])</f>
        <v>14566441.290660001</v>
      </c>
      <c r="BC148" s="21">
        <f>IF(OR(tblsales[[#This Row],[Contract Value USD]]="",tblsales[[#This Row],[Cost Estimate USD]]=""),"",tblsales[[#This Row],[Contract Value USD]]-tblsales[[#This Row],[Cost Estimate USD]])</f>
        <v>14566441.290660001</v>
      </c>
      <c r="BD148" s="23">
        <f>IF(tblsales[[#This Row],[Invoice Value USD]]="","",tblsales[[#This Row],[Collected Amount USD]]/tblsales[[#This Row],[Invoice Value USD]])</f>
        <v>0.6062308882052565</v>
      </c>
      <c r="BE148" s="11">
        <f>IF(tblsales[[#This Row],[SalesStage]]="Won",1,0)</f>
        <v>1</v>
      </c>
      <c r="BF148" s="21" t="str">
        <f>IF(tblsales[[#This Row],[Win Flag]]=1,"Won","Lost")</f>
        <v>Won</v>
      </c>
      <c r="BG148" s="8"/>
    </row>
    <row r="149" spans="1:61" x14ac:dyDescent="0.3">
      <c r="A149" s="10" t="s">
        <v>785</v>
      </c>
      <c r="B149" s="9">
        <v>45697</v>
      </c>
      <c r="C149" s="10" t="s">
        <v>244</v>
      </c>
      <c r="D149" s="10" t="s">
        <v>215</v>
      </c>
      <c r="E149" s="10" t="s">
        <v>36</v>
      </c>
      <c r="F149" s="10" t="s">
        <v>339</v>
      </c>
      <c r="G149" s="10" t="s">
        <v>73</v>
      </c>
      <c r="H149" s="10" t="s">
        <v>212</v>
      </c>
      <c r="I149" s="10" t="s">
        <v>246</v>
      </c>
      <c r="J149" s="10" t="s">
        <v>115</v>
      </c>
      <c r="K149" s="10" t="s">
        <v>223</v>
      </c>
      <c r="L149" s="10" t="s">
        <v>786</v>
      </c>
      <c r="M149" s="9">
        <v>45998</v>
      </c>
      <c r="N149" s="9"/>
      <c r="O149" s="9">
        <v>45983</v>
      </c>
      <c r="P149" s="11"/>
      <c r="Q149" s="12">
        <v>32760841</v>
      </c>
      <c r="R149">
        <v>38035336.401000001</v>
      </c>
      <c r="S149" s="22">
        <v>0.24</v>
      </c>
      <c r="T149" s="22">
        <v>-0.02</v>
      </c>
      <c r="U149" s="12">
        <v>24400274.379999999</v>
      </c>
      <c r="V149" s="24">
        <v>28328718.555179998</v>
      </c>
      <c r="W149" s="8">
        <v>18524415.07</v>
      </c>
      <c r="X149" s="24">
        <v>21506845.896269999</v>
      </c>
      <c r="Y149" s="22">
        <v>0.31</v>
      </c>
      <c r="Z149" s="22">
        <v>0.09</v>
      </c>
      <c r="AA149" s="8" t="s">
        <v>787</v>
      </c>
      <c r="AB149" s="8">
        <v>2486339.08</v>
      </c>
      <c r="AC149" s="24">
        <v>2886639.6718800003</v>
      </c>
      <c r="AD149" s="8">
        <v>2241282.91</v>
      </c>
      <c r="AE149" s="24">
        <v>2602129.4585100003</v>
      </c>
      <c r="AF149" s="8">
        <v>30</v>
      </c>
      <c r="AG149" s="8">
        <v>171</v>
      </c>
      <c r="AH149" s="8" t="s">
        <v>332</v>
      </c>
      <c r="AI149" s="8" t="s">
        <v>354</v>
      </c>
      <c r="AJ149" s="22">
        <v>0.6</v>
      </c>
      <c r="AK149" s="8" t="s">
        <v>159</v>
      </c>
      <c r="AL149" s="22">
        <v>0.05</v>
      </c>
      <c r="AM149" s="22">
        <v>0.02</v>
      </c>
      <c r="AN149" s="8">
        <v>0</v>
      </c>
      <c r="AO149" s="8">
        <v>35</v>
      </c>
      <c r="AP149" s="8">
        <v>5861820.4800000004</v>
      </c>
      <c r="AQ149" s="24">
        <v>6805573.5772800008</v>
      </c>
      <c r="AR149" s="8">
        <v>2602341.0299999998</v>
      </c>
      <c r="AS149" s="37">
        <v>3021317.9358299999</v>
      </c>
      <c r="AT149" s="8" t="s">
        <v>391</v>
      </c>
      <c r="AU149" s="8" t="s">
        <v>330</v>
      </c>
      <c r="AV149" s="8">
        <v>82.9</v>
      </c>
      <c r="AW149" s="8">
        <v>12</v>
      </c>
      <c r="AX149" s="8" t="s">
        <v>392</v>
      </c>
      <c r="AY149" s="8" t="s">
        <v>206</v>
      </c>
      <c r="AZ149" s="8" t="s">
        <v>324</v>
      </c>
      <c r="BA149" s="21">
        <f>IF(OR(tblsales[[#This Row],[Invoice Value USD]]="",tblsales[[#This Row],[Collected Amount USD]]=""),"",tblsales[[#This Row],[Invoice Value USD]]-tblsales[[#This Row],[Collected Amount USD]])</f>
        <v>284510.21337000001</v>
      </c>
      <c r="BB149" s="21">
        <f>IF(OR(tblsales[[#This Row],[Contract Value USD]]="",tblsales[[#This Row],[Cost Estimate USD]]=""),"",tblsales[[#This Row],[Contract Value USD]]-tblsales[[#This Row],[Cost Estimate USD]])</f>
        <v>6821872.6589099988</v>
      </c>
      <c r="BC149" s="21">
        <f>IF(OR(tblsales[[#This Row],[Contract Value USD]]="",tblsales[[#This Row],[Cost Estimate USD]]=""),"",tblsales[[#This Row],[Contract Value USD]]-tblsales[[#This Row],[Cost Estimate USD]])</f>
        <v>6821872.6589099988</v>
      </c>
      <c r="BD149" s="23">
        <f>IF(tblsales[[#This Row],[Invoice Value USD]]="","",tblsales[[#This Row],[Collected Amount USD]]/tblsales[[#This Row],[Invoice Value USD]])</f>
        <v>0.90143895819712572</v>
      </c>
      <c r="BE149" s="11">
        <f>IF(tblsales[[#This Row],[SalesStage]]="Won",1,0)</f>
        <v>0</v>
      </c>
      <c r="BF149" s="21" t="str">
        <f>IF(tblsales[[#This Row],[Win Flag]]=1,"Won","Lost")</f>
        <v>Lost</v>
      </c>
      <c r="BG149" s="8"/>
    </row>
    <row r="150" spans="1:61" x14ac:dyDescent="0.3">
      <c r="A150" s="10" t="s">
        <v>788</v>
      </c>
      <c r="B150" s="9">
        <v>46064</v>
      </c>
      <c r="C150" s="10" t="s">
        <v>261</v>
      </c>
      <c r="D150" s="10" t="s">
        <v>255</v>
      </c>
      <c r="E150" s="10" t="s">
        <v>113</v>
      </c>
      <c r="F150" s="10" t="s">
        <v>332</v>
      </c>
      <c r="G150" s="10" t="s">
        <v>23</v>
      </c>
      <c r="H150" s="10" t="s">
        <v>212</v>
      </c>
      <c r="I150" s="10" t="s">
        <v>332</v>
      </c>
      <c r="J150" s="10" t="s">
        <v>123</v>
      </c>
      <c r="K150" s="10" t="s">
        <v>210</v>
      </c>
      <c r="L150" s="10" t="s">
        <v>789</v>
      </c>
      <c r="M150" s="9">
        <v>46041</v>
      </c>
      <c r="N150" s="9">
        <v>46358</v>
      </c>
      <c r="O150" s="9">
        <v>46135</v>
      </c>
      <c r="P150" s="11">
        <v>17</v>
      </c>
      <c r="Q150" s="12">
        <v>5660596</v>
      </c>
      <c r="R150">
        <v>5660596</v>
      </c>
      <c r="S150" s="22">
        <v>0.13</v>
      </c>
      <c r="T150" s="22">
        <v>0.18</v>
      </c>
      <c r="U150" s="12">
        <v>5811167.8499999996</v>
      </c>
      <c r="V150" s="24">
        <v>5811167.8499999996</v>
      </c>
      <c r="W150" s="8">
        <v>4647654.6900000004</v>
      </c>
      <c r="X150" s="24">
        <v>4647654.6900000004</v>
      </c>
      <c r="Y150" s="22">
        <v>0.28000000000000003</v>
      </c>
      <c r="Z150" s="22">
        <v>0.15</v>
      </c>
      <c r="AA150" s="8" t="s">
        <v>790</v>
      </c>
      <c r="AB150" s="8">
        <v>4940980.1500000004</v>
      </c>
      <c r="AC150" s="24">
        <v>4940980.1500000004</v>
      </c>
      <c r="AD150" s="8">
        <v>3364301.2</v>
      </c>
      <c r="AE150" s="24">
        <v>3364301.2</v>
      </c>
      <c r="AF150" s="8">
        <v>30</v>
      </c>
      <c r="AG150" s="8">
        <v>99</v>
      </c>
      <c r="AH150" s="8" t="s">
        <v>332</v>
      </c>
      <c r="AI150" s="8" t="s">
        <v>336</v>
      </c>
      <c r="AJ150" s="22">
        <v>0.33</v>
      </c>
      <c r="AK150" s="8" t="s">
        <v>152</v>
      </c>
      <c r="AL150" s="22">
        <v>0.05</v>
      </c>
      <c r="AM150" s="22">
        <v>7.0000000000000007E-2</v>
      </c>
      <c r="AN150" s="8">
        <v>1</v>
      </c>
      <c r="AO150" s="8">
        <v>4728</v>
      </c>
      <c r="AP150" s="8">
        <v>919072.61</v>
      </c>
      <c r="AQ150" s="24">
        <v>919072.61</v>
      </c>
      <c r="AR150" s="8">
        <v>1457464.89</v>
      </c>
      <c r="AS150" s="37">
        <v>1457464.89</v>
      </c>
      <c r="AT150" s="8" t="s">
        <v>332</v>
      </c>
      <c r="AU150" s="8" t="s">
        <v>348</v>
      </c>
      <c r="AV150" s="8">
        <v>74.599999999999994</v>
      </c>
      <c r="AW150" s="8">
        <v>48</v>
      </c>
      <c r="AX150" s="8" t="s">
        <v>387</v>
      </c>
      <c r="AY150" s="8" t="s">
        <v>186</v>
      </c>
      <c r="AZ150" s="8" t="s">
        <v>332</v>
      </c>
      <c r="BA150" s="21">
        <f>IF(OR(tblsales[[#This Row],[Invoice Value USD]]="",tblsales[[#This Row],[Collected Amount USD]]=""),"",tblsales[[#This Row],[Invoice Value USD]]-tblsales[[#This Row],[Collected Amount USD]])</f>
        <v>1576678.9500000002</v>
      </c>
      <c r="BB150" s="21">
        <f>IF(OR(tblsales[[#This Row],[Contract Value USD]]="",tblsales[[#This Row],[Cost Estimate USD]]=""),"",tblsales[[#This Row],[Contract Value USD]]-tblsales[[#This Row],[Cost Estimate USD]])</f>
        <v>1163513.1599999992</v>
      </c>
      <c r="BC150" s="21">
        <f>IF(OR(tblsales[[#This Row],[Contract Value USD]]="",tblsales[[#This Row],[Cost Estimate USD]]=""),"",tblsales[[#This Row],[Contract Value USD]]-tblsales[[#This Row],[Cost Estimate USD]])</f>
        <v>1163513.1599999992</v>
      </c>
      <c r="BD150" s="23">
        <f>IF(tblsales[[#This Row],[Invoice Value USD]]="","",tblsales[[#This Row],[Collected Amount USD]]/tblsales[[#This Row],[Invoice Value USD]])</f>
        <v>0.68089753406517939</v>
      </c>
      <c r="BE150" s="11">
        <f>IF(tblsales[[#This Row],[SalesStage]]="Won",1,0)</f>
        <v>0</v>
      </c>
      <c r="BF150" s="21" t="str">
        <f>IF(tblsales[[#This Row],[Win Flag]]=1,"Won","Lost")</f>
        <v>Lost</v>
      </c>
      <c r="BG150" s="8"/>
      <c r="BH150" t="s">
        <v>5725</v>
      </c>
      <c r="BI150" s="29" t="e">
        <f>AVERAGE(#REF!)</f>
        <v>#REF!</v>
      </c>
    </row>
    <row r="151" spans="1:61" x14ac:dyDescent="0.3">
      <c r="A151" s="10" t="s">
        <v>791</v>
      </c>
      <c r="B151" s="9">
        <v>45717</v>
      </c>
      <c r="C151" s="10" t="s">
        <v>267</v>
      </c>
      <c r="D151" s="10" t="s">
        <v>281</v>
      </c>
      <c r="E151" s="10" t="s">
        <v>20</v>
      </c>
      <c r="F151" s="10" t="s">
        <v>332</v>
      </c>
      <c r="G151" s="10" t="s">
        <v>57</v>
      </c>
      <c r="H151" s="10" t="s">
        <v>216</v>
      </c>
      <c r="I151" s="10" t="s">
        <v>332</v>
      </c>
      <c r="J151" s="10" t="s">
        <v>136</v>
      </c>
      <c r="K151" s="10" t="s">
        <v>223</v>
      </c>
      <c r="L151" s="10" t="s">
        <v>792</v>
      </c>
      <c r="M151" s="9">
        <v>45659</v>
      </c>
      <c r="N151" s="9">
        <v>45661</v>
      </c>
      <c r="O151" s="9"/>
      <c r="P151" s="11">
        <v>50</v>
      </c>
      <c r="Q151" s="12">
        <v>19727102</v>
      </c>
      <c r="R151">
        <v>19727102</v>
      </c>
      <c r="S151" s="22"/>
      <c r="T151" s="22">
        <v>-0.03</v>
      </c>
      <c r="U151" s="12">
        <v>18369877.379999999</v>
      </c>
      <c r="V151" s="24">
        <v>18369877.379999999</v>
      </c>
      <c r="W151" s="8">
        <v>15437815.810000001</v>
      </c>
      <c r="X151" s="24">
        <v>15437815.810000001</v>
      </c>
      <c r="Y151" s="22">
        <v>0.26</v>
      </c>
      <c r="Z151" s="22">
        <v>0.1</v>
      </c>
      <c r="AA151" s="8" t="s">
        <v>793</v>
      </c>
      <c r="AB151" s="8">
        <v>12482222.119999999</v>
      </c>
      <c r="AC151" s="24">
        <v>12482222.119999999</v>
      </c>
      <c r="AD151" s="8">
        <v>13103443.85</v>
      </c>
      <c r="AE151" s="24">
        <v>13103443.85</v>
      </c>
      <c r="AF151" s="8">
        <v>30</v>
      </c>
      <c r="AG151" s="8">
        <v>147</v>
      </c>
      <c r="AH151" s="8" t="s">
        <v>332</v>
      </c>
      <c r="AI151" s="8" t="s">
        <v>226</v>
      </c>
      <c r="AJ151" s="22">
        <v>0.4</v>
      </c>
      <c r="AK151" s="8" t="s">
        <v>152</v>
      </c>
      <c r="AL151" s="22">
        <v>0.1</v>
      </c>
      <c r="AM151" s="22">
        <v>0.1</v>
      </c>
      <c r="AN151" s="8">
        <v>0</v>
      </c>
      <c r="AO151" s="8">
        <v>1777</v>
      </c>
      <c r="AP151" s="8">
        <v>3342441.62</v>
      </c>
      <c r="AQ151" s="24">
        <v>3342441.62</v>
      </c>
      <c r="AR151" s="8">
        <v>9046376.8699999992</v>
      </c>
      <c r="AS151" s="37">
        <v>9046376.8699999992</v>
      </c>
      <c r="AT151" s="8" t="s">
        <v>391</v>
      </c>
      <c r="AU151" s="8" t="s">
        <v>356</v>
      </c>
      <c r="AV151" s="8">
        <v>99.8</v>
      </c>
      <c r="AW151" s="8">
        <v>24</v>
      </c>
      <c r="AX151" s="8" t="s">
        <v>332</v>
      </c>
      <c r="AY151" s="8" t="s">
        <v>224</v>
      </c>
      <c r="AZ151" s="8" t="s">
        <v>188</v>
      </c>
      <c r="BA151" s="21">
        <f>IF(OR(tblsales[[#This Row],[Invoice Value USD]]="",tblsales[[#This Row],[Collected Amount USD]]=""),"",tblsales[[#This Row],[Invoice Value USD]]-tblsales[[#This Row],[Collected Amount USD]])</f>
        <v>-621221.73000000045</v>
      </c>
      <c r="BB151" s="21">
        <f>IF(OR(tblsales[[#This Row],[Contract Value USD]]="",tblsales[[#This Row],[Cost Estimate USD]]=""),"",tblsales[[#This Row],[Contract Value USD]]-tblsales[[#This Row],[Cost Estimate USD]])</f>
        <v>2932061.5699999984</v>
      </c>
      <c r="BC151" s="21">
        <f>IF(OR(tblsales[[#This Row],[Contract Value USD]]="",tblsales[[#This Row],[Cost Estimate USD]]=""),"",tblsales[[#This Row],[Contract Value USD]]-tblsales[[#This Row],[Cost Estimate USD]])</f>
        <v>2932061.5699999984</v>
      </c>
      <c r="BD151" s="23">
        <f>IF(tblsales[[#This Row],[Invoice Value USD]]="","",tblsales[[#This Row],[Collected Amount USD]]/tblsales[[#This Row],[Invoice Value USD]])</f>
        <v>1.0497685207031071</v>
      </c>
      <c r="BE151" s="11">
        <f>IF(tblsales[[#This Row],[SalesStage]]="Won",1,0)</f>
        <v>0</v>
      </c>
      <c r="BF151" s="21" t="str">
        <f>IF(tblsales[[#This Row],[Win Flag]]=1,"Won","Lost")</f>
        <v>Lost</v>
      </c>
      <c r="BG151" s="8"/>
    </row>
    <row r="152" spans="1:61" x14ac:dyDescent="0.3">
      <c r="A152" s="10" t="s">
        <v>794</v>
      </c>
      <c r="B152" s="9">
        <v>45907</v>
      </c>
      <c r="C152" s="10" t="s">
        <v>254</v>
      </c>
      <c r="D152" s="10" t="s">
        <v>262</v>
      </c>
      <c r="E152" s="10" t="s">
        <v>332</v>
      </c>
      <c r="F152" s="10" t="s">
        <v>75</v>
      </c>
      <c r="G152" s="10" t="s">
        <v>23</v>
      </c>
      <c r="H152" s="10" t="s">
        <v>236</v>
      </c>
      <c r="I152" s="10" t="s">
        <v>183</v>
      </c>
      <c r="J152" s="10" t="s">
        <v>130</v>
      </c>
      <c r="K152" s="10" t="s">
        <v>199</v>
      </c>
      <c r="L152" s="10" t="s">
        <v>795</v>
      </c>
      <c r="M152" s="9">
        <v>45664</v>
      </c>
      <c r="N152" s="9">
        <v>45787</v>
      </c>
      <c r="O152" s="9">
        <v>45955</v>
      </c>
      <c r="P152" s="11">
        <v>50</v>
      </c>
      <c r="Q152" s="12">
        <v>49014683</v>
      </c>
      <c r="R152">
        <v>13464333.4201</v>
      </c>
      <c r="S152" s="22">
        <v>0.14000000000000001</v>
      </c>
      <c r="T152" s="22">
        <v>0.2</v>
      </c>
      <c r="U152" s="12">
        <v>50583152.859999999</v>
      </c>
      <c r="V152" s="24">
        <v>13895192.090642</v>
      </c>
      <c r="W152" s="8">
        <v>40232393.020000003</v>
      </c>
      <c r="X152" s="24">
        <v>11051838.362594001</v>
      </c>
      <c r="Y152" s="22">
        <v>0.35</v>
      </c>
      <c r="Z152" s="22">
        <v>7.0000000000000007E-2</v>
      </c>
      <c r="AA152" s="8" t="s">
        <v>796</v>
      </c>
      <c r="AB152" s="8">
        <v>30874073</v>
      </c>
      <c r="AC152" s="24">
        <v>8481107.8530999999</v>
      </c>
      <c r="AD152" s="8">
        <v>30219993.32</v>
      </c>
      <c r="AE152" s="24">
        <v>8301432.1650040001</v>
      </c>
      <c r="AF152" s="8">
        <v>30</v>
      </c>
      <c r="AG152" s="8">
        <v>141</v>
      </c>
      <c r="AH152" s="8" t="s">
        <v>376</v>
      </c>
      <c r="AI152" s="8" t="s">
        <v>336</v>
      </c>
      <c r="AJ152" s="22">
        <v>0.42</v>
      </c>
      <c r="AK152" s="8" t="s">
        <v>155</v>
      </c>
      <c r="AL152" s="22">
        <v>0.1</v>
      </c>
      <c r="AM152" s="22">
        <v>7.0000000000000007E-2</v>
      </c>
      <c r="AN152" s="8">
        <v>11</v>
      </c>
      <c r="AO152" s="8">
        <v>471</v>
      </c>
      <c r="AP152" s="8">
        <v>12345147.99</v>
      </c>
      <c r="AQ152" s="24">
        <v>3391212.152853</v>
      </c>
      <c r="AR152" s="8">
        <v>6119997.2999999998</v>
      </c>
      <c r="AS152" s="37">
        <v>1681163.2583099999</v>
      </c>
      <c r="AT152" s="8" t="s">
        <v>332</v>
      </c>
      <c r="AU152" s="8" t="s">
        <v>332</v>
      </c>
      <c r="AV152" s="8">
        <v>57.4</v>
      </c>
      <c r="AW152" s="8">
        <v>36</v>
      </c>
      <c r="AX152" s="8" t="s">
        <v>332</v>
      </c>
      <c r="AY152" s="8" t="s">
        <v>192</v>
      </c>
      <c r="AZ152" s="8" t="s">
        <v>188</v>
      </c>
      <c r="BA152" s="21">
        <f>IF(OR(tblsales[[#This Row],[Invoice Value USD]]="",tblsales[[#This Row],[Collected Amount USD]]=""),"",tblsales[[#This Row],[Invoice Value USD]]-tblsales[[#This Row],[Collected Amount USD]])</f>
        <v>179675.68809599988</v>
      </c>
      <c r="BB152" s="21">
        <f>IF(OR(tblsales[[#This Row],[Contract Value USD]]="",tblsales[[#This Row],[Cost Estimate USD]]=""),"",tblsales[[#This Row],[Contract Value USD]]-tblsales[[#This Row],[Cost Estimate USD]])</f>
        <v>2843353.7280479986</v>
      </c>
      <c r="BC152" s="21">
        <f>IF(OR(tblsales[[#This Row],[Contract Value USD]]="",tblsales[[#This Row],[Cost Estimate USD]]=""),"",tblsales[[#This Row],[Contract Value USD]]-tblsales[[#This Row],[Cost Estimate USD]])</f>
        <v>2843353.7280479986</v>
      </c>
      <c r="BD152" s="23">
        <f>IF(tblsales[[#This Row],[Invoice Value USD]]="","",tblsales[[#This Row],[Collected Amount USD]]/tblsales[[#This Row],[Invoice Value USD]])</f>
        <v>0.97881459695972084</v>
      </c>
      <c r="BE152" s="11">
        <f>IF(tblsales[[#This Row],[SalesStage]]="Won",1,0)</f>
        <v>0</v>
      </c>
      <c r="BF152" s="21" t="str">
        <f>IF(tblsales[[#This Row],[Win Flag]]=1,"Won","Lost")</f>
        <v>Lost</v>
      </c>
      <c r="BG152" s="8"/>
      <c r="BH152" t="s">
        <v>5727</v>
      </c>
      <c r="BI152" s="26">
        <f>AVERAGE(tblsales[Win Flag])</f>
        <v>0.155</v>
      </c>
    </row>
    <row r="153" spans="1:61" x14ac:dyDescent="0.3">
      <c r="A153" s="10" t="s">
        <v>797</v>
      </c>
      <c r="B153" s="9">
        <v>45718</v>
      </c>
      <c r="C153" s="10" t="s">
        <v>217</v>
      </c>
      <c r="D153" s="10" t="s">
        <v>238</v>
      </c>
      <c r="E153" s="10" t="s">
        <v>332</v>
      </c>
      <c r="F153" s="10" t="s">
        <v>363</v>
      </c>
      <c r="G153" s="10" t="s">
        <v>50</v>
      </c>
      <c r="H153" s="10" t="s">
        <v>212</v>
      </c>
      <c r="I153" s="10" t="s">
        <v>203</v>
      </c>
      <c r="J153" s="10" t="s">
        <v>130</v>
      </c>
      <c r="K153" s="10" t="s">
        <v>333</v>
      </c>
      <c r="L153" s="10" t="s">
        <v>798</v>
      </c>
      <c r="M153" s="9">
        <v>45673</v>
      </c>
      <c r="N153" s="9">
        <v>45729</v>
      </c>
      <c r="O153" s="9">
        <v>45830</v>
      </c>
      <c r="P153" s="11">
        <v>11</v>
      </c>
      <c r="Q153" s="12">
        <v>16363533</v>
      </c>
      <c r="R153">
        <v>16363533</v>
      </c>
      <c r="S153" s="22">
        <v>0.14000000000000001</v>
      </c>
      <c r="T153" s="22">
        <v>0.03</v>
      </c>
      <c r="U153" s="12">
        <v>14494817.529999999</v>
      </c>
      <c r="V153" s="24">
        <v>14494817.529999999</v>
      </c>
      <c r="W153" s="8">
        <v>8973009.4000000004</v>
      </c>
      <c r="X153" s="24">
        <v>8973009.4000000004</v>
      </c>
      <c r="Y153" s="22">
        <v>0.33</v>
      </c>
      <c r="Z153" s="22">
        <v>0.08</v>
      </c>
      <c r="AA153" s="8" t="s">
        <v>799</v>
      </c>
      <c r="AB153" s="8">
        <v>8069731.0300000003</v>
      </c>
      <c r="AC153" s="24">
        <v>8069731.0300000003</v>
      </c>
      <c r="AD153" s="8">
        <v>3534458.29</v>
      </c>
      <c r="AE153" s="24">
        <v>3534458.29</v>
      </c>
      <c r="AF153" s="8">
        <v>90</v>
      </c>
      <c r="AG153" s="8">
        <v>178</v>
      </c>
      <c r="AH153" s="8" t="s">
        <v>329</v>
      </c>
      <c r="AI153" s="8" t="s">
        <v>226</v>
      </c>
      <c r="AJ153" s="22">
        <v>0.98</v>
      </c>
      <c r="AK153" s="8" t="s">
        <v>152</v>
      </c>
      <c r="AL153" s="22">
        <v>0.15</v>
      </c>
      <c r="AM153" s="22">
        <v>7.0000000000000007E-2</v>
      </c>
      <c r="AN153" s="8">
        <v>14</v>
      </c>
      <c r="AO153" s="8">
        <v>4800</v>
      </c>
      <c r="AP153" s="8">
        <v>3019710.4</v>
      </c>
      <c r="AQ153" s="24">
        <v>3019710.4</v>
      </c>
      <c r="AR153" s="8">
        <v>5818267.3899999997</v>
      </c>
      <c r="AS153" s="37">
        <v>5818267.3899999997</v>
      </c>
      <c r="AT153" s="8" t="s">
        <v>391</v>
      </c>
      <c r="AU153" s="8" t="s">
        <v>332</v>
      </c>
      <c r="AV153" s="8">
        <v>69.7</v>
      </c>
      <c r="AW153" s="8">
        <v>12</v>
      </c>
      <c r="AX153" s="8" t="s">
        <v>323</v>
      </c>
      <c r="AY153" s="8" t="s">
        <v>186</v>
      </c>
      <c r="AZ153" s="8" t="s">
        <v>324</v>
      </c>
      <c r="BA153" s="21">
        <f>IF(OR(tblsales[[#This Row],[Invoice Value USD]]="",tblsales[[#This Row],[Collected Amount USD]]=""),"",tblsales[[#This Row],[Invoice Value USD]]-tblsales[[#This Row],[Collected Amount USD]])</f>
        <v>4535272.74</v>
      </c>
      <c r="BB153" s="21">
        <f>IF(OR(tblsales[[#This Row],[Contract Value USD]]="",tblsales[[#This Row],[Cost Estimate USD]]=""),"",tblsales[[#This Row],[Contract Value USD]]-tblsales[[#This Row],[Cost Estimate USD]])</f>
        <v>5521808.129999999</v>
      </c>
      <c r="BC153" s="21">
        <f>IF(OR(tblsales[[#This Row],[Contract Value USD]]="",tblsales[[#This Row],[Cost Estimate USD]]=""),"",tblsales[[#This Row],[Contract Value USD]]-tblsales[[#This Row],[Cost Estimate USD]])</f>
        <v>5521808.129999999</v>
      </c>
      <c r="BD153" s="23">
        <f>IF(tblsales[[#This Row],[Invoice Value USD]]="","",tblsales[[#This Row],[Collected Amount USD]]/tblsales[[#This Row],[Invoice Value USD]])</f>
        <v>0.43798960298184808</v>
      </c>
      <c r="BE153" s="11">
        <f>IF(tblsales[[#This Row],[SalesStage]]="Won",1,0)</f>
        <v>0</v>
      </c>
      <c r="BF153" s="21" t="str">
        <f>IF(tblsales[[#This Row],[Win Flag]]=1,"Won","Lost")</f>
        <v>Lost</v>
      </c>
      <c r="BG153" s="8"/>
    </row>
    <row r="154" spans="1:61" x14ac:dyDescent="0.3">
      <c r="A154" s="10" t="s">
        <v>800</v>
      </c>
      <c r="B154" s="9">
        <v>45720</v>
      </c>
      <c r="C154" s="10" t="s">
        <v>277</v>
      </c>
      <c r="D154" s="10" t="s">
        <v>232</v>
      </c>
      <c r="E154" s="10" t="s">
        <v>113</v>
      </c>
      <c r="F154" s="10" t="s">
        <v>181</v>
      </c>
      <c r="G154" s="10" t="s">
        <v>66</v>
      </c>
      <c r="H154" s="10" t="s">
        <v>182</v>
      </c>
      <c r="I154" s="10" t="s">
        <v>183</v>
      </c>
      <c r="J154" s="10" t="s">
        <v>123</v>
      </c>
      <c r="K154" s="10" t="s">
        <v>223</v>
      </c>
      <c r="L154" s="10" t="s">
        <v>801</v>
      </c>
      <c r="M154" s="9">
        <v>45633</v>
      </c>
      <c r="N154" s="9">
        <v>45762</v>
      </c>
      <c r="O154" s="9">
        <v>45774</v>
      </c>
      <c r="P154" s="11">
        <v>56</v>
      </c>
      <c r="Q154" s="12">
        <v>2826853</v>
      </c>
      <c r="R154">
        <v>776536.51910000003</v>
      </c>
      <c r="S154" s="22">
        <v>0.05</v>
      </c>
      <c r="T154" s="22">
        <v>0</v>
      </c>
      <c r="U154" s="12">
        <v>2685510.35</v>
      </c>
      <c r="V154" s="24">
        <v>737709.69314500003</v>
      </c>
      <c r="W154" s="8">
        <v>1719431.31</v>
      </c>
      <c r="X154" s="24">
        <v>472327.78085700003</v>
      </c>
      <c r="Y154" s="22">
        <v>0.26</v>
      </c>
      <c r="Z154" s="22">
        <v>0.09</v>
      </c>
      <c r="AA154" s="8" t="s">
        <v>802</v>
      </c>
      <c r="AB154" s="8">
        <v>502267.57</v>
      </c>
      <c r="AC154" s="24">
        <v>137972.90147899999</v>
      </c>
      <c r="AD154" s="8">
        <v>376699.15</v>
      </c>
      <c r="AE154" s="24">
        <v>103479.25650500001</v>
      </c>
      <c r="AF154" s="8">
        <v>30</v>
      </c>
      <c r="AG154" s="8">
        <v>22</v>
      </c>
      <c r="AH154" s="8" t="s">
        <v>329</v>
      </c>
      <c r="AI154" s="8" t="s">
        <v>381</v>
      </c>
      <c r="AJ154" s="22">
        <v>0.97</v>
      </c>
      <c r="AK154" s="8" t="s">
        <v>155</v>
      </c>
      <c r="AL154" s="22">
        <v>0.15</v>
      </c>
      <c r="AM154" s="22">
        <v>0.04</v>
      </c>
      <c r="AN154" s="8">
        <v>5</v>
      </c>
      <c r="AO154" s="8">
        <v>1347</v>
      </c>
      <c r="AP154" s="8">
        <v>105133.53</v>
      </c>
      <c r="AQ154" s="24">
        <v>28880.180691000001</v>
      </c>
      <c r="AR154" s="8">
        <v>725456.64</v>
      </c>
      <c r="AS154" s="37">
        <v>199282.93900800002</v>
      </c>
      <c r="AT154" s="8" t="s">
        <v>391</v>
      </c>
      <c r="AU154" s="8" t="s">
        <v>356</v>
      </c>
      <c r="AV154" s="8">
        <v>53.7</v>
      </c>
      <c r="AW154" s="8">
        <v>60</v>
      </c>
      <c r="AX154" s="8" t="s">
        <v>332</v>
      </c>
      <c r="AY154" s="8" t="s">
        <v>186</v>
      </c>
      <c r="AZ154" s="8" t="s">
        <v>188</v>
      </c>
      <c r="BA154" s="21">
        <f>IF(OR(tblsales[[#This Row],[Invoice Value USD]]="",tblsales[[#This Row],[Collected Amount USD]]=""),"",tblsales[[#This Row],[Invoice Value USD]]-tblsales[[#This Row],[Collected Amount USD]])</f>
        <v>34493.644973999981</v>
      </c>
      <c r="BB154" s="21">
        <f>IF(OR(tblsales[[#This Row],[Contract Value USD]]="",tblsales[[#This Row],[Cost Estimate USD]]=""),"",tblsales[[#This Row],[Contract Value USD]]-tblsales[[#This Row],[Cost Estimate USD]])</f>
        <v>265381.91228799999</v>
      </c>
      <c r="BC154" s="21">
        <f>IF(OR(tblsales[[#This Row],[Contract Value USD]]="",tblsales[[#This Row],[Cost Estimate USD]]=""),"",tblsales[[#This Row],[Contract Value USD]]-tblsales[[#This Row],[Cost Estimate USD]])</f>
        <v>265381.91228799999</v>
      </c>
      <c r="BD154" s="23">
        <f>IF(tblsales[[#This Row],[Invoice Value USD]]="","",tblsales[[#This Row],[Collected Amount USD]]/tblsales[[#This Row],[Invoice Value USD]])</f>
        <v>0.74999695879230277</v>
      </c>
      <c r="BE154" s="11">
        <f>IF(tblsales[[#This Row],[SalesStage]]="Won",1,0)</f>
        <v>0</v>
      </c>
      <c r="BF154" s="21" t="str">
        <f>IF(tblsales[[#This Row],[Win Flag]]=1,"Won","Lost")</f>
        <v>Lost</v>
      </c>
      <c r="BG154" s="8"/>
    </row>
    <row r="155" spans="1:61" x14ac:dyDescent="0.3">
      <c r="A155" s="10" t="s">
        <v>803</v>
      </c>
      <c r="B155" s="9">
        <v>45946</v>
      </c>
      <c r="C155" s="10" t="s">
        <v>285</v>
      </c>
      <c r="D155" s="10" t="s">
        <v>215</v>
      </c>
      <c r="E155" s="10" t="s">
        <v>52</v>
      </c>
      <c r="F155" s="10" t="s">
        <v>75</v>
      </c>
      <c r="G155" s="10" t="s">
        <v>66</v>
      </c>
      <c r="H155" s="10" t="s">
        <v>236</v>
      </c>
      <c r="I155" s="10" t="s">
        <v>233</v>
      </c>
      <c r="J155" s="10" t="s">
        <v>133</v>
      </c>
      <c r="K155" s="10" t="s">
        <v>221</v>
      </c>
      <c r="L155" s="10" t="s">
        <v>804</v>
      </c>
      <c r="M155" s="9">
        <v>45888</v>
      </c>
      <c r="N155" s="9">
        <v>45953</v>
      </c>
      <c r="O155" s="9">
        <v>46015</v>
      </c>
      <c r="P155" s="11"/>
      <c r="Q155" s="12">
        <v>44311867</v>
      </c>
      <c r="R155">
        <v>44311867</v>
      </c>
      <c r="S155" s="22"/>
      <c r="T155" s="22">
        <v>0.08</v>
      </c>
      <c r="U155" s="12">
        <v>36849748.600000001</v>
      </c>
      <c r="V155" s="24">
        <v>36849748.600000001</v>
      </c>
      <c r="W155" s="8">
        <v>28435013.530000001</v>
      </c>
      <c r="X155" s="24">
        <v>28435013.530000001</v>
      </c>
      <c r="Y155" s="22">
        <v>0.14000000000000001</v>
      </c>
      <c r="Z155" s="22">
        <v>0.06</v>
      </c>
      <c r="AA155" s="8" t="s">
        <v>805</v>
      </c>
      <c r="AB155" s="8">
        <v>6980691.5</v>
      </c>
      <c r="AC155" s="24">
        <v>6980691.5</v>
      </c>
      <c r="AD155" s="8">
        <v>6682296.5599999996</v>
      </c>
      <c r="AE155" s="24">
        <v>6682296.5599999996</v>
      </c>
      <c r="AF155" s="8">
        <v>60</v>
      </c>
      <c r="AG155" s="8">
        <v>112</v>
      </c>
      <c r="AH155" s="8" t="s">
        <v>332</v>
      </c>
      <c r="AI155" s="8" t="s">
        <v>381</v>
      </c>
      <c r="AJ155" s="22">
        <v>0.41</v>
      </c>
      <c r="AK155" s="8" t="s">
        <v>152</v>
      </c>
      <c r="AL155" s="22">
        <v>0.15</v>
      </c>
      <c r="AM155" s="22">
        <v>0.03</v>
      </c>
      <c r="AN155" s="8">
        <v>8</v>
      </c>
      <c r="AO155" s="8">
        <v>4365</v>
      </c>
      <c r="AP155" s="8">
        <v>8212514.1699999999</v>
      </c>
      <c r="AQ155" s="24">
        <v>8212514.1699999999</v>
      </c>
      <c r="AR155" s="8">
        <v>12415566.529999999</v>
      </c>
      <c r="AS155" s="37">
        <v>12415566.529999999</v>
      </c>
      <c r="AT155" s="8" t="s">
        <v>355</v>
      </c>
      <c r="AU155" s="8" t="s">
        <v>321</v>
      </c>
      <c r="AV155" s="8">
        <v>97.3</v>
      </c>
      <c r="AW155" s="8">
        <v>60</v>
      </c>
      <c r="AX155" s="8" t="s">
        <v>392</v>
      </c>
      <c r="AY155" s="8" t="s">
        <v>186</v>
      </c>
      <c r="AZ155" s="8" t="s">
        <v>377</v>
      </c>
      <c r="BA155" s="21">
        <f>IF(OR(tblsales[[#This Row],[Invoice Value USD]]="",tblsales[[#This Row],[Collected Amount USD]]=""),"",tblsales[[#This Row],[Invoice Value USD]]-tblsales[[#This Row],[Collected Amount USD]])</f>
        <v>298394.94000000041</v>
      </c>
      <c r="BB155" s="21">
        <f>IF(OR(tblsales[[#This Row],[Contract Value USD]]="",tblsales[[#This Row],[Cost Estimate USD]]=""),"",tblsales[[#This Row],[Contract Value USD]]-tblsales[[#This Row],[Cost Estimate USD]])</f>
        <v>8414735.0700000003</v>
      </c>
      <c r="BC155" s="21">
        <f>IF(OR(tblsales[[#This Row],[Contract Value USD]]="",tblsales[[#This Row],[Cost Estimate USD]]=""),"",tblsales[[#This Row],[Contract Value USD]]-tblsales[[#This Row],[Cost Estimate USD]])</f>
        <v>8414735.0700000003</v>
      </c>
      <c r="BD155" s="23">
        <f>IF(tblsales[[#This Row],[Invoice Value USD]]="","",tblsales[[#This Row],[Collected Amount USD]]/tblsales[[#This Row],[Invoice Value USD]])</f>
        <v>0.95725424336543152</v>
      </c>
      <c r="BE155" s="11">
        <f>IF(tblsales[[#This Row],[SalesStage]]="Won",1,0)</f>
        <v>0</v>
      </c>
      <c r="BF155" s="21" t="str">
        <f>IF(tblsales[[#This Row],[Win Flag]]=1,"Won","Lost")</f>
        <v>Lost</v>
      </c>
      <c r="BG155" s="8"/>
    </row>
    <row r="156" spans="1:61" x14ac:dyDescent="0.3">
      <c r="A156" s="10" t="s">
        <v>806</v>
      </c>
      <c r="B156" s="9">
        <v>45685</v>
      </c>
      <c r="C156" s="10" t="s">
        <v>256</v>
      </c>
      <c r="D156" s="10" t="s">
        <v>232</v>
      </c>
      <c r="E156" s="10" t="s">
        <v>52</v>
      </c>
      <c r="F156" s="10" t="s">
        <v>75</v>
      </c>
      <c r="G156" s="10" t="s">
        <v>57</v>
      </c>
      <c r="H156" s="10" t="s">
        <v>332</v>
      </c>
      <c r="I156" s="10" t="s">
        <v>332</v>
      </c>
      <c r="J156" s="10" t="s">
        <v>133</v>
      </c>
      <c r="K156" s="10" t="s">
        <v>210</v>
      </c>
      <c r="L156" s="10" t="s">
        <v>807</v>
      </c>
      <c r="M156" s="9">
        <v>45654</v>
      </c>
      <c r="N156" s="9"/>
      <c r="O156" s="9">
        <v>45662</v>
      </c>
      <c r="P156" s="11">
        <v>30</v>
      </c>
      <c r="Q156" s="12">
        <v>48882063</v>
      </c>
      <c r="R156">
        <v>13036846.202099999</v>
      </c>
      <c r="S156" s="22">
        <v>0.23</v>
      </c>
      <c r="T156" s="22">
        <v>0.04</v>
      </c>
      <c r="U156" s="12">
        <v>39144756.049999997</v>
      </c>
      <c r="V156" s="24">
        <v>10439906.438534999</v>
      </c>
      <c r="W156" s="8">
        <v>34436911.189999998</v>
      </c>
      <c r="X156" s="24">
        <v>9184324.214373</v>
      </c>
      <c r="Y156" s="22">
        <v>0.22</v>
      </c>
      <c r="Z156" s="22">
        <v>0.15</v>
      </c>
      <c r="AA156" s="8" t="s">
        <v>808</v>
      </c>
      <c r="AB156" s="8">
        <v>27827965.469999999</v>
      </c>
      <c r="AC156" s="24">
        <v>7421718.3908489998</v>
      </c>
      <c r="AD156" s="8">
        <v>23447069.530000001</v>
      </c>
      <c r="AE156" s="24">
        <v>6253333.443651</v>
      </c>
      <c r="AF156" s="8">
        <v>90</v>
      </c>
      <c r="AG156" s="8">
        <v>118</v>
      </c>
      <c r="AH156" s="8" t="s">
        <v>332</v>
      </c>
      <c r="AI156" s="8" t="s">
        <v>336</v>
      </c>
      <c r="AJ156" s="22">
        <v>0.22</v>
      </c>
      <c r="AK156" s="8" t="s">
        <v>162</v>
      </c>
      <c r="AL156" s="22">
        <v>0.1</v>
      </c>
      <c r="AM156" s="22">
        <v>0.08</v>
      </c>
      <c r="AN156" s="8">
        <v>9</v>
      </c>
      <c r="AO156" s="8">
        <v>69</v>
      </c>
      <c r="AP156" s="8">
        <v>7108534.8099999996</v>
      </c>
      <c r="AQ156" s="24">
        <v>1895846.2338269998</v>
      </c>
      <c r="AR156" s="8">
        <v>7738546.3499999996</v>
      </c>
      <c r="AS156" s="37">
        <v>2063870.3115449999</v>
      </c>
      <c r="AT156" s="8" t="s">
        <v>73</v>
      </c>
      <c r="AU156" s="8" t="s">
        <v>356</v>
      </c>
      <c r="AV156" s="8">
        <v>84.9</v>
      </c>
      <c r="AW156" s="8">
        <v>60</v>
      </c>
      <c r="AX156" s="8" t="s">
        <v>387</v>
      </c>
      <c r="AY156" s="8" t="s">
        <v>224</v>
      </c>
      <c r="AZ156" s="8" t="s">
        <v>357</v>
      </c>
      <c r="BA156" s="21">
        <f>IF(OR(tblsales[[#This Row],[Invoice Value USD]]="",tblsales[[#This Row],[Collected Amount USD]]=""),"",tblsales[[#This Row],[Invoice Value USD]]-tblsales[[#This Row],[Collected Amount USD]])</f>
        <v>1168384.9471979998</v>
      </c>
      <c r="BB156" s="21">
        <f>IF(OR(tblsales[[#This Row],[Contract Value USD]]="",tblsales[[#This Row],[Cost Estimate USD]]=""),"",tblsales[[#This Row],[Contract Value USD]]-tblsales[[#This Row],[Cost Estimate USD]])</f>
        <v>1255582.2241619993</v>
      </c>
      <c r="BC156" s="21">
        <f>IF(OR(tblsales[[#This Row],[Contract Value USD]]="",tblsales[[#This Row],[Cost Estimate USD]]=""),"",tblsales[[#This Row],[Contract Value USD]]-tblsales[[#This Row],[Cost Estimate USD]])</f>
        <v>1255582.2241619993</v>
      </c>
      <c r="BD156" s="23">
        <f>IF(tblsales[[#This Row],[Invoice Value USD]]="","",tblsales[[#This Row],[Collected Amount USD]]/tblsales[[#This Row],[Invoice Value USD]])</f>
        <v>0.84257217996325195</v>
      </c>
      <c r="BE156" s="11">
        <f>IF(tblsales[[#This Row],[SalesStage]]="Won",1,0)</f>
        <v>0</v>
      </c>
      <c r="BF156" s="21" t="str">
        <f>IF(tblsales[[#This Row],[Win Flag]]=1,"Won","Lost")</f>
        <v>Lost</v>
      </c>
      <c r="BG156" s="8"/>
    </row>
    <row r="157" spans="1:61" x14ac:dyDescent="0.3">
      <c r="A157" s="10" t="s">
        <v>809</v>
      </c>
      <c r="B157" s="9">
        <v>45696</v>
      </c>
      <c r="C157" s="10" t="s">
        <v>283</v>
      </c>
      <c r="D157" s="10" t="s">
        <v>265</v>
      </c>
      <c r="E157" s="10" t="s">
        <v>332</v>
      </c>
      <c r="F157" s="10" t="s">
        <v>363</v>
      </c>
      <c r="G157" s="10" t="s">
        <v>73</v>
      </c>
      <c r="H157" s="10" t="s">
        <v>212</v>
      </c>
      <c r="I157" s="10" t="s">
        <v>203</v>
      </c>
      <c r="J157" s="10" t="s">
        <v>130</v>
      </c>
      <c r="K157" s="10" t="s">
        <v>184</v>
      </c>
      <c r="L157" s="10" t="s">
        <v>810</v>
      </c>
      <c r="M157" s="9">
        <v>45303</v>
      </c>
      <c r="N157" s="9"/>
      <c r="O157" s="9"/>
      <c r="P157" s="11">
        <v>22</v>
      </c>
      <c r="Q157" s="12">
        <v>24832371</v>
      </c>
      <c r="R157">
        <v>6821452.3136999998</v>
      </c>
      <c r="S157" s="22">
        <v>0.3</v>
      </c>
      <c r="T157" s="22">
        <v>0.08</v>
      </c>
      <c r="U157" s="12">
        <v>18773272.48</v>
      </c>
      <c r="V157" s="24">
        <v>5157017.9502560003</v>
      </c>
      <c r="W157" s="8">
        <v>11292993.039999999</v>
      </c>
      <c r="X157" s="24">
        <v>3102185.1880879998</v>
      </c>
      <c r="Y157" s="22">
        <v>0.12</v>
      </c>
      <c r="Z157" s="22">
        <v>0.1</v>
      </c>
      <c r="AA157" s="8" t="s">
        <v>811</v>
      </c>
      <c r="AB157" s="8">
        <v>16137712.689999999</v>
      </c>
      <c r="AC157" s="24">
        <v>4433029.6759430002</v>
      </c>
      <c r="AD157" s="8">
        <v>10298730.220000001</v>
      </c>
      <c r="AE157" s="24">
        <v>2829061.1914340002</v>
      </c>
      <c r="AF157" s="8">
        <v>90</v>
      </c>
      <c r="AG157" s="8">
        <v>44</v>
      </c>
      <c r="AH157" s="8" t="s">
        <v>353</v>
      </c>
      <c r="AI157" s="8" t="s">
        <v>455</v>
      </c>
      <c r="AJ157" s="22">
        <v>0.4</v>
      </c>
      <c r="AK157" s="8" t="s">
        <v>155</v>
      </c>
      <c r="AL157" s="22">
        <v>0.05</v>
      </c>
      <c r="AM157" s="22">
        <v>0.04</v>
      </c>
      <c r="AN157" s="8">
        <v>7</v>
      </c>
      <c r="AO157" s="8">
        <v>4002</v>
      </c>
      <c r="AP157" s="8"/>
      <c r="AQ157" s="24"/>
      <c r="AR157" s="8">
        <v>3755666.4</v>
      </c>
      <c r="AS157" s="37">
        <v>1031681.56008</v>
      </c>
      <c r="AT157" s="8" t="s">
        <v>343</v>
      </c>
      <c r="AU157" s="8" t="s">
        <v>321</v>
      </c>
      <c r="AV157" s="8">
        <v>59.9</v>
      </c>
      <c r="AW157" s="8">
        <v>36</v>
      </c>
      <c r="AX157" s="8" t="s">
        <v>332</v>
      </c>
      <c r="AY157" s="8" t="s">
        <v>229</v>
      </c>
      <c r="AZ157" s="8" t="s">
        <v>332</v>
      </c>
      <c r="BA157" s="21">
        <f>IF(OR(tblsales[[#This Row],[Invoice Value USD]]="",tblsales[[#This Row],[Collected Amount USD]]=""),"",tblsales[[#This Row],[Invoice Value USD]]-tblsales[[#This Row],[Collected Amount USD]])</f>
        <v>1603968.4845090001</v>
      </c>
      <c r="BB157" s="21">
        <f>IF(OR(tblsales[[#This Row],[Contract Value USD]]="",tblsales[[#This Row],[Cost Estimate USD]]=""),"",tblsales[[#This Row],[Contract Value USD]]-tblsales[[#This Row],[Cost Estimate USD]])</f>
        <v>2054832.7621680005</v>
      </c>
      <c r="BC157" s="21">
        <f>IF(OR(tblsales[[#This Row],[Contract Value USD]]="",tblsales[[#This Row],[Cost Estimate USD]]=""),"",tblsales[[#This Row],[Contract Value USD]]-tblsales[[#This Row],[Cost Estimate USD]])</f>
        <v>2054832.7621680005</v>
      </c>
      <c r="BD157" s="23">
        <f>IF(tblsales[[#This Row],[Invoice Value USD]]="","",tblsales[[#This Row],[Collected Amount USD]]/tblsales[[#This Row],[Invoice Value USD]])</f>
        <v>0.6381778147767978</v>
      </c>
      <c r="BE157" s="11">
        <f>IF(tblsales[[#This Row],[SalesStage]]="Won",1,0)</f>
        <v>0</v>
      </c>
      <c r="BF157" s="21" t="str">
        <f>IF(tblsales[[#This Row],[Win Flag]]=1,"Won","Lost")</f>
        <v>Lost</v>
      </c>
      <c r="BG157" s="8"/>
    </row>
    <row r="158" spans="1:61" x14ac:dyDescent="0.3">
      <c r="A158" s="10" t="s">
        <v>812</v>
      </c>
      <c r="B158" s="9">
        <v>45994</v>
      </c>
      <c r="C158" s="10" t="s">
        <v>256</v>
      </c>
      <c r="D158" s="10" t="s">
        <v>255</v>
      </c>
      <c r="E158" s="10" t="s">
        <v>52</v>
      </c>
      <c r="F158" s="10" t="s">
        <v>75</v>
      </c>
      <c r="G158" s="10" t="s">
        <v>16</v>
      </c>
      <c r="H158" s="10" t="s">
        <v>236</v>
      </c>
      <c r="I158" s="10" t="s">
        <v>203</v>
      </c>
      <c r="J158" s="10" t="s">
        <v>119</v>
      </c>
      <c r="K158" s="10" t="s">
        <v>326</v>
      </c>
      <c r="L158" s="10" t="s">
        <v>813</v>
      </c>
      <c r="M158" s="9">
        <v>45920</v>
      </c>
      <c r="N158" s="9"/>
      <c r="O158" s="9">
        <v>46113</v>
      </c>
      <c r="P158" s="11">
        <v>35</v>
      </c>
      <c r="Q158" s="12">
        <v>29684729</v>
      </c>
      <c r="R158">
        <v>7916917.2242999999</v>
      </c>
      <c r="S158" s="22">
        <v>7.0000000000000007E-2</v>
      </c>
      <c r="T158" s="22">
        <v>0.04</v>
      </c>
      <c r="U158" s="12">
        <v>28711069.890000001</v>
      </c>
      <c r="V158" s="24">
        <v>7657242.3396629998</v>
      </c>
      <c r="W158" s="8"/>
      <c r="X158" s="24"/>
      <c r="Y158" s="22">
        <v>7.0000000000000007E-2</v>
      </c>
      <c r="Z158" s="22">
        <v>0.17</v>
      </c>
      <c r="AA158" s="8" t="s">
        <v>814</v>
      </c>
      <c r="AB158" s="8">
        <v>12026094.779999999</v>
      </c>
      <c r="AC158" s="24">
        <v>3207359.4778259997</v>
      </c>
      <c r="AD158" s="8">
        <v>7064000.5599999996</v>
      </c>
      <c r="AE158" s="24">
        <v>1883968.9493519999</v>
      </c>
      <c r="AF158" s="8">
        <v>45</v>
      </c>
      <c r="AG158" s="8">
        <v>29</v>
      </c>
      <c r="AH158" s="8" t="s">
        <v>353</v>
      </c>
      <c r="AI158" s="8" t="s">
        <v>336</v>
      </c>
      <c r="AJ158" s="22">
        <v>0.23</v>
      </c>
      <c r="AK158" s="8" t="s">
        <v>162</v>
      </c>
      <c r="AL158" s="22">
        <v>0.05</v>
      </c>
      <c r="AM158" s="22">
        <v>0.02</v>
      </c>
      <c r="AN158" s="8">
        <v>13</v>
      </c>
      <c r="AO158" s="8">
        <v>686</v>
      </c>
      <c r="AP158" s="8">
        <v>2210232.1</v>
      </c>
      <c r="AQ158" s="24">
        <v>589468.90107000002</v>
      </c>
      <c r="AR158" s="8">
        <v>8742404.0500000007</v>
      </c>
      <c r="AS158" s="37">
        <v>2331599.160135</v>
      </c>
      <c r="AT158" s="8" t="s">
        <v>355</v>
      </c>
      <c r="AU158" s="8" t="s">
        <v>330</v>
      </c>
      <c r="AV158" s="8">
        <v>86.9</v>
      </c>
      <c r="AW158" s="8">
        <v>12</v>
      </c>
      <c r="AX158" s="8" t="s">
        <v>332</v>
      </c>
      <c r="AY158" s="8" t="s">
        <v>229</v>
      </c>
      <c r="AZ158" s="8" t="s">
        <v>332</v>
      </c>
      <c r="BA158" s="21">
        <f>IF(OR(tblsales[[#This Row],[Invoice Value USD]]="",tblsales[[#This Row],[Collected Amount USD]]=""),"",tblsales[[#This Row],[Invoice Value USD]]-tblsales[[#This Row],[Collected Amount USD]])</f>
        <v>1323390.5284739998</v>
      </c>
      <c r="BB158" s="21" t="str">
        <f>IF(OR(tblsales[[#This Row],[Contract Value USD]]="",tblsales[[#This Row],[Cost Estimate USD]]=""),"",tblsales[[#This Row],[Contract Value USD]]-tblsales[[#This Row],[Cost Estimate USD]])</f>
        <v/>
      </c>
      <c r="BC158" s="21" t="str">
        <f>IF(OR(tblsales[[#This Row],[Contract Value USD]]="",tblsales[[#This Row],[Cost Estimate USD]]=""),"",tblsales[[#This Row],[Contract Value USD]]-tblsales[[#This Row],[Cost Estimate USD]])</f>
        <v/>
      </c>
      <c r="BD158" s="23">
        <f>IF(tblsales[[#This Row],[Invoice Value USD]]="","",tblsales[[#This Row],[Collected Amount USD]]/tblsales[[#This Row],[Invoice Value USD]])</f>
        <v>0.58738939690944292</v>
      </c>
      <c r="BE158" s="11">
        <f>IF(tblsales[[#This Row],[SalesStage]]="Won",1,0)</f>
        <v>0</v>
      </c>
      <c r="BF158" s="21" t="str">
        <f>IF(tblsales[[#This Row],[Win Flag]]=1,"Won","Lost")</f>
        <v>Lost</v>
      </c>
      <c r="BG158" s="8"/>
    </row>
    <row r="159" spans="1:61" x14ac:dyDescent="0.3">
      <c r="A159" s="10" t="s">
        <v>815</v>
      </c>
      <c r="B159" s="9">
        <v>46019</v>
      </c>
      <c r="C159" s="10" t="s">
        <v>267</v>
      </c>
      <c r="D159" s="10" t="s">
        <v>248</v>
      </c>
      <c r="E159" s="10" t="s">
        <v>113</v>
      </c>
      <c r="F159" s="10" t="s">
        <v>181</v>
      </c>
      <c r="G159" s="10" t="s">
        <v>33</v>
      </c>
      <c r="H159" s="10" t="s">
        <v>236</v>
      </c>
      <c r="I159" s="10" t="s">
        <v>233</v>
      </c>
      <c r="J159" s="10" t="s">
        <v>127</v>
      </c>
      <c r="K159" s="10" t="s">
        <v>326</v>
      </c>
      <c r="L159" s="10" t="s">
        <v>816</v>
      </c>
      <c r="M159" s="9">
        <v>46003</v>
      </c>
      <c r="N159" s="9"/>
      <c r="O159" s="9">
        <v>46359</v>
      </c>
      <c r="P159" s="11">
        <v>60</v>
      </c>
      <c r="Q159" s="12">
        <v>7116567</v>
      </c>
      <c r="R159">
        <v>1937841.1941</v>
      </c>
      <c r="S159" s="22">
        <v>0.25</v>
      </c>
      <c r="T159" s="22">
        <v>0.08</v>
      </c>
      <c r="U159" s="12">
        <v>5764419.2699999996</v>
      </c>
      <c r="V159" s="24">
        <v>1569651.3672209999</v>
      </c>
      <c r="W159" s="8"/>
      <c r="X159" s="24"/>
      <c r="Y159" s="22"/>
      <c r="Z159" s="22">
        <v>0.06</v>
      </c>
      <c r="AA159" s="8" t="s">
        <v>817</v>
      </c>
      <c r="AB159" s="8">
        <v>1175999.24</v>
      </c>
      <c r="AC159" s="24">
        <v>320224.59305199998</v>
      </c>
      <c r="AD159" s="8">
        <v>1286591.78</v>
      </c>
      <c r="AE159" s="24">
        <v>350338.94169399998</v>
      </c>
      <c r="AF159" s="8">
        <v>120</v>
      </c>
      <c r="AG159" s="8">
        <v>162</v>
      </c>
      <c r="AH159" s="8" t="s">
        <v>376</v>
      </c>
      <c r="AI159" s="8" t="s">
        <v>381</v>
      </c>
      <c r="AJ159" s="22">
        <v>0.65</v>
      </c>
      <c r="AK159" s="8" t="s">
        <v>153</v>
      </c>
      <c r="AL159" s="22">
        <v>0.05</v>
      </c>
      <c r="AM159" s="22">
        <v>0.02</v>
      </c>
      <c r="AN159" s="8">
        <v>12</v>
      </c>
      <c r="AO159" s="8">
        <v>2076</v>
      </c>
      <c r="AP159" s="8">
        <v>597330.37</v>
      </c>
      <c r="AQ159" s="24">
        <v>162653.05975099999</v>
      </c>
      <c r="AR159" s="8">
        <v>799841.35</v>
      </c>
      <c r="AS159" s="37">
        <v>217796.79960499998</v>
      </c>
      <c r="AT159" s="8" t="s">
        <v>321</v>
      </c>
      <c r="AU159" s="8" t="s">
        <v>356</v>
      </c>
      <c r="AV159" s="8">
        <v>64.3</v>
      </c>
      <c r="AW159" s="8"/>
      <c r="AX159" s="8" t="s">
        <v>337</v>
      </c>
      <c r="AY159" s="8" t="s">
        <v>206</v>
      </c>
      <c r="AZ159" s="8" t="s">
        <v>361</v>
      </c>
      <c r="BA159" s="21">
        <f>IF(OR(tblsales[[#This Row],[Invoice Value USD]]="",tblsales[[#This Row],[Collected Amount USD]]=""),"",tblsales[[#This Row],[Invoice Value USD]]-tblsales[[#This Row],[Collected Amount USD]])</f>
        <v>-30114.348641999997</v>
      </c>
      <c r="BB159" s="21" t="str">
        <f>IF(OR(tblsales[[#This Row],[Contract Value USD]]="",tblsales[[#This Row],[Cost Estimate USD]]=""),"",tblsales[[#This Row],[Contract Value USD]]-tblsales[[#This Row],[Cost Estimate USD]])</f>
        <v/>
      </c>
      <c r="BC159" s="21" t="str">
        <f>IF(OR(tblsales[[#This Row],[Contract Value USD]]="",tblsales[[#This Row],[Cost Estimate USD]]=""),"",tblsales[[#This Row],[Contract Value USD]]-tblsales[[#This Row],[Cost Estimate USD]])</f>
        <v/>
      </c>
      <c r="BD159" s="23">
        <f>IF(tblsales[[#This Row],[Invoice Value USD]]="","",tblsales[[#This Row],[Collected Amount USD]]/tblsales[[#This Row],[Invoice Value USD]])</f>
        <v>1.0940413362852173</v>
      </c>
      <c r="BE159" s="11">
        <f>IF(tblsales[[#This Row],[SalesStage]]="Won",1,0)</f>
        <v>0</v>
      </c>
      <c r="BF159" s="21" t="str">
        <f>IF(tblsales[[#This Row],[Win Flag]]=1,"Won","Lost")</f>
        <v>Lost</v>
      </c>
      <c r="BG159" s="8"/>
    </row>
    <row r="160" spans="1:61" x14ac:dyDescent="0.3">
      <c r="A160" s="10" t="s">
        <v>818</v>
      </c>
      <c r="B160" s="9">
        <v>45928</v>
      </c>
      <c r="C160" s="10" t="s">
        <v>268</v>
      </c>
      <c r="D160" s="10" t="s">
        <v>220</v>
      </c>
      <c r="E160" s="10" t="s">
        <v>36</v>
      </c>
      <c r="F160" s="10" t="s">
        <v>332</v>
      </c>
      <c r="G160" s="10" t="s">
        <v>80</v>
      </c>
      <c r="H160" s="10" t="s">
        <v>263</v>
      </c>
      <c r="I160" s="10" t="s">
        <v>203</v>
      </c>
      <c r="J160" s="10" t="s">
        <v>115</v>
      </c>
      <c r="K160" s="10" t="s">
        <v>223</v>
      </c>
      <c r="L160" s="10" t="s">
        <v>819</v>
      </c>
      <c r="M160" s="9">
        <v>45724</v>
      </c>
      <c r="N160" s="9">
        <v>45787</v>
      </c>
      <c r="O160" s="9"/>
      <c r="P160" s="11">
        <v>35</v>
      </c>
      <c r="Q160" s="12">
        <v>40781656</v>
      </c>
      <c r="R160">
        <v>11104844.9288</v>
      </c>
      <c r="S160" s="22">
        <v>0.14000000000000001</v>
      </c>
      <c r="T160" s="22">
        <v>0.11</v>
      </c>
      <c r="U160" s="12">
        <v>38930168.82</v>
      </c>
      <c r="V160" s="24">
        <v>10600684.969686</v>
      </c>
      <c r="W160" s="8">
        <v>25307745.109999999</v>
      </c>
      <c r="X160" s="24">
        <v>6891298.9934529997</v>
      </c>
      <c r="Y160" s="22">
        <v>0.39</v>
      </c>
      <c r="Z160" s="22">
        <v>0.09</v>
      </c>
      <c r="AA160" s="8" t="s">
        <v>820</v>
      </c>
      <c r="AB160" s="8">
        <v>8896645.5600000005</v>
      </c>
      <c r="AC160" s="24">
        <v>2422556.585988</v>
      </c>
      <c r="AD160" s="8">
        <v>5402394.4699999997</v>
      </c>
      <c r="AE160" s="24">
        <v>1471072.0141809999</v>
      </c>
      <c r="AF160" s="8">
        <v>30</v>
      </c>
      <c r="AG160" s="8">
        <v>34</v>
      </c>
      <c r="AH160" s="8" t="s">
        <v>376</v>
      </c>
      <c r="AI160" s="8" t="s">
        <v>336</v>
      </c>
      <c r="AJ160" s="22">
        <v>0.64</v>
      </c>
      <c r="AK160" s="8" t="s">
        <v>153</v>
      </c>
      <c r="AL160" s="22">
        <v>0.15</v>
      </c>
      <c r="AM160" s="22">
        <v>0.02</v>
      </c>
      <c r="AN160" s="8">
        <v>6</v>
      </c>
      <c r="AO160" s="8">
        <v>4065</v>
      </c>
      <c r="AP160" s="8">
        <v>8570819.8599999994</v>
      </c>
      <c r="AQ160" s="24">
        <v>2333834.2478779997</v>
      </c>
      <c r="AR160" s="8">
        <v>6470477.7800000003</v>
      </c>
      <c r="AS160" s="37">
        <v>1761911.099494</v>
      </c>
      <c r="AT160" s="8" t="s">
        <v>385</v>
      </c>
      <c r="AU160" s="8" t="s">
        <v>348</v>
      </c>
      <c r="AV160" s="8"/>
      <c r="AW160" s="8">
        <v>48</v>
      </c>
      <c r="AX160" s="8" t="s">
        <v>332</v>
      </c>
      <c r="AY160" s="8" t="s">
        <v>192</v>
      </c>
      <c r="AZ160" s="8" t="s">
        <v>361</v>
      </c>
      <c r="BA160" s="21">
        <f>IF(OR(tblsales[[#This Row],[Invoice Value USD]]="",tblsales[[#This Row],[Collected Amount USD]]=""),"",tblsales[[#This Row],[Invoice Value USD]]-tblsales[[#This Row],[Collected Amount USD]])</f>
        <v>951484.57180700009</v>
      </c>
      <c r="BB160" s="21">
        <f>IF(OR(tblsales[[#This Row],[Contract Value USD]]="",tblsales[[#This Row],[Cost Estimate USD]]=""),"",tblsales[[#This Row],[Contract Value USD]]-tblsales[[#This Row],[Cost Estimate USD]])</f>
        <v>3709385.9762329999</v>
      </c>
      <c r="BC160" s="21">
        <f>IF(OR(tblsales[[#This Row],[Contract Value USD]]="",tblsales[[#This Row],[Cost Estimate USD]]=""),"",tblsales[[#This Row],[Contract Value USD]]-tblsales[[#This Row],[Cost Estimate USD]])</f>
        <v>3709385.9762329999</v>
      </c>
      <c r="BD160" s="23">
        <f>IF(tblsales[[#This Row],[Invoice Value USD]]="","",tblsales[[#This Row],[Collected Amount USD]]/tblsales[[#This Row],[Invoice Value USD]])</f>
        <v>0.60723948521559401</v>
      </c>
      <c r="BE160" s="11">
        <f>IF(tblsales[[#This Row],[SalesStage]]="Won",1,0)</f>
        <v>0</v>
      </c>
      <c r="BF160" s="21" t="str">
        <f>IF(tblsales[[#This Row],[Win Flag]]=1,"Won","Lost")</f>
        <v>Lost</v>
      </c>
      <c r="BG160" s="8"/>
    </row>
    <row r="161" spans="1:61" x14ac:dyDescent="0.3">
      <c r="A161" s="10" t="s">
        <v>821</v>
      </c>
      <c r="B161" s="9">
        <v>45739</v>
      </c>
      <c r="C161" s="10" t="s">
        <v>239</v>
      </c>
      <c r="D161" s="10" t="s">
        <v>281</v>
      </c>
      <c r="E161" s="10" t="s">
        <v>36</v>
      </c>
      <c r="F161" s="10" t="s">
        <v>19</v>
      </c>
      <c r="G161" s="10" t="s">
        <v>57</v>
      </c>
      <c r="H161" s="10" t="s">
        <v>263</v>
      </c>
      <c r="I161" s="10" t="s">
        <v>191</v>
      </c>
      <c r="J161" s="10" t="s">
        <v>115</v>
      </c>
      <c r="K161" s="10" t="s">
        <v>221</v>
      </c>
      <c r="L161" s="10" t="s">
        <v>822</v>
      </c>
      <c r="M161" s="9">
        <v>45748</v>
      </c>
      <c r="N161" s="9"/>
      <c r="O161" s="9">
        <v>45846</v>
      </c>
      <c r="P161" s="11">
        <v>48</v>
      </c>
      <c r="Q161" s="12">
        <v>38579423</v>
      </c>
      <c r="R161">
        <v>10289132.1141</v>
      </c>
      <c r="S161" s="22">
        <v>0.08</v>
      </c>
      <c r="T161" s="22">
        <v>0.12</v>
      </c>
      <c r="U161" s="12">
        <v>39752237.460000001</v>
      </c>
      <c r="V161" s="24">
        <v>10601921.730582001</v>
      </c>
      <c r="W161" s="8">
        <v>27000175.010000002</v>
      </c>
      <c r="X161" s="24">
        <v>7200946.6751669999</v>
      </c>
      <c r="Y161" s="22">
        <v>0.36</v>
      </c>
      <c r="Z161" s="22">
        <v>0.09</v>
      </c>
      <c r="AA161" s="8" t="s">
        <v>823</v>
      </c>
      <c r="AB161" s="8">
        <v>31693734.02</v>
      </c>
      <c r="AC161" s="24">
        <v>8452718.8631340005</v>
      </c>
      <c r="AD161" s="8">
        <v>29554961.670000002</v>
      </c>
      <c r="AE161" s="24">
        <v>7882308.2773890002</v>
      </c>
      <c r="AF161" s="8">
        <v>90</v>
      </c>
      <c r="AG161" s="8">
        <v>129</v>
      </c>
      <c r="AH161" s="8" t="s">
        <v>347</v>
      </c>
      <c r="AI161" s="8" t="s">
        <v>320</v>
      </c>
      <c r="AJ161" s="22">
        <v>0.72</v>
      </c>
      <c r="AK161" s="8" t="s">
        <v>162</v>
      </c>
      <c r="AL161" s="22">
        <v>0.15</v>
      </c>
      <c r="AM161" s="22">
        <v>0.03</v>
      </c>
      <c r="AN161" s="8">
        <v>7</v>
      </c>
      <c r="AO161" s="8">
        <v>1457</v>
      </c>
      <c r="AP161" s="8">
        <v>938027.69</v>
      </c>
      <c r="AQ161" s="24">
        <v>250171.98492299998</v>
      </c>
      <c r="AR161" s="8">
        <v>17776913.399999999</v>
      </c>
      <c r="AS161" s="37">
        <v>4741102.8037799997</v>
      </c>
      <c r="AT161" s="8" t="s">
        <v>385</v>
      </c>
      <c r="AU161" s="8" t="s">
        <v>321</v>
      </c>
      <c r="AV161" s="8">
        <v>50.5</v>
      </c>
      <c r="AW161" s="8">
        <v>60</v>
      </c>
      <c r="AX161" s="8" t="s">
        <v>332</v>
      </c>
      <c r="AY161" s="8" t="s">
        <v>224</v>
      </c>
      <c r="AZ161" s="8" t="s">
        <v>361</v>
      </c>
      <c r="BA161" s="21">
        <f>IF(OR(tblsales[[#This Row],[Invoice Value USD]]="",tblsales[[#This Row],[Collected Amount USD]]=""),"",tblsales[[#This Row],[Invoice Value USD]]-tblsales[[#This Row],[Collected Amount USD]])</f>
        <v>570410.58574500028</v>
      </c>
      <c r="BB161" s="21">
        <f>IF(OR(tblsales[[#This Row],[Contract Value USD]]="",tblsales[[#This Row],[Cost Estimate USD]]=""),"",tblsales[[#This Row],[Contract Value USD]]-tblsales[[#This Row],[Cost Estimate USD]])</f>
        <v>3400975.0554150008</v>
      </c>
      <c r="BC161" s="21">
        <f>IF(OR(tblsales[[#This Row],[Contract Value USD]]="",tblsales[[#This Row],[Cost Estimate USD]]=""),"",tblsales[[#This Row],[Contract Value USD]]-tblsales[[#This Row],[Cost Estimate USD]])</f>
        <v>3400975.0554150008</v>
      </c>
      <c r="BD161" s="23">
        <f>IF(tblsales[[#This Row],[Invoice Value USD]]="","",tblsales[[#This Row],[Collected Amount USD]]/tblsales[[#This Row],[Invoice Value USD]])</f>
        <v>0.9325175017670575</v>
      </c>
      <c r="BE161" s="11">
        <f>IF(tblsales[[#This Row],[SalesStage]]="Won",1,0)</f>
        <v>1</v>
      </c>
      <c r="BF161" s="21" t="str">
        <f>IF(tblsales[[#This Row],[Win Flag]]=1,"Won","Lost")</f>
        <v>Won</v>
      </c>
      <c r="BG161" s="8"/>
    </row>
    <row r="162" spans="1:61" x14ac:dyDescent="0.3">
      <c r="A162" s="10" t="s">
        <v>824</v>
      </c>
      <c r="B162" s="9">
        <v>46076</v>
      </c>
      <c r="C162" s="10" t="s">
        <v>264</v>
      </c>
      <c r="D162" s="10" t="s">
        <v>394</v>
      </c>
      <c r="E162" s="10" t="s">
        <v>52</v>
      </c>
      <c r="F162" s="10" t="s">
        <v>75</v>
      </c>
      <c r="G162" s="10" t="s">
        <v>23</v>
      </c>
      <c r="H162" s="10" t="s">
        <v>182</v>
      </c>
      <c r="I162" s="10" t="s">
        <v>191</v>
      </c>
      <c r="J162" s="10" t="s">
        <v>133</v>
      </c>
      <c r="K162" s="10" t="s">
        <v>326</v>
      </c>
      <c r="L162" s="10" t="s">
        <v>825</v>
      </c>
      <c r="M162" s="9">
        <v>45989</v>
      </c>
      <c r="N162" s="9"/>
      <c r="O162" s="9"/>
      <c r="P162" s="11">
        <v>44</v>
      </c>
      <c r="Q162" s="12">
        <v>29874525</v>
      </c>
      <c r="R162">
        <v>34684323.524999999</v>
      </c>
      <c r="S162" s="22">
        <v>0.09</v>
      </c>
      <c r="T162" s="22">
        <v>0.02</v>
      </c>
      <c r="U162" s="12">
        <v>27729534.109999999</v>
      </c>
      <c r="V162" s="24">
        <v>32193989.101709999</v>
      </c>
      <c r="W162" s="8">
        <v>17471551.43</v>
      </c>
      <c r="X162" s="24">
        <v>20284471.21023</v>
      </c>
      <c r="Y162" s="22">
        <v>0.3</v>
      </c>
      <c r="Z162" s="22">
        <v>0.17</v>
      </c>
      <c r="AA162" s="8" t="s">
        <v>826</v>
      </c>
      <c r="AB162" s="8">
        <v>15096352.949999999</v>
      </c>
      <c r="AC162" s="24">
        <v>17526865.774950001</v>
      </c>
      <c r="AD162" s="8">
        <v>14283963.380000001</v>
      </c>
      <c r="AE162" s="24">
        <v>16583681.484180002</v>
      </c>
      <c r="AF162" s="8">
        <v>90</v>
      </c>
      <c r="AG162" s="8">
        <v>40</v>
      </c>
      <c r="AH162" s="8" t="s">
        <v>347</v>
      </c>
      <c r="AI162" s="8" t="s">
        <v>336</v>
      </c>
      <c r="AJ162" s="22">
        <v>0.47</v>
      </c>
      <c r="AK162" s="8" t="s">
        <v>159</v>
      </c>
      <c r="AL162" s="22">
        <v>0.15</v>
      </c>
      <c r="AM162" s="22">
        <v>0.08</v>
      </c>
      <c r="AN162" s="8">
        <v>11</v>
      </c>
      <c r="AO162" s="8">
        <v>368</v>
      </c>
      <c r="AP162" s="8">
        <v>5466241.3700000001</v>
      </c>
      <c r="AQ162" s="24">
        <v>6346306.2305700006</v>
      </c>
      <c r="AR162" s="8">
        <v>13183711.859999999</v>
      </c>
      <c r="AS162" s="37">
        <v>15306289.469459999</v>
      </c>
      <c r="AT162" s="8" t="s">
        <v>321</v>
      </c>
      <c r="AU162" s="8" t="s">
        <v>348</v>
      </c>
      <c r="AV162" s="8"/>
      <c r="AW162" s="8">
        <v>12</v>
      </c>
      <c r="AX162" s="8" t="s">
        <v>332</v>
      </c>
      <c r="AY162" s="8" t="s">
        <v>229</v>
      </c>
      <c r="AZ162" s="8" t="s">
        <v>332</v>
      </c>
      <c r="BA162" s="21">
        <f>IF(OR(tblsales[[#This Row],[Invoice Value USD]]="",tblsales[[#This Row],[Collected Amount USD]]=""),"",tblsales[[#This Row],[Invoice Value USD]]-tblsales[[#This Row],[Collected Amount USD]])</f>
        <v>943184.29076999985</v>
      </c>
      <c r="BB162" s="21">
        <f>IF(OR(tblsales[[#This Row],[Contract Value USD]]="",tblsales[[#This Row],[Cost Estimate USD]]=""),"",tblsales[[#This Row],[Contract Value USD]]-tblsales[[#This Row],[Cost Estimate USD]])</f>
        <v>11909517.891479999</v>
      </c>
      <c r="BC162" s="21">
        <f>IF(OR(tblsales[[#This Row],[Contract Value USD]]="",tblsales[[#This Row],[Cost Estimate USD]]=""),"",tblsales[[#This Row],[Contract Value USD]]-tblsales[[#This Row],[Cost Estimate USD]])</f>
        <v>11909517.891479999</v>
      </c>
      <c r="BD162" s="23">
        <f>IF(tblsales[[#This Row],[Invoice Value USD]]="","",tblsales[[#This Row],[Collected Amount USD]]/tblsales[[#This Row],[Invoice Value USD]])</f>
        <v>0.94618636880770601</v>
      </c>
      <c r="BE162" s="11">
        <f>IF(tblsales[[#This Row],[SalesStage]]="Won",1,0)</f>
        <v>0</v>
      </c>
      <c r="BF162" s="21" t="str">
        <f>IF(tblsales[[#This Row],[Win Flag]]=1,"Won","Lost")</f>
        <v>Lost</v>
      </c>
      <c r="BG162" s="8"/>
    </row>
    <row r="163" spans="1:61" ht="17.399999999999999" x14ac:dyDescent="0.3">
      <c r="A163" s="10" t="s">
        <v>827</v>
      </c>
      <c r="B163" s="9">
        <v>46046</v>
      </c>
      <c r="C163" s="10" t="s">
        <v>234</v>
      </c>
      <c r="D163" s="10" t="s">
        <v>265</v>
      </c>
      <c r="E163" s="10" t="s">
        <v>41</v>
      </c>
      <c r="F163" s="10" t="s">
        <v>363</v>
      </c>
      <c r="G163" s="10" t="s">
        <v>23</v>
      </c>
      <c r="H163" s="10" t="s">
        <v>236</v>
      </c>
      <c r="I163" s="10" t="s">
        <v>240</v>
      </c>
      <c r="J163" s="10" t="s">
        <v>105</v>
      </c>
      <c r="K163" s="10" t="s">
        <v>326</v>
      </c>
      <c r="L163" s="10" t="s">
        <v>828</v>
      </c>
      <c r="M163" s="9">
        <v>46022</v>
      </c>
      <c r="N163" s="9"/>
      <c r="O163" s="9"/>
      <c r="P163" s="11">
        <v>21</v>
      </c>
      <c r="Q163" s="12">
        <v>37972306</v>
      </c>
      <c r="R163">
        <v>37972306</v>
      </c>
      <c r="S163" s="22">
        <v>0.31</v>
      </c>
      <c r="T163" s="22">
        <v>0.15</v>
      </c>
      <c r="U163" s="12">
        <v>30131024.809999999</v>
      </c>
      <c r="V163" s="24">
        <v>30131024.809999999</v>
      </c>
      <c r="W163" s="8">
        <v>23644087.260000002</v>
      </c>
      <c r="X163" s="24">
        <v>23644087.260000002</v>
      </c>
      <c r="Y163" s="22">
        <v>0.37</v>
      </c>
      <c r="Z163" s="22">
        <v>0.19</v>
      </c>
      <c r="AA163" s="8" t="s">
        <v>829</v>
      </c>
      <c r="AB163" s="8">
        <v>9379102.3499999996</v>
      </c>
      <c r="AC163" s="24">
        <v>9379102.3499999996</v>
      </c>
      <c r="AD163" s="8">
        <v>6407115.2999999998</v>
      </c>
      <c r="AE163" s="24">
        <v>6407115.2999999998</v>
      </c>
      <c r="AF163" s="8">
        <v>45</v>
      </c>
      <c r="AG163" s="8">
        <v>15</v>
      </c>
      <c r="AH163" s="8" t="s">
        <v>353</v>
      </c>
      <c r="AI163" s="8" t="s">
        <v>226</v>
      </c>
      <c r="AJ163" s="22">
        <v>0.56000000000000005</v>
      </c>
      <c r="AK163" s="8" t="s">
        <v>152</v>
      </c>
      <c r="AL163" s="22">
        <v>0.1</v>
      </c>
      <c r="AM163" s="22">
        <v>7.0000000000000007E-2</v>
      </c>
      <c r="AN163" s="8">
        <v>3</v>
      </c>
      <c r="AO163" s="8">
        <v>3493</v>
      </c>
      <c r="AP163" s="8">
        <v>5226915.6100000003</v>
      </c>
      <c r="AQ163" s="24">
        <v>5226915.6100000003</v>
      </c>
      <c r="AR163" s="8">
        <v>12866701.41</v>
      </c>
      <c r="AS163" s="37">
        <v>12866701.41</v>
      </c>
      <c r="AT163" s="8" t="s">
        <v>73</v>
      </c>
      <c r="AU163" s="8" t="s">
        <v>321</v>
      </c>
      <c r="AV163" s="8">
        <v>58.9</v>
      </c>
      <c r="AW163" s="8">
        <v>12</v>
      </c>
      <c r="AX163" s="8" t="s">
        <v>337</v>
      </c>
      <c r="AY163" s="8" t="s">
        <v>192</v>
      </c>
      <c r="AZ163" s="8" t="s">
        <v>361</v>
      </c>
      <c r="BA163" s="21">
        <f>IF(OR(tblsales[[#This Row],[Invoice Value USD]]="",tblsales[[#This Row],[Collected Amount USD]]=""),"",tblsales[[#This Row],[Invoice Value USD]]-tblsales[[#This Row],[Collected Amount USD]])</f>
        <v>2971987.05</v>
      </c>
      <c r="BB163" s="21">
        <f>IF(OR(tblsales[[#This Row],[Contract Value USD]]="",tblsales[[#This Row],[Cost Estimate USD]]=""),"",tblsales[[#This Row],[Contract Value USD]]-tblsales[[#This Row],[Cost Estimate USD]])</f>
        <v>6486937.549999997</v>
      </c>
      <c r="BC163" s="21">
        <f>IF(OR(tblsales[[#This Row],[Contract Value USD]]="",tblsales[[#This Row],[Cost Estimate USD]]=""),"",tblsales[[#This Row],[Contract Value USD]]-tblsales[[#This Row],[Cost Estimate USD]])</f>
        <v>6486937.549999997</v>
      </c>
      <c r="BD163" s="23">
        <f>IF(tblsales[[#This Row],[Invoice Value USD]]="","",tblsales[[#This Row],[Collected Amount USD]]/tblsales[[#This Row],[Invoice Value USD]])</f>
        <v>0.68312670668318276</v>
      </c>
      <c r="BE163" s="11">
        <f>IF(tblsales[[#This Row],[SalesStage]]="Won",1,0)</f>
        <v>0</v>
      </c>
      <c r="BF163" s="21" t="str">
        <f>IF(tblsales[[#This Row],[Win Flag]]=1,"Won","Lost")</f>
        <v>Lost</v>
      </c>
      <c r="BG163" s="8"/>
      <c r="BH163" s="27" t="s">
        <v>5729</v>
      </c>
    </row>
    <row r="164" spans="1:61" x14ac:dyDescent="0.3">
      <c r="A164" s="10" t="s">
        <v>830</v>
      </c>
      <c r="B164" s="9">
        <v>45734</v>
      </c>
      <c r="C164" s="10" t="s">
        <v>272</v>
      </c>
      <c r="D164" s="10" t="s">
        <v>248</v>
      </c>
      <c r="E164" s="10" t="s">
        <v>41</v>
      </c>
      <c r="F164" s="10" t="s">
        <v>363</v>
      </c>
      <c r="G164" s="10" t="s">
        <v>28</v>
      </c>
      <c r="H164" s="10" t="s">
        <v>236</v>
      </c>
      <c r="I164" s="10" t="s">
        <v>240</v>
      </c>
      <c r="J164" s="10" t="s">
        <v>130</v>
      </c>
      <c r="K164" s="10" t="s">
        <v>326</v>
      </c>
      <c r="L164" s="10" t="s">
        <v>831</v>
      </c>
      <c r="M164" s="9">
        <v>45654</v>
      </c>
      <c r="N164" s="9">
        <v>45765</v>
      </c>
      <c r="O164" s="9">
        <v>45838</v>
      </c>
      <c r="P164" s="11">
        <v>52</v>
      </c>
      <c r="Q164" s="12">
        <v>44213625</v>
      </c>
      <c r="R164">
        <v>44213625</v>
      </c>
      <c r="S164" s="22">
        <v>0.06</v>
      </c>
      <c r="T164" s="22">
        <v>-0.01</v>
      </c>
      <c r="U164" s="12">
        <v>41145199.420000002</v>
      </c>
      <c r="V164" s="24">
        <v>41145199.420000002</v>
      </c>
      <c r="W164" s="8">
        <v>33923601.799999997</v>
      </c>
      <c r="X164" s="24">
        <v>33923601.799999997</v>
      </c>
      <c r="Y164" s="22">
        <v>0.13</v>
      </c>
      <c r="Z164" s="22">
        <v>0.05</v>
      </c>
      <c r="AA164" s="8" t="s">
        <v>832</v>
      </c>
      <c r="AB164" s="8">
        <v>17679725.329999998</v>
      </c>
      <c r="AC164" s="24">
        <v>17679725.329999998</v>
      </c>
      <c r="AD164" s="8">
        <v>16574399.359999999</v>
      </c>
      <c r="AE164" s="24">
        <v>16574399.359999999</v>
      </c>
      <c r="AF164" s="8">
        <v>90</v>
      </c>
      <c r="AG164" s="8">
        <v>18</v>
      </c>
      <c r="AH164" s="8" t="s">
        <v>329</v>
      </c>
      <c r="AI164" s="8" t="s">
        <v>226</v>
      </c>
      <c r="AJ164" s="22">
        <v>0.16</v>
      </c>
      <c r="AK164" s="8" t="s">
        <v>152</v>
      </c>
      <c r="AL164" s="22">
        <v>0.1</v>
      </c>
      <c r="AM164" s="22">
        <v>0.1</v>
      </c>
      <c r="AN164" s="8">
        <v>8</v>
      </c>
      <c r="AO164" s="8">
        <v>498</v>
      </c>
      <c r="AP164" s="8">
        <v>4237851.17</v>
      </c>
      <c r="AQ164" s="24">
        <v>4237851.17</v>
      </c>
      <c r="AR164" s="8">
        <v>16929552.359999999</v>
      </c>
      <c r="AS164" s="37">
        <v>16929552.359999999</v>
      </c>
      <c r="AT164" s="8" t="s">
        <v>343</v>
      </c>
      <c r="AU164" s="8" t="s">
        <v>332</v>
      </c>
      <c r="AV164" s="8"/>
      <c r="AW164" s="8">
        <v>48</v>
      </c>
      <c r="AX164" s="8" t="s">
        <v>387</v>
      </c>
      <c r="AY164" s="8" t="s">
        <v>224</v>
      </c>
      <c r="AZ164" s="8" t="s">
        <v>357</v>
      </c>
      <c r="BA164" s="21">
        <f>IF(OR(tblsales[[#This Row],[Invoice Value USD]]="",tblsales[[#This Row],[Collected Amount USD]]=""),"",tblsales[[#This Row],[Invoice Value USD]]-tblsales[[#This Row],[Collected Amount USD]])</f>
        <v>1105325.9699999988</v>
      </c>
      <c r="BB164" s="21">
        <f>IF(OR(tblsales[[#This Row],[Contract Value USD]]="",tblsales[[#This Row],[Cost Estimate USD]]=""),"",tblsales[[#This Row],[Contract Value USD]]-tblsales[[#This Row],[Cost Estimate USD]])</f>
        <v>7221597.6200000048</v>
      </c>
      <c r="BC164" s="21">
        <f>IF(OR(tblsales[[#This Row],[Contract Value USD]]="",tblsales[[#This Row],[Cost Estimate USD]]=""),"",tblsales[[#This Row],[Contract Value USD]]-tblsales[[#This Row],[Cost Estimate USD]])</f>
        <v>7221597.6200000048</v>
      </c>
      <c r="BD164" s="23">
        <f>IF(tblsales[[#This Row],[Invoice Value USD]]="","",tblsales[[#This Row],[Collected Amount USD]]/tblsales[[#This Row],[Invoice Value USD]])</f>
        <v>0.9374805915041895</v>
      </c>
      <c r="BE164" s="11">
        <f>IF(tblsales[[#This Row],[SalesStage]]="Won",1,0)</f>
        <v>0</v>
      </c>
      <c r="BF164" s="21" t="str">
        <f>IF(tblsales[[#This Row],[Win Flag]]=1,"Won","Lost")</f>
        <v>Lost</v>
      </c>
      <c r="BG164" s="8"/>
    </row>
    <row r="165" spans="1:61" x14ac:dyDescent="0.3">
      <c r="A165" s="10" t="s">
        <v>833</v>
      </c>
      <c r="B165" s="9">
        <v>45686</v>
      </c>
      <c r="C165" s="10" t="s">
        <v>270</v>
      </c>
      <c r="D165" s="10" t="s">
        <v>265</v>
      </c>
      <c r="E165" s="10" t="s">
        <v>113</v>
      </c>
      <c r="F165" s="10" t="s">
        <v>367</v>
      </c>
      <c r="G165" s="10" t="s">
        <v>78</v>
      </c>
      <c r="H165" s="10" t="s">
        <v>236</v>
      </c>
      <c r="I165" s="10" t="s">
        <v>198</v>
      </c>
      <c r="J165" s="10" t="s">
        <v>123</v>
      </c>
      <c r="K165" s="10" t="s">
        <v>199</v>
      </c>
      <c r="L165" s="10" t="s">
        <v>834</v>
      </c>
      <c r="M165" s="9">
        <v>45616</v>
      </c>
      <c r="N165" s="9">
        <v>45714</v>
      </c>
      <c r="O165" s="9">
        <v>45735</v>
      </c>
      <c r="P165" s="11">
        <v>5</v>
      </c>
      <c r="Q165" s="12">
        <v>9447689</v>
      </c>
      <c r="R165">
        <v>10968766.929</v>
      </c>
      <c r="S165" s="22">
        <v>0.05</v>
      </c>
      <c r="T165" s="22">
        <v>0.12</v>
      </c>
      <c r="U165" s="12">
        <v>10052341.1</v>
      </c>
      <c r="V165" s="24">
        <v>11670768.017100001</v>
      </c>
      <c r="W165" s="8">
        <v>6554870.8799999999</v>
      </c>
      <c r="X165" s="24">
        <v>7610205.0916800005</v>
      </c>
      <c r="Y165" s="22">
        <v>0.19</v>
      </c>
      <c r="Z165" s="22">
        <v>0.11</v>
      </c>
      <c r="AA165" s="8" t="s">
        <v>835</v>
      </c>
      <c r="AB165" s="8">
        <v>1725133.45</v>
      </c>
      <c r="AC165" s="24">
        <v>2002879.93545</v>
      </c>
      <c r="AD165" s="8">
        <v>1529270.8</v>
      </c>
      <c r="AE165" s="24">
        <v>1775483.3988000001</v>
      </c>
      <c r="AF165" s="8">
        <v>90</v>
      </c>
      <c r="AG165" s="8">
        <v>96</v>
      </c>
      <c r="AH165" s="8" t="s">
        <v>342</v>
      </c>
      <c r="AI165" s="8" t="s">
        <v>320</v>
      </c>
      <c r="AJ165" s="22">
        <v>0.1</v>
      </c>
      <c r="AK165" s="8" t="s">
        <v>159</v>
      </c>
      <c r="AL165" s="22">
        <v>0.05</v>
      </c>
      <c r="AM165" s="22">
        <v>7.0000000000000007E-2</v>
      </c>
      <c r="AN165" s="8">
        <v>2</v>
      </c>
      <c r="AO165" s="8">
        <v>3480</v>
      </c>
      <c r="AP165" s="8">
        <v>829522.7</v>
      </c>
      <c r="AQ165" s="24">
        <v>963075.85470000003</v>
      </c>
      <c r="AR165" s="8">
        <v>2523380</v>
      </c>
      <c r="AS165" s="37">
        <v>2929644.18</v>
      </c>
      <c r="AT165" s="8" t="s">
        <v>355</v>
      </c>
      <c r="AU165" s="8" t="s">
        <v>330</v>
      </c>
      <c r="AV165" s="8">
        <v>91.5</v>
      </c>
      <c r="AW165" s="8">
        <v>24</v>
      </c>
      <c r="AX165" s="8" t="s">
        <v>387</v>
      </c>
      <c r="AY165" s="8" t="s">
        <v>192</v>
      </c>
      <c r="AZ165" s="8" t="s">
        <v>357</v>
      </c>
      <c r="BA165" s="21">
        <f>IF(OR(tblsales[[#This Row],[Invoice Value USD]]="",tblsales[[#This Row],[Collected Amount USD]]=""),"",tblsales[[#This Row],[Invoice Value USD]]-tblsales[[#This Row],[Collected Amount USD]])</f>
        <v>227396.53664999991</v>
      </c>
      <c r="BB165" s="21">
        <f>IF(OR(tblsales[[#This Row],[Contract Value USD]]="",tblsales[[#This Row],[Cost Estimate USD]]=""),"",tblsales[[#This Row],[Contract Value USD]]-tblsales[[#This Row],[Cost Estimate USD]])</f>
        <v>4060562.9254200002</v>
      </c>
      <c r="BC165" s="21">
        <f>IF(OR(tblsales[[#This Row],[Contract Value USD]]="",tblsales[[#This Row],[Cost Estimate USD]]=""),"",tblsales[[#This Row],[Contract Value USD]]-tblsales[[#This Row],[Cost Estimate USD]])</f>
        <v>4060562.9254200002</v>
      </c>
      <c r="BD165" s="23">
        <f>IF(tblsales[[#This Row],[Invoice Value USD]]="","",tblsales[[#This Row],[Collected Amount USD]]/tblsales[[#This Row],[Invoice Value USD]])</f>
        <v>0.88646521809660583</v>
      </c>
      <c r="BE165" s="11">
        <f>IF(tblsales[[#This Row],[SalesStage]]="Won",1,0)</f>
        <v>1</v>
      </c>
      <c r="BF165" s="21" t="str">
        <f>IF(tblsales[[#This Row],[Win Flag]]=1,"Won","Lost")</f>
        <v>Won</v>
      </c>
      <c r="BG165" s="8"/>
    </row>
    <row r="166" spans="1:61" x14ac:dyDescent="0.3">
      <c r="A166" s="10" t="s">
        <v>836</v>
      </c>
      <c r="B166" s="9">
        <v>46076</v>
      </c>
      <c r="C166" s="10" t="s">
        <v>208</v>
      </c>
      <c r="D166" s="10" t="s">
        <v>255</v>
      </c>
      <c r="E166" s="10" t="s">
        <v>36</v>
      </c>
      <c r="F166" s="10" t="s">
        <v>19</v>
      </c>
      <c r="G166" s="10" t="s">
        <v>46</v>
      </c>
      <c r="H166" s="10" t="s">
        <v>263</v>
      </c>
      <c r="I166" s="10" t="s">
        <v>240</v>
      </c>
      <c r="J166" s="10" t="s">
        <v>115</v>
      </c>
      <c r="K166" s="10" t="s">
        <v>184</v>
      </c>
      <c r="L166" s="10" t="s">
        <v>837</v>
      </c>
      <c r="M166" s="9">
        <v>46036</v>
      </c>
      <c r="N166" s="9"/>
      <c r="O166" s="9">
        <v>46111</v>
      </c>
      <c r="P166" s="11"/>
      <c r="Q166" s="12">
        <v>46667962</v>
      </c>
      <c r="R166">
        <v>12707686.0526</v>
      </c>
      <c r="S166" s="22">
        <v>0.17</v>
      </c>
      <c r="T166" s="22">
        <v>0.03</v>
      </c>
      <c r="U166" s="12">
        <v>39896440.710000001</v>
      </c>
      <c r="V166" s="24">
        <v>10863800.805333</v>
      </c>
      <c r="W166" s="8">
        <v>35230661.380000003</v>
      </c>
      <c r="X166" s="24">
        <v>9593309.0937740002</v>
      </c>
      <c r="Y166" s="22"/>
      <c r="Z166" s="22">
        <v>0.1</v>
      </c>
      <c r="AA166" s="8" t="s">
        <v>838</v>
      </c>
      <c r="AB166" s="8"/>
      <c r="AC166" s="24"/>
      <c r="AD166" s="8">
        <v>22854946.050000001</v>
      </c>
      <c r="AE166" s="24">
        <v>6223401.8094149996</v>
      </c>
      <c r="AF166" s="8">
        <v>45</v>
      </c>
      <c r="AG166" s="8">
        <v>14</v>
      </c>
      <c r="AH166" s="8" t="s">
        <v>347</v>
      </c>
      <c r="AI166" s="8" t="s">
        <v>406</v>
      </c>
      <c r="AJ166" s="22">
        <v>0.81</v>
      </c>
      <c r="AK166" s="8" t="s">
        <v>153</v>
      </c>
      <c r="AL166" s="22">
        <v>0.15</v>
      </c>
      <c r="AM166" s="22">
        <v>0.05</v>
      </c>
      <c r="AN166" s="8">
        <v>8</v>
      </c>
      <c r="AO166" s="8">
        <v>1071</v>
      </c>
      <c r="AP166" s="8">
        <v>1691503.85</v>
      </c>
      <c r="AQ166" s="24">
        <v>460596.49835499999</v>
      </c>
      <c r="AR166" s="8">
        <v>15822151.869999999</v>
      </c>
      <c r="AS166" s="37">
        <v>4308371.9542009998</v>
      </c>
      <c r="AT166" s="8" t="s">
        <v>385</v>
      </c>
      <c r="AU166" s="8" t="s">
        <v>386</v>
      </c>
      <c r="AV166" s="8">
        <v>75</v>
      </c>
      <c r="AW166" s="8">
        <v>24</v>
      </c>
      <c r="AX166" s="8" t="s">
        <v>387</v>
      </c>
      <c r="AY166" s="8" t="s">
        <v>224</v>
      </c>
      <c r="AZ166" s="8" t="s">
        <v>324</v>
      </c>
      <c r="BA166" s="21" t="str">
        <f>IF(OR(tblsales[[#This Row],[Invoice Value USD]]="",tblsales[[#This Row],[Collected Amount USD]]=""),"",tblsales[[#This Row],[Invoice Value USD]]-tblsales[[#This Row],[Collected Amount USD]])</f>
        <v/>
      </c>
      <c r="BB166" s="21">
        <f>IF(OR(tblsales[[#This Row],[Contract Value USD]]="",tblsales[[#This Row],[Cost Estimate USD]]=""),"",tblsales[[#This Row],[Contract Value USD]]-tblsales[[#This Row],[Cost Estimate USD]])</f>
        <v>1270491.7115589995</v>
      </c>
      <c r="BC166" s="21">
        <f>IF(OR(tblsales[[#This Row],[Contract Value USD]]="",tblsales[[#This Row],[Cost Estimate USD]]=""),"",tblsales[[#This Row],[Contract Value USD]]-tblsales[[#This Row],[Cost Estimate USD]])</f>
        <v>1270491.7115589995</v>
      </c>
      <c r="BD166" s="23" t="str">
        <f>IF(tblsales[[#This Row],[Invoice Value USD]]="","",tblsales[[#This Row],[Collected Amount USD]]/tblsales[[#This Row],[Invoice Value USD]])</f>
        <v/>
      </c>
      <c r="BE166" s="11">
        <f>IF(tblsales[[#This Row],[SalesStage]]="Won",1,0)</f>
        <v>0</v>
      </c>
      <c r="BF166" s="21" t="str">
        <f>IF(tblsales[[#This Row],[Win Flag]]=1,"Won","Lost")</f>
        <v>Lost</v>
      </c>
      <c r="BG166" s="8"/>
    </row>
    <row r="167" spans="1:61" x14ac:dyDescent="0.3">
      <c r="A167" s="10" t="s">
        <v>839</v>
      </c>
      <c r="B167" s="9">
        <v>45735</v>
      </c>
      <c r="C167" s="10" t="s">
        <v>235</v>
      </c>
      <c r="D167" s="10" t="s">
        <v>245</v>
      </c>
      <c r="E167" s="10" t="s">
        <v>41</v>
      </c>
      <c r="F167" s="10" t="s">
        <v>332</v>
      </c>
      <c r="G167" s="10" t="s">
        <v>46</v>
      </c>
      <c r="H167" s="10" t="s">
        <v>212</v>
      </c>
      <c r="I167" s="10" t="s">
        <v>213</v>
      </c>
      <c r="J167" s="10" t="s">
        <v>130</v>
      </c>
      <c r="K167" s="10" t="s">
        <v>333</v>
      </c>
      <c r="L167" s="10" t="s">
        <v>840</v>
      </c>
      <c r="M167" s="9">
        <v>45713</v>
      </c>
      <c r="N167" s="9"/>
      <c r="O167" s="9">
        <v>45835</v>
      </c>
      <c r="P167" s="11">
        <v>32</v>
      </c>
      <c r="Q167" s="12">
        <v>45993342</v>
      </c>
      <c r="R167">
        <v>12523987.0266</v>
      </c>
      <c r="S167" s="22">
        <v>0.17</v>
      </c>
      <c r="T167" s="22">
        <v>0.17</v>
      </c>
      <c r="U167" s="12">
        <v>44664134.420000002</v>
      </c>
      <c r="V167" s="24">
        <v>12162043.802565999</v>
      </c>
      <c r="W167" s="8">
        <v>39314121.090000004</v>
      </c>
      <c r="X167" s="24">
        <v>10705235.172807001</v>
      </c>
      <c r="Y167" s="22">
        <v>0.15</v>
      </c>
      <c r="Z167" s="22">
        <v>0.1</v>
      </c>
      <c r="AA167" s="8" t="s">
        <v>841</v>
      </c>
      <c r="AB167" s="8">
        <v>5774949.0999999996</v>
      </c>
      <c r="AC167" s="24">
        <v>1572518.6399299998</v>
      </c>
      <c r="AD167" s="8">
        <v>5051753.18</v>
      </c>
      <c r="AE167" s="24">
        <v>1375592.3909139999</v>
      </c>
      <c r="AF167" s="8">
        <v>45</v>
      </c>
      <c r="AG167" s="8">
        <v>175</v>
      </c>
      <c r="AH167" s="8" t="s">
        <v>347</v>
      </c>
      <c r="AI167" s="8" t="s">
        <v>381</v>
      </c>
      <c r="AJ167" s="22">
        <v>0.66</v>
      </c>
      <c r="AK167" s="8" t="s">
        <v>153</v>
      </c>
      <c r="AL167" s="22">
        <v>0.15</v>
      </c>
      <c r="AM167" s="22">
        <v>0.02</v>
      </c>
      <c r="AN167" s="8">
        <v>10</v>
      </c>
      <c r="AO167" s="8">
        <v>2107</v>
      </c>
      <c r="AP167" s="8">
        <v>5434304.8499999996</v>
      </c>
      <c r="AQ167" s="24">
        <v>1479761.2106549998</v>
      </c>
      <c r="AR167" s="8">
        <v>21257081.350000001</v>
      </c>
      <c r="AS167" s="37">
        <v>5788303.2516050003</v>
      </c>
      <c r="AT167" s="8" t="s">
        <v>355</v>
      </c>
      <c r="AU167" s="8" t="s">
        <v>321</v>
      </c>
      <c r="AV167" s="8"/>
      <c r="AW167" s="8">
        <v>48</v>
      </c>
      <c r="AX167" s="8" t="s">
        <v>387</v>
      </c>
      <c r="AY167" s="8" t="s">
        <v>224</v>
      </c>
      <c r="AZ167" s="8" t="s">
        <v>377</v>
      </c>
      <c r="BA167" s="21">
        <f>IF(OR(tblsales[[#This Row],[Invoice Value USD]]="",tblsales[[#This Row],[Collected Amount USD]]=""),"",tblsales[[#This Row],[Invoice Value USD]]-tblsales[[#This Row],[Collected Amount USD]])</f>
        <v>196926.24901599996</v>
      </c>
      <c r="BB167" s="21">
        <f>IF(OR(tblsales[[#This Row],[Contract Value USD]]="",tblsales[[#This Row],[Cost Estimate USD]]=""),"",tblsales[[#This Row],[Contract Value USD]]-tblsales[[#This Row],[Cost Estimate USD]])</f>
        <v>1456808.6297589988</v>
      </c>
      <c r="BC167" s="21">
        <f>IF(OR(tblsales[[#This Row],[Contract Value USD]]="",tblsales[[#This Row],[Cost Estimate USD]]=""),"",tblsales[[#This Row],[Contract Value USD]]-tblsales[[#This Row],[Cost Estimate USD]])</f>
        <v>1456808.6297589988</v>
      </c>
      <c r="BD167" s="23">
        <f>IF(tblsales[[#This Row],[Invoice Value USD]]="","",tblsales[[#This Row],[Collected Amount USD]]/tblsales[[#This Row],[Invoice Value USD]])</f>
        <v>0.87477016550674014</v>
      </c>
      <c r="BE167" s="11">
        <f>IF(tblsales[[#This Row],[SalesStage]]="Won",1,0)</f>
        <v>0</v>
      </c>
      <c r="BF167" s="21" t="str">
        <f>IF(tblsales[[#This Row],[Win Flag]]=1,"Won","Lost")</f>
        <v>Lost</v>
      </c>
      <c r="BG167" s="8"/>
    </row>
    <row r="168" spans="1:61" x14ac:dyDescent="0.3">
      <c r="A168" s="10" t="s">
        <v>842</v>
      </c>
      <c r="B168" s="9">
        <v>45883</v>
      </c>
      <c r="C168" s="10" t="s">
        <v>270</v>
      </c>
      <c r="D168" s="10" t="s">
        <v>209</v>
      </c>
      <c r="E168" s="10" t="s">
        <v>20</v>
      </c>
      <c r="F168" s="10" t="s">
        <v>35</v>
      </c>
      <c r="G168" s="10" t="s">
        <v>70</v>
      </c>
      <c r="H168" s="10" t="s">
        <v>212</v>
      </c>
      <c r="I168" s="10" t="s">
        <v>198</v>
      </c>
      <c r="J168" s="10" t="s">
        <v>136</v>
      </c>
      <c r="K168" s="10" t="s">
        <v>333</v>
      </c>
      <c r="L168" s="10" t="s">
        <v>843</v>
      </c>
      <c r="M168" s="9">
        <v>45814</v>
      </c>
      <c r="N168" s="9"/>
      <c r="O168" s="9"/>
      <c r="P168" s="11">
        <v>28</v>
      </c>
      <c r="Q168" s="12">
        <v>24810985</v>
      </c>
      <c r="R168">
        <v>6756031.2154999999</v>
      </c>
      <c r="S168" s="22">
        <v>0.18</v>
      </c>
      <c r="T168" s="22">
        <v>0.11</v>
      </c>
      <c r="U168" s="12">
        <v>22582958.550000001</v>
      </c>
      <c r="V168" s="24">
        <v>6149339.6131649995</v>
      </c>
      <c r="W168" s="8">
        <v>14901168.73</v>
      </c>
      <c r="X168" s="24">
        <v>4057588.2451789998</v>
      </c>
      <c r="Y168" s="22">
        <v>0.16</v>
      </c>
      <c r="Z168" s="22">
        <v>0.2</v>
      </c>
      <c r="AA168" s="8" t="s">
        <v>844</v>
      </c>
      <c r="AB168" s="8">
        <v>7149733.0300000003</v>
      </c>
      <c r="AC168" s="24">
        <v>1946872.3040690001</v>
      </c>
      <c r="AD168" s="8">
        <v>2622468.0099999998</v>
      </c>
      <c r="AE168" s="24">
        <v>714098.03912299988</v>
      </c>
      <c r="AF168" s="8">
        <v>90</v>
      </c>
      <c r="AG168" s="8">
        <v>130</v>
      </c>
      <c r="AH168" s="8" t="s">
        <v>376</v>
      </c>
      <c r="AI168" s="8" t="s">
        <v>354</v>
      </c>
      <c r="AJ168" s="22">
        <v>0.47</v>
      </c>
      <c r="AK168" s="8" t="s">
        <v>153</v>
      </c>
      <c r="AL168" s="22">
        <v>0.15</v>
      </c>
      <c r="AM168" s="22">
        <v>0.01</v>
      </c>
      <c r="AN168" s="8">
        <v>1</v>
      </c>
      <c r="AO168" s="8"/>
      <c r="AP168" s="8">
        <v>2892708.42</v>
      </c>
      <c r="AQ168" s="24">
        <v>787684.50276599999</v>
      </c>
      <c r="AR168" s="8">
        <v>5150600.32</v>
      </c>
      <c r="AS168" s="37">
        <v>1402508.4671360001</v>
      </c>
      <c r="AT168" s="8" t="s">
        <v>391</v>
      </c>
      <c r="AU168" s="8" t="s">
        <v>330</v>
      </c>
      <c r="AV168" s="8">
        <v>87.1</v>
      </c>
      <c r="AW168" s="8"/>
      <c r="AX168" s="8" t="s">
        <v>337</v>
      </c>
      <c r="AY168" s="8" t="s">
        <v>224</v>
      </c>
      <c r="AZ168" s="8" t="s">
        <v>332</v>
      </c>
      <c r="BA168" s="21">
        <f>IF(OR(tblsales[[#This Row],[Invoice Value USD]]="",tblsales[[#This Row],[Collected Amount USD]]=""),"",tblsales[[#This Row],[Invoice Value USD]]-tblsales[[#This Row],[Collected Amount USD]])</f>
        <v>1232774.2649460002</v>
      </c>
      <c r="BB168" s="21">
        <f>IF(OR(tblsales[[#This Row],[Contract Value USD]]="",tblsales[[#This Row],[Cost Estimate USD]]=""),"",tblsales[[#This Row],[Contract Value USD]]-tblsales[[#This Row],[Cost Estimate USD]])</f>
        <v>2091751.3679859997</v>
      </c>
      <c r="BC168" s="21">
        <f>IF(OR(tblsales[[#This Row],[Contract Value USD]]="",tblsales[[#This Row],[Cost Estimate USD]]=""),"",tblsales[[#This Row],[Contract Value USD]]-tblsales[[#This Row],[Cost Estimate USD]])</f>
        <v>2091751.3679859997</v>
      </c>
      <c r="BD168" s="23">
        <f>IF(tblsales[[#This Row],[Invoice Value USD]]="","",tblsales[[#This Row],[Collected Amount USD]]/tblsales[[#This Row],[Invoice Value USD]])</f>
        <v>0.36679243812268603</v>
      </c>
      <c r="BE168" s="11">
        <f>IF(tblsales[[#This Row],[SalesStage]]="Won",1,0)</f>
        <v>0</v>
      </c>
      <c r="BF168" s="21" t="str">
        <f>IF(tblsales[[#This Row],[Win Flag]]=1,"Won","Lost")</f>
        <v>Lost</v>
      </c>
      <c r="BG168" s="8"/>
    </row>
    <row r="169" spans="1:61" x14ac:dyDescent="0.3">
      <c r="A169" s="10" t="s">
        <v>845</v>
      </c>
      <c r="B169" s="9">
        <v>45685</v>
      </c>
      <c r="C169" s="10" t="s">
        <v>247</v>
      </c>
      <c r="D169" s="10" t="s">
        <v>248</v>
      </c>
      <c r="E169" s="10" t="s">
        <v>332</v>
      </c>
      <c r="F169" s="10" t="s">
        <v>31</v>
      </c>
      <c r="G169" s="10" t="s">
        <v>78</v>
      </c>
      <c r="H169" s="10" t="s">
        <v>182</v>
      </c>
      <c r="I169" s="10" t="s">
        <v>198</v>
      </c>
      <c r="J169" s="10" t="s">
        <v>130</v>
      </c>
      <c r="K169" s="10" t="s">
        <v>204</v>
      </c>
      <c r="L169" s="10" t="s">
        <v>846</v>
      </c>
      <c r="M169" s="9">
        <v>45620</v>
      </c>
      <c r="N169" s="9">
        <v>45780</v>
      </c>
      <c r="O169" s="9">
        <v>45786</v>
      </c>
      <c r="P169" s="11"/>
      <c r="Q169" s="12">
        <v>14393047</v>
      </c>
      <c r="R169">
        <v>3838625.6348999999</v>
      </c>
      <c r="S169" s="22">
        <v>0.31</v>
      </c>
      <c r="T169" s="22">
        <v>0.19</v>
      </c>
      <c r="U169" s="12">
        <v>11818130.890000001</v>
      </c>
      <c r="V169" s="24">
        <v>3151895.5083630001</v>
      </c>
      <c r="W169" s="8">
        <v>9276685.7100000009</v>
      </c>
      <c r="X169" s="24">
        <v>2474092.078857</v>
      </c>
      <c r="Y169" s="22">
        <v>0.4</v>
      </c>
      <c r="Z169" s="22">
        <v>0.19</v>
      </c>
      <c r="AA169" s="8" t="s">
        <v>847</v>
      </c>
      <c r="AB169" s="8">
        <v>7458667.3300000001</v>
      </c>
      <c r="AC169" s="24">
        <v>1989226.5769110001</v>
      </c>
      <c r="AD169" s="8">
        <v>3847766.03</v>
      </c>
      <c r="AE169" s="24">
        <v>1026199.200201</v>
      </c>
      <c r="AF169" s="8">
        <v>45</v>
      </c>
      <c r="AG169" s="8">
        <v>22</v>
      </c>
      <c r="AH169" s="8" t="s">
        <v>342</v>
      </c>
      <c r="AI169" s="8" t="s">
        <v>455</v>
      </c>
      <c r="AJ169" s="22">
        <v>0.18</v>
      </c>
      <c r="AK169" s="8" t="s">
        <v>162</v>
      </c>
      <c r="AL169" s="22">
        <v>0.1</v>
      </c>
      <c r="AM169" s="22">
        <v>0.05</v>
      </c>
      <c r="AN169" s="8">
        <v>9</v>
      </c>
      <c r="AO169" s="8">
        <v>4101</v>
      </c>
      <c r="AP169" s="8">
        <v>545165.43000000005</v>
      </c>
      <c r="AQ169" s="24">
        <v>145395.62018100001</v>
      </c>
      <c r="AR169" s="8">
        <v>3102905.28</v>
      </c>
      <c r="AS169" s="37">
        <v>827544.83817599993</v>
      </c>
      <c r="AT169" s="8" t="s">
        <v>391</v>
      </c>
      <c r="AU169" s="8" t="s">
        <v>356</v>
      </c>
      <c r="AV169" s="8">
        <v>86.7</v>
      </c>
      <c r="AW169" s="8">
        <v>12</v>
      </c>
      <c r="AX169" s="8" t="s">
        <v>332</v>
      </c>
      <c r="AY169" s="8" t="s">
        <v>192</v>
      </c>
      <c r="AZ169" s="8" t="s">
        <v>377</v>
      </c>
      <c r="BA169" s="21">
        <f>IF(OR(tblsales[[#This Row],[Invoice Value USD]]="",tblsales[[#This Row],[Collected Amount USD]]=""),"",tblsales[[#This Row],[Invoice Value USD]]-tblsales[[#This Row],[Collected Amount USD]])</f>
        <v>963027.3767100001</v>
      </c>
      <c r="BB169" s="21">
        <f>IF(OR(tblsales[[#This Row],[Contract Value USD]]="",tblsales[[#This Row],[Cost Estimate USD]]=""),"",tblsales[[#This Row],[Contract Value USD]]-tblsales[[#This Row],[Cost Estimate USD]])</f>
        <v>677803.42950600013</v>
      </c>
      <c r="BC169" s="21">
        <f>IF(OR(tblsales[[#This Row],[Contract Value USD]]="",tblsales[[#This Row],[Cost Estimate USD]]=""),"",tblsales[[#This Row],[Contract Value USD]]-tblsales[[#This Row],[Cost Estimate USD]])</f>
        <v>677803.42950600013</v>
      </c>
      <c r="BD169" s="23">
        <f>IF(tblsales[[#This Row],[Invoice Value USD]]="","",tblsales[[#This Row],[Collected Amount USD]]/tblsales[[#This Row],[Invoice Value USD]])</f>
        <v>0.51587848871119979</v>
      </c>
      <c r="BE169" s="11">
        <f>IF(tblsales[[#This Row],[SalesStage]]="Won",1,0)</f>
        <v>0</v>
      </c>
      <c r="BF169" s="21" t="str">
        <f>IF(tblsales[[#This Row],[Win Flag]]=1,"Won","Lost")</f>
        <v>Lost</v>
      </c>
      <c r="BG169" s="8"/>
    </row>
    <row r="170" spans="1:61" x14ac:dyDescent="0.3">
      <c r="A170" s="10" t="s">
        <v>848</v>
      </c>
      <c r="B170" s="9">
        <v>45769</v>
      </c>
      <c r="C170" s="10" t="s">
        <v>256</v>
      </c>
      <c r="D170" s="10" t="s">
        <v>242</v>
      </c>
      <c r="E170" s="10" t="s">
        <v>20</v>
      </c>
      <c r="F170" s="10" t="s">
        <v>35</v>
      </c>
      <c r="G170" s="10" t="s">
        <v>16</v>
      </c>
      <c r="H170" s="10" t="s">
        <v>212</v>
      </c>
      <c r="I170" s="10" t="s">
        <v>240</v>
      </c>
      <c r="J170" s="10" t="s">
        <v>136</v>
      </c>
      <c r="K170" s="10" t="s">
        <v>210</v>
      </c>
      <c r="L170" s="10" t="s">
        <v>849</v>
      </c>
      <c r="M170" s="9">
        <v>45737</v>
      </c>
      <c r="N170" s="9">
        <v>45721</v>
      </c>
      <c r="O170" s="9">
        <v>45907</v>
      </c>
      <c r="P170" s="11">
        <v>47</v>
      </c>
      <c r="Q170" s="12">
        <v>12793444</v>
      </c>
      <c r="R170">
        <v>3483654.8011999996</v>
      </c>
      <c r="S170" s="22">
        <v>0.15</v>
      </c>
      <c r="T170" s="22">
        <v>0.09</v>
      </c>
      <c r="U170" s="12">
        <v>11853125.869999999</v>
      </c>
      <c r="V170" s="24">
        <v>3227606.1744009997</v>
      </c>
      <c r="W170" s="8">
        <v>9366721.3800000008</v>
      </c>
      <c r="X170" s="24">
        <v>2550558.231774</v>
      </c>
      <c r="Y170" s="22">
        <v>0.38</v>
      </c>
      <c r="Z170" s="22">
        <v>0.19</v>
      </c>
      <c r="AA170" s="8" t="s">
        <v>850</v>
      </c>
      <c r="AB170" s="8">
        <v>2266150.23</v>
      </c>
      <c r="AC170" s="24">
        <v>617072.70762899995</v>
      </c>
      <c r="AD170" s="8">
        <v>1364325</v>
      </c>
      <c r="AE170" s="24">
        <v>371505.69750000001</v>
      </c>
      <c r="AF170" s="8">
        <v>60</v>
      </c>
      <c r="AG170" s="8">
        <v>54</v>
      </c>
      <c r="AH170" s="8" t="s">
        <v>376</v>
      </c>
      <c r="AI170" s="8" t="s">
        <v>336</v>
      </c>
      <c r="AJ170" s="22">
        <v>0.95</v>
      </c>
      <c r="AK170" s="8" t="s">
        <v>153</v>
      </c>
      <c r="AL170" s="22">
        <v>0.15</v>
      </c>
      <c r="AM170" s="22">
        <v>0.06</v>
      </c>
      <c r="AN170" s="8">
        <v>0</v>
      </c>
      <c r="AO170" s="8"/>
      <c r="AP170" s="8">
        <v>519704.09</v>
      </c>
      <c r="AQ170" s="24">
        <v>141515.42370700001</v>
      </c>
      <c r="AR170" s="8">
        <v>4143026.36</v>
      </c>
      <c r="AS170" s="37">
        <v>1128146.0778279998</v>
      </c>
      <c r="AT170" s="8" t="s">
        <v>385</v>
      </c>
      <c r="AU170" s="8" t="s">
        <v>321</v>
      </c>
      <c r="AV170" s="8">
        <v>90.3</v>
      </c>
      <c r="AW170" s="8">
        <v>48</v>
      </c>
      <c r="AX170" s="8" t="s">
        <v>332</v>
      </c>
      <c r="AY170" s="8" t="s">
        <v>224</v>
      </c>
      <c r="AZ170" s="8" t="s">
        <v>361</v>
      </c>
      <c r="BA170" s="21">
        <f>IF(OR(tblsales[[#This Row],[Invoice Value USD]]="",tblsales[[#This Row],[Collected Amount USD]]=""),"",tblsales[[#This Row],[Invoice Value USD]]-tblsales[[#This Row],[Collected Amount USD]])</f>
        <v>245567.01012899994</v>
      </c>
      <c r="BB170" s="21">
        <f>IF(OR(tblsales[[#This Row],[Contract Value USD]]="",tblsales[[#This Row],[Cost Estimate USD]]=""),"",tblsales[[#This Row],[Contract Value USD]]-tblsales[[#This Row],[Cost Estimate USD]])</f>
        <v>677047.94262699969</v>
      </c>
      <c r="BC170" s="21">
        <f>IF(OR(tblsales[[#This Row],[Contract Value USD]]="",tblsales[[#This Row],[Cost Estimate USD]]=""),"",tblsales[[#This Row],[Contract Value USD]]-tblsales[[#This Row],[Cost Estimate USD]])</f>
        <v>677047.94262699969</v>
      </c>
      <c r="BD170" s="23">
        <f>IF(tblsales[[#This Row],[Invoice Value USD]]="","",tblsales[[#This Row],[Collected Amount USD]]/tblsales[[#This Row],[Invoice Value USD]])</f>
        <v>0.60204525804981612</v>
      </c>
      <c r="BE170" s="11">
        <f>IF(tblsales[[#This Row],[SalesStage]]="Won",1,0)</f>
        <v>0</v>
      </c>
      <c r="BF170" s="21" t="str">
        <f>IF(tblsales[[#This Row],[Win Flag]]=1,"Won","Lost")</f>
        <v>Lost</v>
      </c>
      <c r="BG170" s="8"/>
    </row>
    <row r="171" spans="1:61" x14ac:dyDescent="0.3">
      <c r="A171" s="10" t="s">
        <v>851</v>
      </c>
      <c r="B171" s="9">
        <v>46055</v>
      </c>
      <c r="C171" s="10" t="s">
        <v>278</v>
      </c>
      <c r="D171" s="10" t="s">
        <v>248</v>
      </c>
      <c r="E171" s="10" t="s">
        <v>41</v>
      </c>
      <c r="F171" s="10" t="s">
        <v>363</v>
      </c>
      <c r="G171" s="10" t="s">
        <v>73</v>
      </c>
      <c r="H171" s="10" t="s">
        <v>216</v>
      </c>
      <c r="I171" s="10" t="s">
        <v>198</v>
      </c>
      <c r="J171" s="10" t="s">
        <v>130</v>
      </c>
      <c r="K171" s="10" t="s">
        <v>223</v>
      </c>
      <c r="L171" s="10" t="s">
        <v>852</v>
      </c>
      <c r="M171" s="9">
        <v>45979</v>
      </c>
      <c r="N171" s="9">
        <v>46298</v>
      </c>
      <c r="O171" s="9">
        <v>46135</v>
      </c>
      <c r="P171" s="11">
        <v>28</v>
      </c>
      <c r="Q171" s="12">
        <v>30709694</v>
      </c>
      <c r="R171">
        <v>8435952.9418000001</v>
      </c>
      <c r="S171" s="22">
        <v>0.2</v>
      </c>
      <c r="T171" s="22">
        <v>-0.02</v>
      </c>
      <c r="U171" s="12">
        <v>24076400.100000001</v>
      </c>
      <c r="V171" s="24">
        <v>6613787.1074700002</v>
      </c>
      <c r="W171" s="8">
        <v>20233794.460000001</v>
      </c>
      <c r="X171" s="24">
        <v>5558223.3381620003</v>
      </c>
      <c r="Y171" s="22">
        <v>0.1</v>
      </c>
      <c r="Z171" s="22">
        <v>0.15</v>
      </c>
      <c r="AA171" s="8" t="s">
        <v>853</v>
      </c>
      <c r="AB171" s="8">
        <v>18728820.66</v>
      </c>
      <c r="AC171" s="24">
        <v>5144807.0353020001</v>
      </c>
      <c r="AD171" s="8">
        <v>19860812.989999998</v>
      </c>
      <c r="AE171" s="24">
        <v>5455765.3283529999</v>
      </c>
      <c r="AF171" s="8">
        <v>60</v>
      </c>
      <c r="AG171" s="8">
        <v>119</v>
      </c>
      <c r="AH171" s="8" t="s">
        <v>376</v>
      </c>
      <c r="AI171" s="8" t="s">
        <v>455</v>
      </c>
      <c r="AJ171" s="22">
        <v>0.44</v>
      </c>
      <c r="AK171" s="8" t="s">
        <v>155</v>
      </c>
      <c r="AL171" s="22">
        <v>0.15</v>
      </c>
      <c r="AM171" s="22">
        <v>7.0000000000000007E-2</v>
      </c>
      <c r="AN171" s="8">
        <v>12</v>
      </c>
      <c r="AO171" s="8">
        <v>1044</v>
      </c>
      <c r="AP171" s="8">
        <v>3978178.4</v>
      </c>
      <c r="AQ171" s="24">
        <v>1092805.6064800001</v>
      </c>
      <c r="AR171" s="8">
        <v>10526498.039999999</v>
      </c>
      <c r="AS171" s="37">
        <v>2891629.0115879998</v>
      </c>
      <c r="AT171" s="8" t="s">
        <v>391</v>
      </c>
      <c r="AU171" s="8" t="s">
        <v>356</v>
      </c>
      <c r="AV171" s="8">
        <v>95.2</v>
      </c>
      <c r="AW171" s="8">
        <v>36</v>
      </c>
      <c r="AX171" s="8" t="s">
        <v>392</v>
      </c>
      <c r="AY171" s="8" t="s">
        <v>229</v>
      </c>
      <c r="AZ171" s="8" t="s">
        <v>332</v>
      </c>
      <c r="BA171" s="21">
        <f>IF(OR(tblsales[[#This Row],[Invoice Value USD]]="",tblsales[[#This Row],[Collected Amount USD]]=""),"",tblsales[[#This Row],[Invoice Value USD]]-tblsales[[#This Row],[Collected Amount USD]])</f>
        <v>-310958.29305099975</v>
      </c>
      <c r="BB171" s="21">
        <f>IF(OR(tblsales[[#This Row],[Contract Value USD]]="",tblsales[[#This Row],[Cost Estimate USD]]=""),"",tblsales[[#This Row],[Contract Value USD]]-tblsales[[#This Row],[Cost Estimate USD]])</f>
        <v>1055563.7693079999</v>
      </c>
      <c r="BC171" s="21">
        <f>IF(OR(tblsales[[#This Row],[Contract Value USD]]="",tblsales[[#This Row],[Cost Estimate USD]]=""),"",tblsales[[#This Row],[Contract Value USD]]-tblsales[[#This Row],[Cost Estimate USD]])</f>
        <v>1055563.7693079999</v>
      </c>
      <c r="BD171" s="23">
        <f>IF(tblsales[[#This Row],[Invoice Value USD]]="","",tblsales[[#This Row],[Collected Amount USD]]/tblsales[[#This Row],[Invoice Value USD]])</f>
        <v>1.0604411965147196</v>
      </c>
      <c r="BE171" s="11">
        <f>IF(tblsales[[#This Row],[SalesStage]]="Won",1,0)</f>
        <v>0</v>
      </c>
      <c r="BF171" s="21" t="str">
        <f>IF(tblsales[[#This Row],[Win Flag]]=1,"Won","Lost")</f>
        <v>Lost</v>
      </c>
      <c r="BG171" s="8"/>
    </row>
    <row r="172" spans="1:61" x14ac:dyDescent="0.3">
      <c r="A172" s="10" t="s">
        <v>854</v>
      </c>
      <c r="B172" s="9">
        <v>45809</v>
      </c>
      <c r="C172" s="10" t="s">
        <v>282</v>
      </c>
      <c r="D172" s="10" t="s">
        <v>274</v>
      </c>
      <c r="E172" s="10" t="s">
        <v>20</v>
      </c>
      <c r="F172" s="10" t="s">
        <v>35</v>
      </c>
      <c r="G172" s="10" t="s">
        <v>46</v>
      </c>
      <c r="H172" s="10" t="s">
        <v>236</v>
      </c>
      <c r="I172" s="10" t="s">
        <v>183</v>
      </c>
      <c r="J172" s="10" t="s">
        <v>136</v>
      </c>
      <c r="K172" s="10" t="s">
        <v>204</v>
      </c>
      <c r="L172" s="10" t="s">
        <v>855</v>
      </c>
      <c r="M172" s="9">
        <v>45514</v>
      </c>
      <c r="N172" s="9">
        <v>45993</v>
      </c>
      <c r="O172" s="9"/>
      <c r="P172" s="11">
        <v>10</v>
      </c>
      <c r="Q172" s="12">
        <v>42404370</v>
      </c>
      <c r="R172">
        <v>42404370</v>
      </c>
      <c r="S172" s="22">
        <v>0.27</v>
      </c>
      <c r="T172" s="22">
        <v>-0.01</v>
      </c>
      <c r="U172" s="12">
        <v>30645638.199999999</v>
      </c>
      <c r="V172" s="24">
        <v>30645638.199999999</v>
      </c>
      <c r="W172" s="8">
        <v>20984260.940000001</v>
      </c>
      <c r="X172" s="24">
        <v>20984260.940000001</v>
      </c>
      <c r="Y172" s="22">
        <v>0.08</v>
      </c>
      <c r="Z172" s="22">
        <v>0.12</v>
      </c>
      <c r="AA172" s="8" t="s">
        <v>856</v>
      </c>
      <c r="AB172" s="8">
        <v>17633031.23</v>
      </c>
      <c r="AC172" s="24">
        <v>17633031.23</v>
      </c>
      <c r="AD172" s="8">
        <v>12959184.52</v>
      </c>
      <c r="AE172" s="24">
        <v>12959184.52</v>
      </c>
      <c r="AF172" s="8">
        <v>30</v>
      </c>
      <c r="AG172" s="8">
        <v>147</v>
      </c>
      <c r="AH172" s="8" t="s">
        <v>353</v>
      </c>
      <c r="AI172" s="8" t="s">
        <v>455</v>
      </c>
      <c r="AJ172" s="22">
        <v>0.41</v>
      </c>
      <c r="AK172" s="8" t="s">
        <v>152</v>
      </c>
      <c r="AL172" s="22">
        <v>0.15</v>
      </c>
      <c r="AM172" s="22">
        <v>0.08</v>
      </c>
      <c r="AN172" s="8">
        <v>14</v>
      </c>
      <c r="AO172" s="8"/>
      <c r="AP172" s="8"/>
      <c r="AQ172" s="24"/>
      <c r="AR172" s="8">
        <v>4000024.19</v>
      </c>
      <c r="AS172" s="37">
        <v>4000024.19</v>
      </c>
      <c r="AT172" s="8" t="s">
        <v>332</v>
      </c>
      <c r="AU172" s="8" t="s">
        <v>386</v>
      </c>
      <c r="AV172" s="8">
        <v>60.4</v>
      </c>
      <c r="AW172" s="8">
        <v>48</v>
      </c>
      <c r="AX172" s="8" t="s">
        <v>392</v>
      </c>
      <c r="AY172" s="8" t="s">
        <v>224</v>
      </c>
      <c r="AZ172" s="8" t="s">
        <v>357</v>
      </c>
      <c r="BA172" s="21">
        <f>IF(OR(tblsales[[#This Row],[Invoice Value USD]]="",tblsales[[#This Row],[Collected Amount USD]]=""),"",tblsales[[#This Row],[Invoice Value USD]]-tblsales[[#This Row],[Collected Amount USD]])</f>
        <v>4673846.7100000009</v>
      </c>
      <c r="BB172" s="21">
        <f>IF(OR(tblsales[[#This Row],[Contract Value USD]]="",tblsales[[#This Row],[Cost Estimate USD]]=""),"",tblsales[[#This Row],[Contract Value USD]]-tblsales[[#This Row],[Cost Estimate USD]])</f>
        <v>9661377.2599999979</v>
      </c>
      <c r="BC172" s="21">
        <f>IF(OR(tblsales[[#This Row],[Contract Value USD]]="",tblsales[[#This Row],[Cost Estimate USD]]=""),"",tblsales[[#This Row],[Contract Value USD]]-tblsales[[#This Row],[Cost Estimate USD]])</f>
        <v>9661377.2599999979</v>
      </c>
      <c r="BD172" s="23">
        <f>IF(tblsales[[#This Row],[Invoice Value USD]]="","",tblsales[[#This Row],[Collected Amount USD]]/tblsales[[#This Row],[Invoice Value USD]])</f>
        <v>0.73493798944516464</v>
      </c>
      <c r="BE172" s="11">
        <f>IF(tblsales[[#This Row],[SalesStage]]="Won",1,0)</f>
        <v>0</v>
      </c>
      <c r="BF172" s="21" t="str">
        <f>IF(tblsales[[#This Row],[Win Flag]]=1,"Won","Lost")</f>
        <v>Lost</v>
      </c>
      <c r="BG172" s="8"/>
    </row>
    <row r="173" spans="1:61" x14ac:dyDescent="0.3">
      <c r="A173" s="10" t="s">
        <v>857</v>
      </c>
      <c r="B173" s="9">
        <v>45995</v>
      </c>
      <c r="C173" s="10" t="s">
        <v>231</v>
      </c>
      <c r="D173" s="10" t="s">
        <v>281</v>
      </c>
      <c r="E173" s="10" t="s">
        <v>52</v>
      </c>
      <c r="F173" s="10" t="s">
        <v>75</v>
      </c>
      <c r="G173" s="10" t="s">
        <v>80</v>
      </c>
      <c r="H173" s="10" t="s">
        <v>263</v>
      </c>
      <c r="I173" s="10" t="s">
        <v>183</v>
      </c>
      <c r="J173" s="10" t="s">
        <v>119</v>
      </c>
      <c r="K173" s="10" t="s">
        <v>204</v>
      </c>
      <c r="L173" s="10" t="s">
        <v>858</v>
      </c>
      <c r="M173" s="9">
        <v>45951</v>
      </c>
      <c r="N173" s="9">
        <v>46000</v>
      </c>
      <c r="O173" s="9">
        <v>46108</v>
      </c>
      <c r="P173" s="11">
        <v>54</v>
      </c>
      <c r="Q173" s="12">
        <v>38270445</v>
      </c>
      <c r="R173">
        <v>10421042.1735</v>
      </c>
      <c r="S173" s="22">
        <v>0.22</v>
      </c>
      <c r="T173" s="22">
        <v>0.16</v>
      </c>
      <c r="U173" s="12">
        <v>34627098.640000001</v>
      </c>
      <c r="V173" s="24">
        <v>9428958.9596720003</v>
      </c>
      <c r="W173" s="8">
        <v>26101801.829999998</v>
      </c>
      <c r="X173" s="24">
        <v>7107520.6383089991</v>
      </c>
      <c r="Y173" s="22">
        <v>0.12</v>
      </c>
      <c r="Z173" s="22">
        <v>0.08</v>
      </c>
      <c r="AA173" s="8" t="s">
        <v>859</v>
      </c>
      <c r="AB173" s="8">
        <v>5181116.6399999997</v>
      </c>
      <c r="AC173" s="24">
        <v>1410818.0610719998</v>
      </c>
      <c r="AD173" s="8">
        <v>2975247.74</v>
      </c>
      <c r="AE173" s="24">
        <v>810159.95960200008</v>
      </c>
      <c r="AF173" s="8">
        <v>60</v>
      </c>
      <c r="AG173" s="8">
        <v>124</v>
      </c>
      <c r="AH173" s="8" t="s">
        <v>376</v>
      </c>
      <c r="AI173" s="8" t="s">
        <v>354</v>
      </c>
      <c r="AJ173" s="22">
        <v>0.99</v>
      </c>
      <c r="AK173" s="8" t="s">
        <v>153</v>
      </c>
      <c r="AL173" s="22">
        <v>0.15</v>
      </c>
      <c r="AM173" s="22">
        <v>0.06</v>
      </c>
      <c r="AN173" s="8">
        <v>5</v>
      </c>
      <c r="AO173" s="8">
        <v>4823</v>
      </c>
      <c r="AP173" s="8">
        <v>7016935.3799999999</v>
      </c>
      <c r="AQ173" s="24">
        <v>1910711.5039739998</v>
      </c>
      <c r="AR173" s="8">
        <v>10219589.66</v>
      </c>
      <c r="AS173" s="37">
        <v>2782794.2644179999</v>
      </c>
      <c r="AT173" s="8" t="s">
        <v>73</v>
      </c>
      <c r="AU173" s="8" t="s">
        <v>356</v>
      </c>
      <c r="AV173" s="8">
        <v>85.9</v>
      </c>
      <c r="AW173" s="8">
        <v>48</v>
      </c>
      <c r="AX173" s="8" t="s">
        <v>332</v>
      </c>
      <c r="AY173" s="8" t="s">
        <v>229</v>
      </c>
      <c r="AZ173" s="8" t="s">
        <v>332</v>
      </c>
      <c r="BA173" s="21">
        <f>IF(OR(tblsales[[#This Row],[Invoice Value USD]]="",tblsales[[#This Row],[Collected Amount USD]]=""),"",tblsales[[#This Row],[Invoice Value USD]]-tblsales[[#This Row],[Collected Amount USD]])</f>
        <v>600658.10146999976</v>
      </c>
      <c r="BB173" s="21">
        <f>IF(OR(tblsales[[#This Row],[Contract Value USD]]="",tblsales[[#This Row],[Cost Estimate USD]]=""),"",tblsales[[#This Row],[Contract Value USD]]-tblsales[[#This Row],[Cost Estimate USD]])</f>
        <v>2321438.3213630011</v>
      </c>
      <c r="BC173" s="21">
        <f>IF(OR(tblsales[[#This Row],[Contract Value USD]]="",tblsales[[#This Row],[Cost Estimate USD]]=""),"",tblsales[[#This Row],[Contract Value USD]]-tblsales[[#This Row],[Cost Estimate USD]])</f>
        <v>2321438.3213630011</v>
      </c>
      <c r="BD173" s="23">
        <f>IF(tblsales[[#This Row],[Invoice Value USD]]="","",tblsales[[#This Row],[Collected Amount USD]]/tblsales[[#This Row],[Invoice Value USD]])</f>
        <v>0.57424836125673495</v>
      </c>
      <c r="BE173" s="11">
        <f>IF(tblsales[[#This Row],[SalesStage]]="Won",1,0)</f>
        <v>0</v>
      </c>
      <c r="BF173" s="21" t="str">
        <f>IF(tblsales[[#This Row],[Win Flag]]=1,"Won","Lost")</f>
        <v>Lost</v>
      </c>
      <c r="BG173" s="8"/>
    </row>
    <row r="174" spans="1:61" x14ac:dyDescent="0.3">
      <c r="A174" s="10" t="s">
        <v>860</v>
      </c>
      <c r="B174" s="9">
        <v>45760</v>
      </c>
      <c r="C174" s="10" t="s">
        <v>231</v>
      </c>
      <c r="D174" s="10" t="s">
        <v>238</v>
      </c>
      <c r="E174" s="10" t="s">
        <v>41</v>
      </c>
      <c r="F174" s="10" t="s">
        <v>350</v>
      </c>
      <c r="G174" s="10" t="s">
        <v>332</v>
      </c>
      <c r="H174" s="10" t="s">
        <v>236</v>
      </c>
      <c r="I174" s="10" t="s">
        <v>240</v>
      </c>
      <c r="J174" s="10" t="s">
        <v>130</v>
      </c>
      <c r="K174" s="10" t="s">
        <v>184</v>
      </c>
      <c r="L174" s="10" t="s">
        <v>861</v>
      </c>
      <c r="M174" s="9">
        <v>45708</v>
      </c>
      <c r="N174" s="9">
        <v>45810</v>
      </c>
      <c r="O174" s="9">
        <v>45861</v>
      </c>
      <c r="P174" s="11">
        <v>41</v>
      </c>
      <c r="Q174" s="12">
        <v>38260257</v>
      </c>
      <c r="R174">
        <v>10418267.981099999</v>
      </c>
      <c r="S174" s="22">
        <v>0.13</v>
      </c>
      <c r="T174" s="22">
        <v>0.17</v>
      </c>
      <c r="U174" s="12">
        <v>38945115.600000001</v>
      </c>
      <c r="V174" s="24">
        <v>10604754.977879999</v>
      </c>
      <c r="W174" s="8">
        <v>25907810.760000002</v>
      </c>
      <c r="X174" s="24">
        <v>7054696.8699479997</v>
      </c>
      <c r="Y174" s="22">
        <v>0.3</v>
      </c>
      <c r="Z174" s="22">
        <v>0.19</v>
      </c>
      <c r="AA174" s="8" t="s">
        <v>862</v>
      </c>
      <c r="AB174" s="8">
        <v>29070209.079999998</v>
      </c>
      <c r="AC174" s="24">
        <v>7915817.9324839991</v>
      </c>
      <c r="AD174" s="8">
        <v>19172462.989999998</v>
      </c>
      <c r="AE174" s="24">
        <v>5220661.672176999</v>
      </c>
      <c r="AF174" s="8">
        <v>30</v>
      </c>
      <c r="AG174" s="8">
        <v>131</v>
      </c>
      <c r="AH174" s="8" t="s">
        <v>353</v>
      </c>
      <c r="AI174" s="8" t="s">
        <v>406</v>
      </c>
      <c r="AJ174" s="22">
        <v>0.28999999999999998</v>
      </c>
      <c r="AK174" s="8" t="s">
        <v>153</v>
      </c>
      <c r="AL174" s="22">
        <v>0.1</v>
      </c>
      <c r="AM174" s="22">
        <v>0.04</v>
      </c>
      <c r="AN174" s="8">
        <v>11</v>
      </c>
      <c r="AO174" s="8">
        <v>2613</v>
      </c>
      <c r="AP174" s="8">
        <v>2553810.1800000002</v>
      </c>
      <c r="AQ174" s="24">
        <v>695402.51201399998</v>
      </c>
      <c r="AR174" s="8"/>
      <c r="AS174" s="37"/>
      <c r="AT174" s="8" t="s">
        <v>385</v>
      </c>
      <c r="AU174" s="8" t="s">
        <v>332</v>
      </c>
      <c r="AV174" s="8">
        <v>53.7</v>
      </c>
      <c r="AW174" s="8">
        <v>12</v>
      </c>
      <c r="AX174" s="8" t="s">
        <v>387</v>
      </c>
      <c r="AY174" s="8" t="s">
        <v>206</v>
      </c>
      <c r="AZ174" s="8" t="s">
        <v>357</v>
      </c>
      <c r="BA174" s="21">
        <f>IF(OR(tblsales[[#This Row],[Invoice Value USD]]="",tblsales[[#This Row],[Collected Amount USD]]=""),"",tblsales[[#This Row],[Invoice Value USD]]-tblsales[[#This Row],[Collected Amount USD]])</f>
        <v>2695156.260307</v>
      </c>
      <c r="BB174" s="21">
        <f>IF(OR(tblsales[[#This Row],[Contract Value USD]]="",tblsales[[#This Row],[Cost Estimate USD]]=""),"",tblsales[[#This Row],[Contract Value USD]]-tblsales[[#This Row],[Cost Estimate USD]])</f>
        <v>3550058.1079319995</v>
      </c>
      <c r="BC174" s="21">
        <f>IF(OR(tblsales[[#This Row],[Contract Value USD]]="",tblsales[[#This Row],[Cost Estimate USD]]=""),"",tblsales[[#This Row],[Contract Value USD]]-tblsales[[#This Row],[Cost Estimate USD]])</f>
        <v>3550058.1079319995</v>
      </c>
      <c r="BD174" s="23">
        <f>IF(tblsales[[#This Row],[Invoice Value USD]]="","",tblsales[[#This Row],[Collected Amount USD]]/tblsales[[#This Row],[Invoice Value USD]])</f>
        <v>0.65952270715488082</v>
      </c>
      <c r="BE174" s="11">
        <f>IF(tblsales[[#This Row],[SalesStage]]="Won",1,0)</f>
        <v>0</v>
      </c>
      <c r="BF174" s="21" t="str">
        <f>IF(tblsales[[#This Row],[Win Flag]]=1,"Won","Lost")</f>
        <v>Lost</v>
      </c>
      <c r="BG174" s="8"/>
    </row>
    <row r="175" spans="1:61" x14ac:dyDescent="0.3">
      <c r="A175" s="10" t="s">
        <v>863</v>
      </c>
      <c r="B175" s="9">
        <v>45854</v>
      </c>
      <c r="C175" s="10" t="s">
        <v>211</v>
      </c>
      <c r="D175" s="10" t="s">
        <v>245</v>
      </c>
      <c r="E175" s="10" t="s">
        <v>52</v>
      </c>
      <c r="F175" s="10" t="s">
        <v>332</v>
      </c>
      <c r="G175" s="10" t="s">
        <v>23</v>
      </c>
      <c r="H175" s="10" t="s">
        <v>182</v>
      </c>
      <c r="I175" s="10" t="s">
        <v>203</v>
      </c>
      <c r="J175" s="10" t="s">
        <v>133</v>
      </c>
      <c r="K175" s="10" t="s">
        <v>333</v>
      </c>
      <c r="L175" s="10" t="s">
        <v>864</v>
      </c>
      <c r="M175" s="9">
        <v>45752</v>
      </c>
      <c r="N175" s="9">
        <v>45914</v>
      </c>
      <c r="O175" s="9"/>
      <c r="P175" s="11"/>
      <c r="Q175" s="12">
        <v>16066006</v>
      </c>
      <c r="R175">
        <v>16066006</v>
      </c>
      <c r="S175" s="22">
        <v>0.21</v>
      </c>
      <c r="T175" s="22">
        <v>0.02</v>
      </c>
      <c r="U175" s="12">
        <v>12945987.630000001</v>
      </c>
      <c r="V175" s="24">
        <v>12945987.630000001</v>
      </c>
      <c r="W175" s="8"/>
      <c r="X175" s="24"/>
      <c r="Y175" s="22">
        <v>0.16</v>
      </c>
      <c r="Z175" s="22">
        <v>0.15</v>
      </c>
      <c r="AA175" s="8" t="s">
        <v>865</v>
      </c>
      <c r="AB175" s="8">
        <v>7730264.3399999999</v>
      </c>
      <c r="AC175" s="24">
        <v>7730264.3399999999</v>
      </c>
      <c r="AD175" s="8">
        <v>7613401.71</v>
      </c>
      <c r="AE175" s="24">
        <v>7613401.71</v>
      </c>
      <c r="AF175" s="8">
        <v>30</v>
      </c>
      <c r="AG175" s="8">
        <v>119</v>
      </c>
      <c r="AH175" s="8" t="s">
        <v>347</v>
      </c>
      <c r="AI175" s="8" t="s">
        <v>336</v>
      </c>
      <c r="AJ175" s="22">
        <v>0.32</v>
      </c>
      <c r="AK175" s="8" t="s">
        <v>152</v>
      </c>
      <c r="AL175" s="22">
        <v>0.1</v>
      </c>
      <c r="AM175" s="22">
        <v>0.01</v>
      </c>
      <c r="AN175" s="8">
        <v>1</v>
      </c>
      <c r="AO175" s="8">
        <v>50</v>
      </c>
      <c r="AP175" s="8">
        <v>2843501.01</v>
      </c>
      <c r="AQ175" s="24">
        <v>2843501.01</v>
      </c>
      <c r="AR175" s="8">
        <v>5359349.07</v>
      </c>
      <c r="AS175" s="37">
        <v>5359349.07</v>
      </c>
      <c r="AT175" s="8" t="s">
        <v>332</v>
      </c>
      <c r="AU175" s="8" t="s">
        <v>330</v>
      </c>
      <c r="AV175" s="8">
        <v>54.4</v>
      </c>
      <c r="AW175" s="8">
        <v>36</v>
      </c>
      <c r="AX175" s="8" t="s">
        <v>387</v>
      </c>
      <c r="AY175" s="8" t="s">
        <v>206</v>
      </c>
      <c r="AZ175" s="8" t="s">
        <v>361</v>
      </c>
      <c r="BA175" s="21">
        <f>IF(OR(tblsales[[#This Row],[Invoice Value USD]]="",tblsales[[#This Row],[Collected Amount USD]]=""),"",tblsales[[#This Row],[Invoice Value USD]]-tblsales[[#This Row],[Collected Amount USD]])</f>
        <v>116862.62999999989</v>
      </c>
      <c r="BB175" s="21" t="str">
        <f>IF(OR(tblsales[[#This Row],[Contract Value USD]]="",tblsales[[#This Row],[Cost Estimate USD]]=""),"",tblsales[[#This Row],[Contract Value USD]]-tblsales[[#This Row],[Cost Estimate USD]])</f>
        <v/>
      </c>
      <c r="BC175" s="21" t="str">
        <f>IF(OR(tblsales[[#This Row],[Contract Value USD]]="",tblsales[[#This Row],[Cost Estimate USD]]=""),"",tblsales[[#This Row],[Contract Value USD]]-tblsales[[#This Row],[Cost Estimate USD]])</f>
        <v/>
      </c>
      <c r="BD175" s="23">
        <f>IF(tblsales[[#This Row],[Invoice Value USD]]="","",tblsales[[#This Row],[Collected Amount USD]]/tblsales[[#This Row],[Invoice Value USD]])</f>
        <v>0.98488245357984749</v>
      </c>
      <c r="BE175" s="11">
        <f>IF(tblsales[[#This Row],[SalesStage]]="Won",1,0)</f>
        <v>0</v>
      </c>
      <c r="BF175" s="21" t="str">
        <f>IF(tblsales[[#This Row],[Win Flag]]=1,"Won","Lost")</f>
        <v>Lost</v>
      </c>
      <c r="BG175" s="8"/>
      <c r="BH175" t="s">
        <v>5723</v>
      </c>
      <c r="BI175" s="28" t="e">
        <f>SUM(#REF!)</f>
        <v>#REF!</v>
      </c>
    </row>
    <row r="176" spans="1:61" x14ac:dyDescent="0.3">
      <c r="A176" s="10" t="s">
        <v>866</v>
      </c>
      <c r="B176" s="9">
        <v>45893</v>
      </c>
      <c r="C176" s="10" t="s">
        <v>280</v>
      </c>
      <c r="D176" s="10" t="s">
        <v>232</v>
      </c>
      <c r="E176" s="10" t="s">
        <v>113</v>
      </c>
      <c r="F176" s="10" t="s">
        <v>181</v>
      </c>
      <c r="G176" s="10" t="s">
        <v>66</v>
      </c>
      <c r="H176" s="10" t="s">
        <v>212</v>
      </c>
      <c r="I176" s="10" t="s">
        <v>213</v>
      </c>
      <c r="J176" s="10" t="s">
        <v>111</v>
      </c>
      <c r="K176" s="10" t="s">
        <v>221</v>
      </c>
      <c r="L176" s="10" t="s">
        <v>867</v>
      </c>
      <c r="M176" s="9">
        <v>45785</v>
      </c>
      <c r="N176" s="9">
        <v>45896</v>
      </c>
      <c r="O176" s="9"/>
      <c r="P176" s="11">
        <v>55</v>
      </c>
      <c r="Q176" s="12">
        <v>8246448</v>
      </c>
      <c r="R176">
        <v>8246448</v>
      </c>
      <c r="S176" s="22">
        <v>0.05</v>
      </c>
      <c r="T176" s="22">
        <v>0.17</v>
      </c>
      <c r="U176" s="12">
        <v>9165926.9499999993</v>
      </c>
      <c r="V176" s="24">
        <v>9165926.9499999993</v>
      </c>
      <c r="W176" s="8">
        <v>6840473.2800000003</v>
      </c>
      <c r="X176" s="24">
        <v>6840473.2800000003</v>
      </c>
      <c r="Y176" s="22">
        <v>0.33</v>
      </c>
      <c r="Z176" s="22">
        <v>0.16</v>
      </c>
      <c r="AA176" s="8" t="s">
        <v>868</v>
      </c>
      <c r="AB176" s="8">
        <v>6325219.2300000004</v>
      </c>
      <c r="AC176" s="24">
        <v>6325219.2300000004</v>
      </c>
      <c r="AD176" s="8">
        <v>6389981.4400000004</v>
      </c>
      <c r="AE176" s="24">
        <v>6389981.4400000004</v>
      </c>
      <c r="AF176" s="8">
        <v>90</v>
      </c>
      <c r="AG176" s="8">
        <v>164</v>
      </c>
      <c r="AH176" s="8" t="s">
        <v>376</v>
      </c>
      <c r="AI176" s="8" t="s">
        <v>354</v>
      </c>
      <c r="AJ176" s="22">
        <v>0.47</v>
      </c>
      <c r="AK176" s="8" t="s">
        <v>152</v>
      </c>
      <c r="AL176" s="22">
        <v>0.05</v>
      </c>
      <c r="AM176" s="22">
        <v>0.06</v>
      </c>
      <c r="AN176" s="8">
        <v>7</v>
      </c>
      <c r="AO176" s="8">
        <v>4142</v>
      </c>
      <c r="AP176" s="8">
        <v>457507.32</v>
      </c>
      <c r="AQ176" s="24">
        <v>457507.32</v>
      </c>
      <c r="AR176" s="8">
        <v>2330256.35</v>
      </c>
      <c r="AS176" s="37">
        <v>2330256.35</v>
      </c>
      <c r="AT176" s="8" t="s">
        <v>385</v>
      </c>
      <c r="AU176" s="8" t="s">
        <v>348</v>
      </c>
      <c r="AV176" s="8">
        <v>88</v>
      </c>
      <c r="AW176" s="8">
        <v>60</v>
      </c>
      <c r="AX176" s="8" t="s">
        <v>392</v>
      </c>
      <c r="AY176" s="8" t="s">
        <v>224</v>
      </c>
      <c r="AZ176" s="8" t="s">
        <v>332</v>
      </c>
      <c r="BA176" s="21">
        <f>IF(OR(tblsales[[#This Row],[Invoice Value USD]]="",tblsales[[#This Row],[Collected Amount USD]]=""),"",tblsales[[#This Row],[Invoice Value USD]]-tblsales[[#This Row],[Collected Amount USD]])</f>
        <v>-64762.209999999963</v>
      </c>
      <c r="BB176" s="21">
        <f>IF(OR(tblsales[[#This Row],[Contract Value USD]]="",tblsales[[#This Row],[Cost Estimate USD]]=""),"",tblsales[[#This Row],[Contract Value USD]]-tblsales[[#This Row],[Cost Estimate USD]])</f>
        <v>2325453.669999999</v>
      </c>
      <c r="BC176" s="21">
        <f>IF(OR(tblsales[[#This Row],[Contract Value USD]]="",tblsales[[#This Row],[Cost Estimate USD]]=""),"",tblsales[[#This Row],[Contract Value USD]]-tblsales[[#This Row],[Cost Estimate USD]])</f>
        <v>2325453.669999999</v>
      </c>
      <c r="BD176" s="23">
        <f>IF(tblsales[[#This Row],[Invoice Value USD]]="","",tblsales[[#This Row],[Collected Amount USD]]/tblsales[[#This Row],[Invoice Value USD]])</f>
        <v>1.0102387297017055</v>
      </c>
      <c r="BE176" s="11">
        <f>IF(tblsales[[#This Row],[SalesStage]]="Won",1,0)</f>
        <v>0</v>
      </c>
      <c r="BF176" s="21" t="str">
        <f>IF(tblsales[[#This Row],[Win Flag]]=1,"Won","Lost")</f>
        <v>Lost</v>
      </c>
      <c r="BG176" s="8"/>
    </row>
    <row r="177" spans="1:61" x14ac:dyDescent="0.3">
      <c r="A177" s="10" t="s">
        <v>869</v>
      </c>
      <c r="B177" s="9">
        <v>46009</v>
      </c>
      <c r="C177" s="10" t="s">
        <v>266</v>
      </c>
      <c r="D177" s="10" t="s">
        <v>245</v>
      </c>
      <c r="E177" s="10" t="s">
        <v>20</v>
      </c>
      <c r="F177" s="10" t="s">
        <v>31</v>
      </c>
      <c r="G177" s="10" t="s">
        <v>66</v>
      </c>
      <c r="H177" s="10" t="s">
        <v>197</v>
      </c>
      <c r="I177" s="10" t="s">
        <v>240</v>
      </c>
      <c r="J177" s="10" t="s">
        <v>136</v>
      </c>
      <c r="K177" s="10" t="s">
        <v>326</v>
      </c>
      <c r="L177" s="10" t="s">
        <v>870</v>
      </c>
      <c r="M177" s="9">
        <v>45945</v>
      </c>
      <c r="N177" s="9"/>
      <c r="O177" s="9">
        <v>46085</v>
      </c>
      <c r="P177" s="11">
        <v>34</v>
      </c>
      <c r="Q177" s="12">
        <v>20812271</v>
      </c>
      <c r="R177">
        <v>20812271</v>
      </c>
      <c r="S177" s="22">
        <v>0.33</v>
      </c>
      <c r="T177" s="22">
        <v>0.09</v>
      </c>
      <c r="U177" s="12">
        <v>15199201.51</v>
      </c>
      <c r="V177" s="24">
        <v>15199201.51</v>
      </c>
      <c r="W177" s="8">
        <v>9617376.3499999996</v>
      </c>
      <c r="X177" s="24">
        <v>9617376.3499999996</v>
      </c>
      <c r="Y177" s="22"/>
      <c r="Z177" s="22">
        <v>0.09</v>
      </c>
      <c r="AA177" s="8" t="s">
        <v>871</v>
      </c>
      <c r="AB177" s="8">
        <v>2078562.2</v>
      </c>
      <c r="AC177" s="24">
        <v>2078562.2</v>
      </c>
      <c r="AD177" s="8">
        <v>1390066.11</v>
      </c>
      <c r="AE177" s="24">
        <v>1390066.11</v>
      </c>
      <c r="AF177" s="8">
        <v>30</v>
      </c>
      <c r="AG177" s="8">
        <v>29</v>
      </c>
      <c r="AH177" s="8" t="s">
        <v>329</v>
      </c>
      <c r="AI177" s="8" t="s">
        <v>226</v>
      </c>
      <c r="AJ177" s="22">
        <v>0.28000000000000003</v>
      </c>
      <c r="AK177" s="8" t="s">
        <v>152</v>
      </c>
      <c r="AL177" s="22">
        <v>0.1</v>
      </c>
      <c r="AM177" s="22">
        <v>0.03</v>
      </c>
      <c r="AN177" s="8">
        <v>0</v>
      </c>
      <c r="AO177" s="8">
        <v>4369</v>
      </c>
      <c r="AP177" s="8">
        <v>1095664.1299999999</v>
      </c>
      <c r="AQ177" s="24">
        <v>1095664.1299999999</v>
      </c>
      <c r="AR177" s="8">
        <v>5871897.29</v>
      </c>
      <c r="AS177" s="37">
        <v>5871897.29</v>
      </c>
      <c r="AT177" s="8" t="s">
        <v>355</v>
      </c>
      <c r="AU177" s="8" t="s">
        <v>321</v>
      </c>
      <c r="AV177" s="8">
        <v>52.7</v>
      </c>
      <c r="AW177" s="8">
        <v>12</v>
      </c>
      <c r="AX177" s="8" t="s">
        <v>387</v>
      </c>
      <c r="AY177" s="8" t="s">
        <v>224</v>
      </c>
      <c r="AZ177" s="8" t="s">
        <v>357</v>
      </c>
      <c r="BA177" s="21">
        <f>IF(OR(tblsales[[#This Row],[Invoice Value USD]]="",tblsales[[#This Row],[Collected Amount USD]]=""),"",tblsales[[#This Row],[Invoice Value USD]]-tblsales[[#This Row],[Collected Amount USD]])</f>
        <v>688496.08999999985</v>
      </c>
      <c r="BB177" s="21">
        <f>IF(OR(tblsales[[#This Row],[Contract Value USD]]="",tblsales[[#This Row],[Cost Estimate USD]]=""),"",tblsales[[#This Row],[Contract Value USD]]-tblsales[[#This Row],[Cost Estimate USD]])</f>
        <v>5581825.1600000001</v>
      </c>
      <c r="BC177" s="21">
        <f>IF(OR(tblsales[[#This Row],[Contract Value USD]]="",tblsales[[#This Row],[Cost Estimate USD]]=""),"",tblsales[[#This Row],[Contract Value USD]]-tblsales[[#This Row],[Cost Estimate USD]])</f>
        <v>5581825.1600000001</v>
      </c>
      <c r="BD177" s="23">
        <f>IF(tblsales[[#This Row],[Invoice Value USD]]="","",tblsales[[#This Row],[Collected Amount USD]]/tblsales[[#This Row],[Invoice Value USD]])</f>
        <v>0.66876329705216431</v>
      </c>
      <c r="BE177" s="11">
        <f>IF(tblsales[[#This Row],[SalesStage]]="Won",1,0)</f>
        <v>0</v>
      </c>
      <c r="BF177" s="21" t="str">
        <f>IF(tblsales[[#This Row],[Win Flag]]=1,"Won","Lost")</f>
        <v>Lost</v>
      </c>
      <c r="BG177" s="8"/>
    </row>
    <row r="178" spans="1:61" x14ac:dyDescent="0.3">
      <c r="A178" s="10" t="s">
        <v>872</v>
      </c>
      <c r="B178" s="9">
        <v>45835</v>
      </c>
      <c r="C178" s="10" t="s">
        <v>261</v>
      </c>
      <c r="D178" s="10" t="s">
        <v>332</v>
      </c>
      <c r="E178" s="10" t="s">
        <v>20</v>
      </c>
      <c r="F178" s="10" t="s">
        <v>35</v>
      </c>
      <c r="G178" s="10" t="s">
        <v>23</v>
      </c>
      <c r="H178" s="10" t="s">
        <v>236</v>
      </c>
      <c r="I178" s="10" t="s">
        <v>191</v>
      </c>
      <c r="J178" s="10" t="s">
        <v>136</v>
      </c>
      <c r="K178" s="10" t="s">
        <v>184</v>
      </c>
      <c r="L178" s="10" t="s">
        <v>873</v>
      </c>
      <c r="M178" s="9">
        <v>45749</v>
      </c>
      <c r="N178" s="9">
        <v>45724</v>
      </c>
      <c r="O178" s="9">
        <v>45896</v>
      </c>
      <c r="P178" s="11">
        <v>55</v>
      </c>
      <c r="Q178" s="12">
        <v>42941582</v>
      </c>
      <c r="R178">
        <v>11692992.7786</v>
      </c>
      <c r="S178" s="22">
        <v>0.11</v>
      </c>
      <c r="T178" s="22">
        <v>0.1</v>
      </c>
      <c r="U178" s="12">
        <v>42039808.780000001</v>
      </c>
      <c r="V178" s="24">
        <v>11447439.930794001</v>
      </c>
      <c r="W178" s="8"/>
      <c r="X178" s="24"/>
      <c r="Y178" s="22">
        <v>0.15</v>
      </c>
      <c r="Z178" s="22">
        <v>0.08</v>
      </c>
      <c r="AA178" s="8"/>
      <c r="AB178" s="8">
        <v>28326420.219999999</v>
      </c>
      <c r="AC178" s="24">
        <v>7713284.2259059995</v>
      </c>
      <c r="AD178" s="8">
        <v>10633569.699999999</v>
      </c>
      <c r="AE178" s="24">
        <v>2895521.0293099997</v>
      </c>
      <c r="AF178" s="8">
        <v>120</v>
      </c>
      <c r="AG178" s="8">
        <v>180</v>
      </c>
      <c r="AH178" s="8" t="s">
        <v>342</v>
      </c>
      <c r="AI178" s="8" t="s">
        <v>320</v>
      </c>
      <c r="AJ178" s="22">
        <v>0.63</v>
      </c>
      <c r="AK178" s="8" t="s">
        <v>153</v>
      </c>
      <c r="AL178" s="22">
        <v>0.15</v>
      </c>
      <c r="AM178" s="22">
        <v>0.04</v>
      </c>
      <c r="AN178" s="8">
        <v>7</v>
      </c>
      <c r="AO178" s="8">
        <v>2759</v>
      </c>
      <c r="AP178" s="8">
        <v>7945837.0999999996</v>
      </c>
      <c r="AQ178" s="24">
        <v>2163651.44233</v>
      </c>
      <c r="AR178" s="8">
        <v>8531382.4299999997</v>
      </c>
      <c r="AS178" s="37">
        <v>2323095.4356889999</v>
      </c>
      <c r="AT178" s="8" t="s">
        <v>355</v>
      </c>
      <c r="AU178" s="8" t="s">
        <v>348</v>
      </c>
      <c r="AV178" s="8">
        <v>57.3</v>
      </c>
      <c r="AW178" s="8">
        <v>36</v>
      </c>
      <c r="AX178" s="8" t="s">
        <v>337</v>
      </c>
      <c r="AY178" s="8" t="s">
        <v>206</v>
      </c>
      <c r="AZ178" s="8" t="s">
        <v>361</v>
      </c>
      <c r="BA178" s="21">
        <f>IF(OR(tblsales[[#This Row],[Invoice Value USD]]="",tblsales[[#This Row],[Collected Amount USD]]=""),"",tblsales[[#This Row],[Invoice Value USD]]-tblsales[[#This Row],[Collected Amount USD]])</f>
        <v>4817763.1965960003</v>
      </c>
      <c r="BB178" s="21" t="str">
        <f>IF(OR(tblsales[[#This Row],[Contract Value USD]]="",tblsales[[#This Row],[Cost Estimate USD]]=""),"",tblsales[[#This Row],[Contract Value USD]]-tblsales[[#This Row],[Cost Estimate USD]])</f>
        <v/>
      </c>
      <c r="BC178" s="21" t="str">
        <f>IF(OR(tblsales[[#This Row],[Contract Value USD]]="",tblsales[[#This Row],[Cost Estimate USD]]=""),"",tblsales[[#This Row],[Contract Value USD]]-tblsales[[#This Row],[Cost Estimate USD]])</f>
        <v/>
      </c>
      <c r="BD178" s="23">
        <f>IF(tblsales[[#This Row],[Invoice Value USD]]="","",tblsales[[#This Row],[Collected Amount USD]]/tblsales[[#This Row],[Invoice Value USD]])</f>
        <v>0.37539405323416469</v>
      </c>
      <c r="BE178" s="11">
        <f>IF(tblsales[[#This Row],[SalesStage]]="Won",1,0)</f>
        <v>1</v>
      </c>
      <c r="BF178" s="21" t="str">
        <f>IF(tblsales[[#This Row],[Win Flag]]=1,"Won","Lost")</f>
        <v>Won</v>
      </c>
      <c r="BG178" s="8"/>
      <c r="BH178" t="s">
        <v>5724</v>
      </c>
      <c r="BI178" s="28" t="e">
        <f>SUM(#REF!)</f>
        <v>#REF!</v>
      </c>
    </row>
    <row r="179" spans="1:61" x14ac:dyDescent="0.3">
      <c r="A179" s="10" t="s">
        <v>874</v>
      </c>
      <c r="B179" s="9">
        <v>45905</v>
      </c>
      <c r="C179" s="10" t="s">
        <v>239</v>
      </c>
      <c r="D179" s="10" t="s">
        <v>255</v>
      </c>
      <c r="E179" s="10" t="s">
        <v>20</v>
      </c>
      <c r="F179" s="10" t="s">
        <v>31</v>
      </c>
      <c r="G179" s="10" t="s">
        <v>70</v>
      </c>
      <c r="H179" s="10" t="s">
        <v>182</v>
      </c>
      <c r="I179" s="10" t="s">
        <v>213</v>
      </c>
      <c r="J179" s="10" t="s">
        <v>136</v>
      </c>
      <c r="K179" s="10" t="s">
        <v>204</v>
      </c>
      <c r="L179" s="10" t="s">
        <v>875</v>
      </c>
      <c r="M179" s="9">
        <v>45862</v>
      </c>
      <c r="N179" s="9">
        <v>45930</v>
      </c>
      <c r="O179" s="9">
        <v>45911</v>
      </c>
      <c r="P179" s="11">
        <v>40</v>
      </c>
      <c r="Q179" s="12">
        <v>7767267</v>
      </c>
      <c r="R179">
        <v>2071530.1088999999</v>
      </c>
      <c r="S179" s="22">
        <v>0.1</v>
      </c>
      <c r="T179" s="22">
        <v>0.08</v>
      </c>
      <c r="U179" s="12">
        <v>7549783.5199999996</v>
      </c>
      <c r="V179" s="24">
        <v>2013527.2647839999</v>
      </c>
      <c r="W179" s="8">
        <v>5307364.43</v>
      </c>
      <c r="X179" s="24">
        <v>1415474.0934809998</v>
      </c>
      <c r="Y179" s="22">
        <v>0.2</v>
      </c>
      <c r="Z179" s="22">
        <v>0.12</v>
      </c>
      <c r="AA179" s="8"/>
      <c r="AB179" s="8">
        <v>4483289.9400000004</v>
      </c>
      <c r="AC179" s="24">
        <v>1195693.4269980001</v>
      </c>
      <c r="AD179" s="8">
        <v>1875451.24</v>
      </c>
      <c r="AE179" s="24">
        <v>500182.84570800001</v>
      </c>
      <c r="AF179" s="8">
        <v>90</v>
      </c>
      <c r="AG179" s="8">
        <v>57</v>
      </c>
      <c r="AH179" s="8" t="s">
        <v>353</v>
      </c>
      <c r="AI179" s="8" t="s">
        <v>226</v>
      </c>
      <c r="AJ179" s="22">
        <v>0.67</v>
      </c>
      <c r="AK179" s="8" t="s">
        <v>162</v>
      </c>
      <c r="AL179" s="22">
        <v>0.05</v>
      </c>
      <c r="AM179" s="22">
        <v>0.04</v>
      </c>
      <c r="AN179" s="8">
        <v>0</v>
      </c>
      <c r="AO179" s="8">
        <v>1240</v>
      </c>
      <c r="AP179" s="8">
        <v>654187.30000000005</v>
      </c>
      <c r="AQ179" s="24">
        <v>174471.75291000001</v>
      </c>
      <c r="AR179" s="8">
        <v>1246036.8799999999</v>
      </c>
      <c r="AS179" s="37">
        <v>332318.03589599999</v>
      </c>
      <c r="AT179" s="8" t="s">
        <v>385</v>
      </c>
      <c r="AU179" s="8" t="s">
        <v>332</v>
      </c>
      <c r="AV179" s="8">
        <v>64.400000000000006</v>
      </c>
      <c r="AW179" s="8">
        <v>12</v>
      </c>
      <c r="AX179" s="8" t="s">
        <v>323</v>
      </c>
      <c r="AY179" s="8" t="s">
        <v>206</v>
      </c>
      <c r="AZ179" s="8" t="s">
        <v>357</v>
      </c>
      <c r="BA179" s="21">
        <f>IF(OR(tblsales[[#This Row],[Invoice Value USD]]="",tblsales[[#This Row],[Collected Amount USD]]=""),"",tblsales[[#This Row],[Invoice Value USD]]-tblsales[[#This Row],[Collected Amount USD]])</f>
        <v>695510.58129000012</v>
      </c>
      <c r="BB179" s="21">
        <f>IF(OR(tblsales[[#This Row],[Contract Value USD]]="",tblsales[[#This Row],[Cost Estimate USD]]=""),"",tblsales[[#This Row],[Contract Value USD]]-tblsales[[#This Row],[Cost Estimate USD]])</f>
        <v>598053.17130300007</v>
      </c>
      <c r="BC179" s="21">
        <f>IF(OR(tblsales[[#This Row],[Contract Value USD]]="",tblsales[[#This Row],[Cost Estimate USD]]=""),"",tblsales[[#This Row],[Contract Value USD]]-tblsales[[#This Row],[Cost Estimate USD]])</f>
        <v>598053.17130300007</v>
      </c>
      <c r="BD179" s="23">
        <f>IF(tblsales[[#This Row],[Invoice Value USD]]="","",tblsales[[#This Row],[Collected Amount USD]]/tblsales[[#This Row],[Invoice Value USD]])</f>
        <v>0.41832031055301316</v>
      </c>
      <c r="BE179" s="11">
        <f>IF(tblsales[[#This Row],[SalesStage]]="Won",1,0)</f>
        <v>0</v>
      </c>
      <c r="BF179" s="21" t="str">
        <f>IF(tblsales[[#This Row],[Win Flag]]=1,"Won","Lost")</f>
        <v>Lost</v>
      </c>
      <c r="BG179" s="8"/>
    </row>
    <row r="180" spans="1:61" x14ac:dyDescent="0.3">
      <c r="A180" s="10" t="s">
        <v>876</v>
      </c>
      <c r="B180" s="9">
        <v>45721</v>
      </c>
      <c r="C180" s="10" t="s">
        <v>249</v>
      </c>
      <c r="D180" s="10" t="s">
        <v>332</v>
      </c>
      <c r="E180" s="10" t="s">
        <v>52</v>
      </c>
      <c r="F180" s="10" t="s">
        <v>75</v>
      </c>
      <c r="G180" s="10" t="s">
        <v>28</v>
      </c>
      <c r="H180" s="10" t="s">
        <v>332</v>
      </c>
      <c r="I180" s="10" t="s">
        <v>183</v>
      </c>
      <c r="J180" s="10" t="s">
        <v>133</v>
      </c>
      <c r="K180" s="10" t="s">
        <v>199</v>
      </c>
      <c r="L180" s="10" t="s">
        <v>877</v>
      </c>
      <c r="M180" s="9">
        <v>45673</v>
      </c>
      <c r="N180" s="9"/>
      <c r="O180" s="9">
        <v>45792</v>
      </c>
      <c r="P180" s="11">
        <v>15</v>
      </c>
      <c r="Q180" s="12">
        <v>3769740</v>
      </c>
      <c r="R180">
        <v>3769740</v>
      </c>
      <c r="S180" s="22">
        <v>0.18</v>
      </c>
      <c r="T180" s="22">
        <v>-0.05</v>
      </c>
      <c r="U180" s="12">
        <v>2936627.46</v>
      </c>
      <c r="V180" s="24">
        <v>2936627.46</v>
      </c>
      <c r="W180" s="8">
        <v>2128742.7200000002</v>
      </c>
      <c r="X180" s="24">
        <v>2128742.7200000002</v>
      </c>
      <c r="Y180" s="22">
        <v>0.16</v>
      </c>
      <c r="Z180" s="22">
        <v>0.09</v>
      </c>
      <c r="AA180" s="8"/>
      <c r="AB180" s="8">
        <v>1026108.12</v>
      </c>
      <c r="AC180" s="24">
        <v>1026108.12</v>
      </c>
      <c r="AD180" s="8">
        <v>992542.11</v>
      </c>
      <c r="AE180" s="24">
        <v>992542.11</v>
      </c>
      <c r="AF180" s="8">
        <v>30</v>
      </c>
      <c r="AG180" s="8">
        <v>65</v>
      </c>
      <c r="AH180" s="8" t="s">
        <v>342</v>
      </c>
      <c r="AI180" s="8" t="s">
        <v>455</v>
      </c>
      <c r="AJ180" s="22">
        <v>0.18</v>
      </c>
      <c r="AK180" s="8" t="s">
        <v>152</v>
      </c>
      <c r="AL180" s="22">
        <v>0.1</v>
      </c>
      <c r="AM180" s="22">
        <v>0.08</v>
      </c>
      <c r="AN180" s="8">
        <v>4</v>
      </c>
      <c r="AO180" s="8">
        <v>2576</v>
      </c>
      <c r="AP180" s="8">
        <v>521508.49</v>
      </c>
      <c r="AQ180" s="24">
        <v>521508.49</v>
      </c>
      <c r="AR180" s="8">
        <v>709716.9</v>
      </c>
      <c r="AS180" s="37">
        <v>709716.9</v>
      </c>
      <c r="AT180" s="8" t="s">
        <v>343</v>
      </c>
      <c r="AU180" s="8" t="s">
        <v>356</v>
      </c>
      <c r="AV180" s="8">
        <v>59.2</v>
      </c>
      <c r="AW180" s="8">
        <v>48</v>
      </c>
      <c r="AX180" s="8" t="s">
        <v>332</v>
      </c>
      <c r="AY180" s="8" t="s">
        <v>224</v>
      </c>
      <c r="AZ180" s="8" t="s">
        <v>332</v>
      </c>
      <c r="BA180" s="21">
        <f>IF(OR(tblsales[[#This Row],[Invoice Value USD]]="",tblsales[[#This Row],[Collected Amount USD]]=""),"",tblsales[[#This Row],[Invoice Value USD]]-tblsales[[#This Row],[Collected Amount USD]])</f>
        <v>33566.010000000009</v>
      </c>
      <c r="BB180" s="21">
        <f>IF(OR(tblsales[[#This Row],[Contract Value USD]]="",tblsales[[#This Row],[Cost Estimate USD]]=""),"",tblsales[[#This Row],[Contract Value USD]]-tblsales[[#This Row],[Cost Estimate USD]])</f>
        <v>807884.73999999976</v>
      </c>
      <c r="BC180" s="21">
        <f>IF(OR(tblsales[[#This Row],[Contract Value USD]]="",tblsales[[#This Row],[Cost Estimate USD]]=""),"",tblsales[[#This Row],[Contract Value USD]]-tblsales[[#This Row],[Cost Estimate USD]])</f>
        <v>807884.73999999976</v>
      </c>
      <c r="BD180" s="23">
        <f>IF(tblsales[[#This Row],[Invoice Value USD]]="","",tblsales[[#This Row],[Collected Amount USD]]/tblsales[[#This Row],[Invoice Value USD]])</f>
        <v>0.9672880378336739</v>
      </c>
      <c r="BE180" s="11">
        <f>IF(tblsales[[#This Row],[SalesStage]]="Won",1,0)</f>
        <v>0</v>
      </c>
      <c r="BF180" s="21" t="str">
        <f>IF(tblsales[[#This Row],[Win Flag]]=1,"Won","Lost")</f>
        <v>Lost</v>
      </c>
      <c r="BG180" s="8"/>
    </row>
    <row r="181" spans="1:61" x14ac:dyDescent="0.3">
      <c r="A181" s="10" t="s">
        <v>878</v>
      </c>
      <c r="B181" s="9">
        <v>45972</v>
      </c>
      <c r="C181" s="10" t="s">
        <v>247</v>
      </c>
      <c r="D181" s="10" t="s">
        <v>255</v>
      </c>
      <c r="E181" s="10" t="s">
        <v>20</v>
      </c>
      <c r="F181" s="10" t="s">
        <v>35</v>
      </c>
      <c r="G181" s="10" t="s">
        <v>78</v>
      </c>
      <c r="H181" s="10" t="s">
        <v>236</v>
      </c>
      <c r="I181" s="10" t="s">
        <v>246</v>
      </c>
      <c r="J181" s="10" t="s">
        <v>136</v>
      </c>
      <c r="K181" s="10" t="s">
        <v>210</v>
      </c>
      <c r="L181" s="10" t="s">
        <v>879</v>
      </c>
      <c r="M181" s="9">
        <v>45888</v>
      </c>
      <c r="N181" s="9">
        <v>46005</v>
      </c>
      <c r="O181" s="9">
        <v>46358</v>
      </c>
      <c r="P181" s="11">
        <v>46</v>
      </c>
      <c r="Q181" s="12">
        <v>20493048</v>
      </c>
      <c r="R181">
        <v>5580256.9704</v>
      </c>
      <c r="S181" s="22">
        <v>0.28000000000000003</v>
      </c>
      <c r="T181" s="22">
        <v>0.1</v>
      </c>
      <c r="U181" s="12">
        <v>16230494.02</v>
      </c>
      <c r="V181" s="24">
        <v>4419563.5216459995</v>
      </c>
      <c r="W181" s="8">
        <v>10491921.24</v>
      </c>
      <c r="X181" s="24">
        <v>2856950.1536519998</v>
      </c>
      <c r="Y181" s="22">
        <v>0.3</v>
      </c>
      <c r="Z181" s="22">
        <v>0.19</v>
      </c>
      <c r="AA181" s="8" t="s">
        <v>880</v>
      </c>
      <c r="AB181" s="8">
        <v>5958936.2800000003</v>
      </c>
      <c r="AC181" s="24">
        <v>1622618.349044</v>
      </c>
      <c r="AD181" s="8">
        <v>4747554.8099999996</v>
      </c>
      <c r="AE181" s="24">
        <v>1292759.1747629999</v>
      </c>
      <c r="AF181" s="8">
        <v>120</v>
      </c>
      <c r="AG181" s="8">
        <v>76</v>
      </c>
      <c r="AH181" s="8" t="s">
        <v>347</v>
      </c>
      <c r="AI181" s="8" t="s">
        <v>226</v>
      </c>
      <c r="AJ181" s="22">
        <v>0.1</v>
      </c>
      <c r="AK181" s="8" t="s">
        <v>153</v>
      </c>
      <c r="AL181" s="22">
        <v>0.1</v>
      </c>
      <c r="AM181" s="22">
        <v>0.02</v>
      </c>
      <c r="AN181" s="8">
        <v>0</v>
      </c>
      <c r="AO181" s="8">
        <v>1001</v>
      </c>
      <c r="AP181" s="8">
        <v>1247433.57</v>
      </c>
      <c r="AQ181" s="24">
        <v>339676.16111099999</v>
      </c>
      <c r="AR181" s="8">
        <v>1783123.52</v>
      </c>
      <c r="AS181" s="37">
        <v>485544.53449599998</v>
      </c>
      <c r="AT181" s="8" t="s">
        <v>321</v>
      </c>
      <c r="AU181" s="8" t="s">
        <v>332</v>
      </c>
      <c r="AV181" s="8">
        <v>84.4</v>
      </c>
      <c r="AW181" s="8">
        <v>48</v>
      </c>
      <c r="AX181" s="8" t="s">
        <v>387</v>
      </c>
      <c r="AY181" s="8" t="s">
        <v>224</v>
      </c>
      <c r="AZ181" s="8" t="s">
        <v>377</v>
      </c>
      <c r="BA181" s="21">
        <f>IF(OR(tblsales[[#This Row],[Invoice Value USD]]="",tblsales[[#This Row],[Collected Amount USD]]=""),"",tblsales[[#This Row],[Invoice Value USD]]-tblsales[[#This Row],[Collected Amount USD]])</f>
        <v>329859.17428100016</v>
      </c>
      <c r="BB181" s="21">
        <f>IF(OR(tblsales[[#This Row],[Contract Value USD]]="",tblsales[[#This Row],[Cost Estimate USD]]=""),"",tblsales[[#This Row],[Contract Value USD]]-tblsales[[#This Row],[Cost Estimate USD]])</f>
        <v>1562613.3679939997</v>
      </c>
      <c r="BC181" s="21">
        <f>IF(OR(tblsales[[#This Row],[Contract Value USD]]="",tblsales[[#This Row],[Cost Estimate USD]]=""),"",tblsales[[#This Row],[Contract Value USD]]-tblsales[[#This Row],[Cost Estimate USD]])</f>
        <v>1562613.3679939997</v>
      </c>
      <c r="BD181" s="23">
        <f>IF(tblsales[[#This Row],[Invoice Value USD]]="","",tblsales[[#This Row],[Collected Amount USD]]/tblsales[[#This Row],[Invoice Value USD]])</f>
        <v>0.79671179333369202</v>
      </c>
      <c r="BE181" s="11">
        <f>IF(tblsales[[#This Row],[SalesStage]]="Won",1,0)</f>
        <v>0</v>
      </c>
      <c r="BF181" s="21" t="str">
        <f>IF(tblsales[[#This Row],[Win Flag]]=1,"Won","Lost")</f>
        <v>Lost</v>
      </c>
      <c r="BG181" s="8"/>
    </row>
    <row r="182" spans="1:61" x14ac:dyDescent="0.3">
      <c r="A182" s="10" t="s">
        <v>881</v>
      </c>
      <c r="B182" s="9">
        <v>45937</v>
      </c>
      <c r="C182" s="10" t="s">
        <v>264</v>
      </c>
      <c r="D182" s="10" t="s">
        <v>394</v>
      </c>
      <c r="E182" s="10" t="s">
        <v>113</v>
      </c>
      <c r="F182" s="10" t="s">
        <v>332</v>
      </c>
      <c r="G182" s="10" t="s">
        <v>70</v>
      </c>
      <c r="H182" s="10" t="s">
        <v>236</v>
      </c>
      <c r="I182" s="10" t="s">
        <v>183</v>
      </c>
      <c r="J182" s="10" t="s">
        <v>127</v>
      </c>
      <c r="K182" s="10" t="s">
        <v>326</v>
      </c>
      <c r="L182" s="10" t="s">
        <v>882</v>
      </c>
      <c r="M182" s="9">
        <v>45909</v>
      </c>
      <c r="N182" s="9"/>
      <c r="O182" s="9"/>
      <c r="P182" s="11">
        <v>40</v>
      </c>
      <c r="Q182" s="12">
        <v>17666526</v>
      </c>
      <c r="R182">
        <v>20510836.686000001</v>
      </c>
      <c r="S182" s="22">
        <v>0.28999999999999998</v>
      </c>
      <c r="T182" s="22">
        <v>0.12</v>
      </c>
      <c r="U182" s="12">
        <v>14048421.48</v>
      </c>
      <c r="V182" s="24">
        <v>16310217.338280002</v>
      </c>
      <c r="W182" s="8">
        <v>11147881.779999999</v>
      </c>
      <c r="X182" s="24">
        <v>12942690.746579999</v>
      </c>
      <c r="Y182" s="22">
        <v>0.27</v>
      </c>
      <c r="Z182" s="22">
        <v>0.06</v>
      </c>
      <c r="AA182" s="8" t="s">
        <v>402</v>
      </c>
      <c r="AB182" s="8">
        <v>10963624.199999999</v>
      </c>
      <c r="AC182" s="24">
        <v>12728767.6962</v>
      </c>
      <c r="AD182" s="8">
        <v>8702122.5099999998</v>
      </c>
      <c r="AE182" s="24">
        <v>10103164.23411</v>
      </c>
      <c r="AF182" s="8">
        <v>90</v>
      </c>
      <c r="AG182" s="8">
        <v>38</v>
      </c>
      <c r="AH182" s="8" t="s">
        <v>342</v>
      </c>
      <c r="AI182" s="8" t="s">
        <v>381</v>
      </c>
      <c r="AJ182" s="22">
        <v>0.65</v>
      </c>
      <c r="AK182" s="8" t="s">
        <v>159</v>
      </c>
      <c r="AL182" s="22">
        <v>0.05</v>
      </c>
      <c r="AM182" s="22">
        <v>0.02</v>
      </c>
      <c r="AN182" s="8">
        <v>7</v>
      </c>
      <c r="AO182" s="8"/>
      <c r="AP182" s="8">
        <v>1898599.59</v>
      </c>
      <c r="AQ182" s="24">
        <v>2204274.1239900002</v>
      </c>
      <c r="AR182" s="8">
        <v>2589293.44</v>
      </c>
      <c r="AS182" s="37">
        <v>3006169.6838400001</v>
      </c>
      <c r="AT182" s="8" t="s">
        <v>355</v>
      </c>
      <c r="AU182" s="8" t="s">
        <v>386</v>
      </c>
      <c r="AV182" s="8">
        <v>73.400000000000006</v>
      </c>
      <c r="AW182" s="8">
        <v>60</v>
      </c>
      <c r="AX182" s="8" t="s">
        <v>332</v>
      </c>
      <c r="AY182" s="8" t="s">
        <v>206</v>
      </c>
      <c r="AZ182" s="8" t="s">
        <v>357</v>
      </c>
      <c r="BA182" s="21">
        <f>IF(OR(tblsales[[#This Row],[Invoice Value USD]]="",tblsales[[#This Row],[Collected Amount USD]]=""),"",tblsales[[#This Row],[Invoice Value USD]]-tblsales[[#This Row],[Collected Amount USD]])</f>
        <v>2625603.4620900005</v>
      </c>
      <c r="BB182" s="21">
        <f>IF(OR(tblsales[[#This Row],[Contract Value USD]]="",tblsales[[#This Row],[Cost Estimate USD]]=""),"",tblsales[[#This Row],[Contract Value USD]]-tblsales[[#This Row],[Cost Estimate USD]])</f>
        <v>3367526.5917000026</v>
      </c>
      <c r="BC182" s="21">
        <f>IF(OR(tblsales[[#This Row],[Contract Value USD]]="",tblsales[[#This Row],[Cost Estimate USD]]=""),"",tblsales[[#This Row],[Contract Value USD]]-tblsales[[#This Row],[Cost Estimate USD]])</f>
        <v>3367526.5917000026</v>
      </c>
      <c r="BD182" s="23">
        <f>IF(tblsales[[#This Row],[Invoice Value USD]]="","",tblsales[[#This Row],[Collected Amount USD]]/tblsales[[#This Row],[Invoice Value USD]])</f>
        <v>0.79372681435031311</v>
      </c>
      <c r="BE182" s="11">
        <f>IF(tblsales[[#This Row],[SalesStage]]="Won",1,0)</f>
        <v>0</v>
      </c>
      <c r="BF182" s="21" t="str">
        <f>IF(tblsales[[#This Row],[Win Flag]]=1,"Won","Lost")</f>
        <v>Lost</v>
      </c>
      <c r="BG182" s="8"/>
    </row>
    <row r="183" spans="1:61" x14ac:dyDescent="0.3">
      <c r="A183" s="10" t="s">
        <v>883</v>
      </c>
      <c r="B183" s="9">
        <v>45831</v>
      </c>
      <c r="C183" s="10" t="s">
        <v>249</v>
      </c>
      <c r="D183" s="10" t="s">
        <v>394</v>
      </c>
      <c r="E183" s="10" t="s">
        <v>20</v>
      </c>
      <c r="F183" s="10" t="s">
        <v>332</v>
      </c>
      <c r="G183" s="10" t="s">
        <v>62</v>
      </c>
      <c r="H183" s="10" t="s">
        <v>332</v>
      </c>
      <c r="I183" s="10" t="s">
        <v>198</v>
      </c>
      <c r="J183" s="10" t="s">
        <v>136</v>
      </c>
      <c r="K183" s="10" t="s">
        <v>221</v>
      </c>
      <c r="L183" s="10" t="s">
        <v>884</v>
      </c>
      <c r="M183" s="9">
        <v>45663</v>
      </c>
      <c r="N183" s="9">
        <v>45785</v>
      </c>
      <c r="O183" s="9">
        <v>45890</v>
      </c>
      <c r="P183" s="11">
        <v>59</v>
      </c>
      <c r="Q183" s="12">
        <v>31035297</v>
      </c>
      <c r="R183">
        <v>31035297</v>
      </c>
      <c r="S183" s="22">
        <v>0.25</v>
      </c>
      <c r="T183" s="22">
        <v>0.15</v>
      </c>
      <c r="U183" s="12">
        <v>26767943.66</v>
      </c>
      <c r="V183" s="24">
        <v>26767943.66</v>
      </c>
      <c r="W183" s="8">
        <v>23227665.100000001</v>
      </c>
      <c r="X183" s="24">
        <v>23227665.100000001</v>
      </c>
      <c r="Y183" s="22">
        <v>0.2</v>
      </c>
      <c r="Z183" s="22">
        <v>0.06</v>
      </c>
      <c r="AA183" s="8" t="s">
        <v>885</v>
      </c>
      <c r="AB183" s="8">
        <v>7671401.4900000002</v>
      </c>
      <c r="AC183" s="24">
        <v>7671401.4900000002</v>
      </c>
      <c r="AD183" s="8">
        <v>6981635.6299999999</v>
      </c>
      <c r="AE183" s="24">
        <v>6981635.6299999999</v>
      </c>
      <c r="AF183" s="8">
        <v>60</v>
      </c>
      <c r="AG183" s="8">
        <v>101</v>
      </c>
      <c r="AH183" s="8" t="s">
        <v>332</v>
      </c>
      <c r="AI183" s="8" t="s">
        <v>354</v>
      </c>
      <c r="AJ183" s="22">
        <v>0.11</v>
      </c>
      <c r="AK183" s="8" t="s">
        <v>152</v>
      </c>
      <c r="AL183" s="22">
        <v>0.15</v>
      </c>
      <c r="AM183" s="22">
        <v>0.05</v>
      </c>
      <c r="AN183" s="8">
        <v>15</v>
      </c>
      <c r="AO183" s="8">
        <v>4978</v>
      </c>
      <c r="AP183" s="8">
        <v>716729.74</v>
      </c>
      <c r="AQ183" s="24">
        <v>716729.74</v>
      </c>
      <c r="AR183" s="8">
        <v>3829539.87</v>
      </c>
      <c r="AS183" s="37">
        <v>3829539.87</v>
      </c>
      <c r="AT183" s="8" t="s">
        <v>391</v>
      </c>
      <c r="AU183" s="8" t="s">
        <v>348</v>
      </c>
      <c r="AV183" s="8">
        <v>51.9</v>
      </c>
      <c r="AW183" s="8">
        <v>24</v>
      </c>
      <c r="AX183" s="8" t="s">
        <v>392</v>
      </c>
      <c r="AY183" s="8" t="s">
        <v>186</v>
      </c>
      <c r="AZ183" s="8" t="s">
        <v>361</v>
      </c>
      <c r="BA183" s="21">
        <f>IF(OR(tblsales[[#This Row],[Invoice Value USD]]="",tblsales[[#This Row],[Collected Amount USD]]=""),"",tblsales[[#This Row],[Invoice Value USD]]-tblsales[[#This Row],[Collected Amount USD]])</f>
        <v>689765.86000000034</v>
      </c>
      <c r="BB183" s="21">
        <f>IF(OR(tblsales[[#This Row],[Contract Value USD]]="",tblsales[[#This Row],[Cost Estimate USD]]=""),"",tblsales[[#This Row],[Contract Value USD]]-tblsales[[#This Row],[Cost Estimate USD]])</f>
        <v>3540278.5599999987</v>
      </c>
      <c r="BC183" s="21">
        <f>IF(OR(tblsales[[#This Row],[Contract Value USD]]="",tblsales[[#This Row],[Cost Estimate USD]]=""),"",tblsales[[#This Row],[Contract Value USD]]-tblsales[[#This Row],[Cost Estimate USD]])</f>
        <v>3540278.5599999987</v>
      </c>
      <c r="BD183" s="23">
        <f>IF(tblsales[[#This Row],[Invoice Value USD]]="","",tblsales[[#This Row],[Collected Amount USD]]/tblsales[[#This Row],[Invoice Value USD]])</f>
        <v>0.91008606955337434</v>
      </c>
      <c r="BE183" s="11">
        <f>IF(tblsales[[#This Row],[SalesStage]]="Won",1,0)</f>
        <v>0</v>
      </c>
      <c r="BF183" s="21" t="str">
        <f>IF(tblsales[[#This Row],[Win Flag]]=1,"Won","Lost")</f>
        <v>Lost</v>
      </c>
      <c r="BG183" s="8"/>
    </row>
    <row r="184" spans="1:61" x14ac:dyDescent="0.3">
      <c r="A184" s="10" t="s">
        <v>886</v>
      </c>
      <c r="B184" s="9">
        <v>45773</v>
      </c>
      <c r="C184" s="10" t="s">
        <v>264</v>
      </c>
      <c r="D184" s="10" t="s">
        <v>253</v>
      </c>
      <c r="E184" s="10" t="s">
        <v>332</v>
      </c>
      <c r="F184" s="10" t="s">
        <v>35</v>
      </c>
      <c r="G184" s="10" t="s">
        <v>16</v>
      </c>
      <c r="H184" s="10" t="s">
        <v>197</v>
      </c>
      <c r="I184" s="10" t="s">
        <v>240</v>
      </c>
      <c r="J184" s="10" t="s">
        <v>130</v>
      </c>
      <c r="K184" s="10" t="s">
        <v>204</v>
      </c>
      <c r="L184" s="10" t="s">
        <v>887</v>
      </c>
      <c r="M184" s="9">
        <v>45873</v>
      </c>
      <c r="N184" s="9">
        <v>45797</v>
      </c>
      <c r="O184" s="9">
        <v>45967</v>
      </c>
      <c r="P184" s="11">
        <v>34</v>
      </c>
      <c r="Q184" s="12">
        <v>13701816</v>
      </c>
      <c r="R184">
        <v>13701816</v>
      </c>
      <c r="S184" s="22">
        <v>0.26</v>
      </c>
      <c r="T184" s="22">
        <v>0.06</v>
      </c>
      <c r="U184" s="12">
        <v>10747704.470000001</v>
      </c>
      <c r="V184" s="24">
        <v>10747704.470000001</v>
      </c>
      <c r="W184" s="8">
        <v>8388012.3700000001</v>
      </c>
      <c r="X184" s="24">
        <v>8388012.3700000001</v>
      </c>
      <c r="Y184" s="22">
        <v>0.13</v>
      </c>
      <c r="Z184" s="22">
        <v>0.19</v>
      </c>
      <c r="AA184" s="8" t="s">
        <v>888</v>
      </c>
      <c r="AB184" s="8">
        <v>5365791.8</v>
      </c>
      <c r="AC184" s="24">
        <v>5365791.8</v>
      </c>
      <c r="AD184" s="8">
        <v>5000936.0599999996</v>
      </c>
      <c r="AE184" s="24">
        <v>5000936.0599999996</v>
      </c>
      <c r="AF184" s="8">
        <v>30</v>
      </c>
      <c r="AG184" s="8">
        <v>150</v>
      </c>
      <c r="AH184" s="8" t="s">
        <v>332</v>
      </c>
      <c r="AI184" s="8" t="s">
        <v>455</v>
      </c>
      <c r="AJ184" s="22">
        <v>7.0000000000000007E-2</v>
      </c>
      <c r="AK184" s="8" t="s">
        <v>152</v>
      </c>
      <c r="AL184" s="22">
        <v>0.15</v>
      </c>
      <c r="AM184" s="22">
        <v>0.02</v>
      </c>
      <c r="AN184" s="8">
        <v>1</v>
      </c>
      <c r="AO184" s="8">
        <v>4723</v>
      </c>
      <c r="AP184" s="8">
        <v>1494841.72</v>
      </c>
      <c r="AQ184" s="24">
        <v>1494841.72</v>
      </c>
      <c r="AR184" s="8">
        <v>2417112.83</v>
      </c>
      <c r="AS184" s="37">
        <v>2417112.83</v>
      </c>
      <c r="AT184" s="8" t="s">
        <v>355</v>
      </c>
      <c r="AU184" s="8" t="s">
        <v>332</v>
      </c>
      <c r="AV184" s="8">
        <v>85.2</v>
      </c>
      <c r="AW184" s="8">
        <v>60</v>
      </c>
      <c r="AX184" s="8" t="s">
        <v>387</v>
      </c>
      <c r="AY184" s="8" t="s">
        <v>186</v>
      </c>
      <c r="AZ184" s="8" t="s">
        <v>361</v>
      </c>
      <c r="BA184" s="21">
        <f>IF(OR(tblsales[[#This Row],[Invoice Value USD]]="",tblsales[[#This Row],[Collected Amount USD]]=""),"",tblsales[[#This Row],[Invoice Value USD]]-tblsales[[#This Row],[Collected Amount USD]])</f>
        <v>364855.74000000022</v>
      </c>
      <c r="BB184" s="21">
        <f>IF(OR(tblsales[[#This Row],[Contract Value USD]]="",tblsales[[#This Row],[Cost Estimate USD]]=""),"",tblsales[[#This Row],[Contract Value USD]]-tblsales[[#This Row],[Cost Estimate USD]])</f>
        <v>2359692.1000000006</v>
      </c>
      <c r="BC184" s="21">
        <f>IF(OR(tblsales[[#This Row],[Contract Value USD]]="",tblsales[[#This Row],[Cost Estimate USD]]=""),"",tblsales[[#This Row],[Contract Value USD]]-tblsales[[#This Row],[Cost Estimate USD]])</f>
        <v>2359692.1000000006</v>
      </c>
      <c r="BD184" s="23">
        <f>IF(tblsales[[#This Row],[Invoice Value USD]]="","",tblsales[[#This Row],[Collected Amount USD]]/tblsales[[#This Row],[Invoice Value USD]])</f>
        <v>0.93200337366798314</v>
      </c>
      <c r="BE184" s="11">
        <f>IF(tblsales[[#This Row],[SalesStage]]="Won",1,0)</f>
        <v>0</v>
      </c>
      <c r="BF184" s="21" t="str">
        <f>IF(tblsales[[#This Row],[Win Flag]]=1,"Won","Lost")</f>
        <v>Lost</v>
      </c>
      <c r="BG184" s="8"/>
    </row>
    <row r="185" spans="1:61" x14ac:dyDescent="0.3">
      <c r="A185" s="10" t="s">
        <v>889</v>
      </c>
      <c r="B185" s="9">
        <v>45755</v>
      </c>
      <c r="C185" s="10" t="s">
        <v>283</v>
      </c>
      <c r="D185" s="10" t="s">
        <v>250</v>
      </c>
      <c r="E185" s="10" t="s">
        <v>332</v>
      </c>
      <c r="F185" s="10" t="s">
        <v>339</v>
      </c>
      <c r="G185" s="10" t="s">
        <v>80</v>
      </c>
      <c r="H185" s="10" t="s">
        <v>263</v>
      </c>
      <c r="I185" s="10" t="s">
        <v>183</v>
      </c>
      <c r="J185" s="10" t="s">
        <v>130</v>
      </c>
      <c r="K185" s="10" t="s">
        <v>184</v>
      </c>
      <c r="L185" s="10" t="s">
        <v>890</v>
      </c>
      <c r="M185" s="9">
        <v>45998</v>
      </c>
      <c r="N185" s="9">
        <v>45887</v>
      </c>
      <c r="O185" s="9">
        <v>45941</v>
      </c>
      <c r="P185" s="11"/>
      <c r="Q185" s="12">
        <v>17707434</v>
      </c>
      <c r="R185">
        <v>4821734.2781999996</v>
      </c>
      <c r="S185" s="22">
        <v>0.08</v>
      </c>
      <c r="T185" s="22">
        <v>0.17</v>
      </c>
      <c r="U185" s="12">
        <v>19060281.960000001</v>
      </c>
      <c r="V185" s="24">
        <v>5190114.7777079996</v>
      </c>
      <c r="W185" s="8">
        <v>15859755.140000001</v>
      </c>
      <c r="X185" s="24">
        <v>4318611.3246219996</v>
      </c>
      <c r="Y185" s="22">
        <v>0.24</v>
      </c>
      <c r="Z185" s="22">
        <v>0.18</v>
      </c>
      <c r="AA185" s="8" t="s">
        <v>891</v>
      </c>
      <c r="AB185" s="8">
        <v>1915237.62</v>
      </c>
      <c r="AC185" s="24">
        <v>521519.20392599999</v>
      </c>
      <c r="AD185" s="8">
        <v>887495.54</v>
      </c>
      <c r="AE185" s="24">
        <v>241665.035542</v>
      </c>
      <c r="AF185" s="8">
        <v>60</v>
      </c>
      <c r="AG185" s="8">
        <v>170</v>
      </c>
      <c r="AH185" s="8" t="s">
        <v>353</v>
      </c>
      <c r="AI185" s="8" t="s">
        <v>455</v>
      </c>
      <c r="AJ185" s="22">
        <v>0.91</v>
      </c>
      <c r="AK185" s="8" t="s">
        <v>153</v>
      </c>
      <c r="AL185" s="22">
        <v>0.05</v>
      </c>
      <c r="AM185" s="22">
        <v>0.03</v>
      </c>
      <c r="AN185" s="8">
        <v>2</v>
      </c>
      <c r="AO185" s="8">
        <v>1035</v>
      </c>
      <c r="AP185" s="8">
        <v>2252386.37</v>
      </c>
      <c r="AQ185" s="24">
        <v>613324.80855099997</v>
      </c>
      <c r="AR185" s="8">
        <v>5245030.1500000004</v>
      </c>
      <c r="AS185" s="37">
        <v>1428221.7098449999</v>
      </c>
      <c r="AT185" s="8" t="s">
        <v>391</v>
      </c>
      <c r="AU185" s="8" t="s">
        <v>356</v>
      </c>
      <c r="AV185" s="8">
        <v>50.9</v>
      </c>
      <c r="AW185" s="8">
        <v>36</v>
      </c>
      <c r="AX185" s="8" t="s">
        <v>323</v>
      </c>
      <c r="AY185" s="8" t="s">
        <v>206</v>
      </c>
      <c r="AZ185" s="8" t="s">
        <v>357</v>
      </c>
      <c r="BA185" s="21">
        <f>IF(OR(tblsales[[#This Row],[Invoice Value USD]]="",tblsales[[#This Row],[Collected Amount USD]]=""),"",tblsales[[#This Row],[Invoice Value USD]]-tblsales[[#This Row],[Collected Amount USD]])</f>
        <v>279854.16838399996</v>
      </c>
      <c r="BB185" s="21">
        <f>IF(OR(tblsales[[#This Row],[Contract Value USD]]="",tblsales[[#This Row],[Cost Estimate USD]]=""),"",tblsales[[#This Row],[Contract Value USD]]-tblsales[[#This Row],[Cost Estimate USD]])</f>
        <v>871503.45308599994</v>
      </c>
      <c r="BC185" s="21">
        <f>IF(OR(tblsales[[#This Row],[Contract Value USD]]="",tblsales[[#This Row],[Cost Estimate USD]]=""),"",tblsales[[#This Row],[Contract Value USD]]-tblsales[[#This Row],[Cost Estimate USD]])</f>
        <v>871503.45308599994</v>
      </c>
      <c r="BD185" s="23">
        <f>IF(tblsales[[#This Row],[Invoice Value USD]]="","",tblsales[[#This Row],[Collected Amount USD]]/tblsales[[#This Row],[Invoice Value USD]])</f>
        <v>0.46338664755342474</v>
      </c>
      <c r="BE185" s="11">
        <f>IF(tblsales[[#This Row],[SalesStage]]="Won",1,0)</f>
        <v>0</v>
      </c>
      <c r="BF185" s="21" t="str">
        <f>IF(tblsales[[#This Row],[Win Flag]]=1,"Won","Lost")</f>
        <v>Lost</v>
      </c>
      <c r="BG185" s="8"/>
    </row>
    <row r="186" spans="1:61" x14ac:dyDescent="0.3">
      <c r="A186" s="10" t="s">
        <v>892</v>
      </c>
      <c r="B186" s="9">
        <v>45809</v>
      </c>
      <c r="C186" s="10" t="s">
        <v>219</v>
      </c>
      <c r="D186" s="10" t="s">
        <v>232</v>
      </c>
      <c r="E186" s="10" t="s">
        <v>52</v>
      </c>
      <c r="F186" s="10" t="s">
        <v>75</v>
      </c>
      <c r="G186" s="10" t="s">
        <v>28</v>
      </c>
      <c r="H186" s="10" t="s">
        <v>212</v>
      </c>
      <c r="I186" s="10" t="s">
        <v>198</v>
      </c>
      <c r="J186" s="10" t="s">
        <v>133</v>
      </c>
      <c r="K186" s="10" t="s">
        <v>221</v>
      </c>
      <c r="L186" s="10" t="s">
        <v>893</v>
      </c>
      <c r="M186" s="9">
        <v>45590</v>
      </c>
      <c r="N186" s="9">
        <v>45717</v>
      </c>
      <c r="O186" s="9">
        <v>45731</v>
      </c>
      <c r="P186" s="11">
        <v>21</v>
      </c>
      <c r="Q186" s="12">
        <v>15442160</v>
      </c>
      <c r="R186">
        <v>4204900.1679999996</v>
      </c>
      <c r="S186" s="22">
        <v>0.15</v>
      </c>
      <c r="T186" s="22">
        <v>0.14000000000000001</v>
      </c>
      <c r="U186" s="12">
        <v>14963453.039999999</v>
      </c>
      <c r="V186" s="24">
        <v>4074548.2627919996</v>
      </c>
      <c r="W186" s="8">
        <v>10074320.390000001</v>
      </c>
      <c r="X186" s="24">
        <v>2743237.4421970001</v>
      </c>
      <c r="Y186" s="22">
        <v>0.16</v>
      </c>
      <c r="Z186" s="22">
        <v>0.13</v>
      </c>
      <c r="AA186" s="8" t="s">
        <v>894</v>
      </c>
      <c r="AB186" s="8">
        <v>11021702.09</v>
      </c>
      <c r="AC186" s="24">
        <v>3001209.4791069999</v>
      </c>
      <c r="AD186" s="8">
        <v>8034534.9199999999</v>
      </c>
      <c r="AE186" s="24">
        <v>2187803.8587159999</v>
      </c>
      <c r="AF186" s="8">
        <v>30</v>
      </c>
      <c r="AG186" s="8">
        <v>4</v>
      </c>
      <c r="AH186" s="8" t="s">
        <v>353</v>
      </c>
      <c r="AI186" s="8" t="s">
        <v>381</v>
      </c>
      <c r="AJ186" s="22">
        <v>0.87</v>
      </c>
      <c r="AK186" s="8" t="s">
        <v>153</v>
      </c>
      <c r="AL186" s="22">
        <v>0.05</v>
      </c>
      <c r="AM186" s="22">
        <v>0.08</v>
      </c>
      <c r="AN186" s="8">
        <v>2</v>
      </c>
      <c r="AO186" s="8">
        <v>1677</v>
      </c>
      <c r="AP186" s="8">
        <v>3195113.67</v>
      </c>
      <c r="AQ186" s="24">
        <v>870029.45234099997</v>
      </c>
      <c r="AR186" s="8">
        <v>3321522.67</v>
      </c>
      <c r="AS186" s="37">
        <v>904450.62304099998</v>
      </c>
      <c r="AT186" s="8" t="s">
        <v>391</v>
      </c>
      <c r="AU186" s="8" t="s">
        <v>321</v>
      </c>
      <c r="AV186" s="8"/>
      <c r="AW186" s="8">
        <v>12</v>
      </c>
      <c r="AX186" s="8" t="s">
        <v>323</v>
      </c>
      <c r="AY186" s="8" t="s">
        <v>229</v>
      </c>
      <c r="AZ186" s="8" t="s">
        <v>357</v>
      </c>
      <c r="BA186" s="21">
        <f>IF(OR(tblsales[[#This Row],[Invoice Value USD]]="",tblsales[[#This Row],[Collected Amount USD]]=""),"",tblsales[[#This Row],[Invoice Value USD]]-tblsales[[#This Row],[Collected Amount USD]])</f>
        <v>813405.62039100006</v>
      </c>
      <c r="BB186" s="21">
        <f>IF(OR(tblsales[[#This Row],[Contract Value USD]]="",tblsales[[#This Row],[Cost Estimate USD]]=""),"",tblsales[[#This Row],[Contract Value USD]]-tblsales[[#This Row],[Cost Estimate USD]])</f>
        <v>1331310.8205949995</v>
      </c>
      <c r="BC186" s="21">
        <f>IF(OR(tblsales[[#This Row],[Contract Value USD]]="",tblsales[[#This Row],[Cost Estimate USD]]=""),"",tblsales[[#This Row],[Contract Value USD]]-tblsales[[#This Row],[Cost Estimate USD]])</f>
        <v>1331310.8205949995</v>
      </c>
      <c r="BD186" s="23">
        <f>IF(tblsales[[#This Row],[Invoice Value USD]]="","",tblsales[[#This Row],[Collected Amount USD]]/tblsales[[#This Row],[Invoice Value USD]])</f>
        <v>0.72897405994031905</v>
      </c>
      <c r="BE186" s="11">
        <f>IF(tblsales[[#This Row],[SalesStage]]="Won",1,0)</f>
        <v>0</v>
      </c>
      <c r="BF186" s="21" t="str">
        <f>IF(tblsales[[#This Row],[Win Flag]]=1,"Won","Lost")</f>
        <v>Lost</v>
      </c>
      <c r="BG186" s="8"/>
    </row>
    <row r="187" spans="1:61" x14ac:dyDescent="0.3">
      <c r="A187" s="10" t="s">
        <v>895</v>
      </c>
      <c r="B187" s="9">
        <v>45716</v>
      </c>
      <c r="C187" s="10" t="s">
        <v>277</v>
      </c>
      <c r="D187" s="10" t="s">
        <v>562</v>
      </c>
      <c r="E187" s="10" t="s">
        <v>332</v>
      </c>
      <c r="F187" s="10" t="s">
        <v>196</v>
      </c>
      <c r="G187" s="10" t="s">
        <v>66</v>
      </c>
      <c r="H187" s="10" t="s">
        <v>182</v>
      </c>
      <c r="I187" s="10" t="s">
        <v>183</v>
      </c>
      <c r="J187" s="10" t="s">
        <v>130</v>
      </c>
      <c r="K187" s="10" t="s">
        <v>223</v>
      </c>
      <c r="L187" s="10" t="s">
        <v>896</v>
      </c>
      <c r="M187" s="9">
        <v>45673</v>
      </c>
      <c r="N187" s="9">
        <v>45737</v>
      </c>
      <c r="O187" s="9">
        <v>45812</v>
      </c>
      <c r="P187" s="11">
        <v>49</v>
      </c>
      <c r="Q187" s="12">
        <v>1628724</v>
      </c>
      <c r="R187">
        <v>434380.69079999998</v>
      </c>
      <c r="S187" s="22">
        <v>0.18</v>
      </c>
      <c r="T187" s="22">
        <v>-0.04</v>
      </c>
      <c r="U187" s="12">
        <v>1282131.53</v>
      </c>
      <c r="V187" s="24">
        <v>341944.47905099997</v>
      </c>
      <c r="W187" s="8">
        <v>879831.41</v>
      </c>
      <c r="X187" s="24">
        <v>234651.03704699999</v>
      </c>
      <c r="Y187" s="22">
        <v>0.24</v>
      </c>
      <c r="Z187" s="22">
        <v>0.11</v>
      </c>
      <c r="AA187" s="8" t="s">
        <v>897</v>
      </c>
      <c r="AB187" s="8">
        <v>367038.65</v>
      </c>
      <c r="AC187" s="24">
        <v>97889.207955000005</v>
      </c>
      <c r="AD187" s="8">
        <v>222917.74</v>
      </c>
      <c r="AE187" s="24">
        <v>59452.161257999993</v>
      </c>
      <c r="AF187" s="8">
        <v>30</v>
      </c>
      <c r="AG187" s="8">
        <v>16</v>
      </c>
      <c r="AH187" s="8" t="s">
        <v>329</v>
      </c>
      <c r="AI187" s="8" t="s">
        <v>455</v>
      </c>
      <c r="AJ187" s="22">
        <v>0.31</v>
      </c>
      <c r="AK187" s="8" t="s">
        <v>162</v>
      </c>
      <c r="AL187" s="22">
        <v>0.15</v>
      </c>
      <c r="AM187" s="22">
        <v>0.04</v>
      </c>
      <c r="AN187" s="8">
        <v>0</v>
      </c>
      <c r="AO187" s="8">
        <v>1961</v>
      </c>
      <c r="AP187" s="8">
        <v>30120.07</v>
      </c>
      <c r="AQ187" s="24">
        <v>8033.022669</v>
      </c>
      <c r="AR187" s="8">
        <v>615919.18000000005</v>
      </c>
      <c r="AS187" s="37">
        <v>164265.64530600002</v>
      </c>
      <c r="AT187" s="8" t="s">
        <v>391</v>
      </c>
      <c r="AU187" s="8" t="s">
        <v>356</v>
      </c>
      <c r="AV187" s="8">
        <v>75.900000000000006</v>
      </c>
      <c r="AW187" s="8"/>
      <c r="AX187" s="8" t="s">
        <v>337</v>
      </c>
      <c r="AY187" s="8" t="s">
        <v>206</v>
      </c>
      <c r="AZ187" s="8" t="s">
        <v>324</v>
      </c>
      <c r="BA187" s="21">
        <f>IF(OR(tblsales[[#This Row],[Invoice Value USD]]="",tblsales[[#This Row],[Collected Amount USD]]=""),"",tblsales[[#This Row],[Invoice Value USD]]-tblsales[[#This Row],[Collected Amount USD]])</f>
        <v>38437.046697000013</v>
      </c>
      <c r="BB187" s="21">
        <f>IF(OR(tblsales[[#This Row],[Contract Value USD]]="",tblsales[[#This Row],[Cost Estimate USD]]=""),"",tblsales[[#This Row],[Contract Value USD]]-tblsales[[#This Row],[Cost Estimate USD]])</f>
        <v>107293.44200399998</v>
      </c>
      <c r="BC187" s="21">
        <f>IF(OR(tblsales[[#This Row],[Contract Value USD]]="",tblsales[[#This Row],[Cost Estimate USD]]=""),"",tblsales[[#This Row],[Contract Value USD]]-tblsales[[#This Row],[Cost Estimate USD]])</f>
        <v>107293.44200399998</v>
      </c>
      <c r="BD187" s="23">
        <f>IF(tblsales[[#This Row],[Invoice Value USD]]="","",tblsales[[#This Row],[Collected Amount USD]]/tblsales[[#This Row],[Invoice Value USD]])</f>
        <v>0.60734132495310766</v>
      </c>
      <c r="BE187" s="11">
        <f>IF(tblsales[[#This Row],[SalesStage]]="Won",1,0)</f>
        <v>0</v>
      </c>
      <c r="BF187" s="21" t="str">
        <f>IF(tblsales[[#This Row],[Win Flag]]=1,"Won","Lost")</f>
        <v>Lost</v>
      </c>
      <c r="BG187" s="8"/>
    </row>
    <row r="188" spans="1:61" x14ac:dyDescent="0.3">
      <c r="A188" s="10" t="s">
        <v>898</v>
      </c>
      <c r="B188" s="9">
        <v>45798</v>
      </c>
      <c r="C188" s="10" t="s">
        <v>231</v>
      </c>
      <c r="D188" s="10" t="s">
        <v>262</v>
      </c>
      <c r="E188" s="10" t="s">
        <v>332</v>
      </c>
      <c r="F188" s="10" t="s">
        <v>367</v>
      </c>
      <c r="G188" s="10" t="s">
        <v>66</v>
      </c>
      <c r="H188" s="10" t="s">
        <v>182</v>
      </c>
      <c r="I188" s="10" t="s">
        <v>246</v>
      </c>
      <c r="J188" s="10" t="s">
        <v>130</v>
      </c>
      <c r="K188" s="10" t="s">
        <v>210</v>
      </c>
      <c r="L188" s="10" t="s">
        <v>899</v>
      </c>
      <c r="M188" s="9">
        <v>45732</v>
      </c>
      <c r="N188" s="9"/>
      <c r="O188" s="9">
        <v>45861</v>
      </c>
      <c r="P188" s="11">
        <v>43</v>
      </c>
      <c r="Q188" s="12">
        <v>24472931</v>
      </c>
      <c r="R188">
        <v>6663979.1113</v>
      </c>
      <c r="S188" s="22">
        <v>0.1</v>
      </c>
      <c r="T188" s="22">
        <v>0.01</v>
      </c>
      <c r="U188" s="12">
        <v>22245894.280000001</v>
      </c>
      <c r="V188" s="24">
        <v>6057557.0124439998</v>
      </c>
      <c r="W188" s="8">
        <v>19161984.989999998</v>
      </c>
      <c r="X188" s="24">
        <v>5217808.5127769997</v>
      </c>
      <c r="Y188" s="22">
        <v>0.13</v>
      </c>
      <c r="Z188" s="22">
        <v>0.15</v>
      </c>
      <c r="AA188" s="8" t="s">
        <v>900</v>
      </c>
      <c r="AB188" s="8">
        <v>13460466.58</v>
      </c>
      <c r="AC188" s="24">
        <v>3665285.0497339997</v>
      </c>
      <c r="AD188" s="8">
        <v>12346628.359999999</v>
      </c>
      <c r="AE188" s="24">
        <v>3361986.9024279998</v>
      </c>
      <c r="AF188" s="8">
        <v>30</v>
      </c>
      <c r="AG188" s="8">
        <v>32</v>
      </c>
      <c r="AH188" s="8" t="s">
        <v>376</v>
      </c>
      <c r="AI188" s="8" t="s">
        <v>455</v>
      </c>
      <c r="AJ188" s="22">
        <v>0.34</v>
      </c>
      <c r="AK188" s="8" t="s">
        <v>153</v>
      </c>
      <c r="AL188" s="22">
        <v>0.15</v>
      </c>
      <c r="AM188" s="22">
        <v>0.04</v>
      </c>
      <c r="AN188" s="8">
        <v>8</v>
      </c>
      <c r="AO188" s="8">
        <v>1877</v>
      </c>
      <c r="AP188" s="8"/>
      <c r="AQ188" s="24"/>
      <c r="AR188" s="8">
        <v>4529751.26</v>
      </c>
      <c r="AS188" s="37">
        <v>1233451.268098</v>
      </c>
      <c r="AT188" s="8" t="s">
        <v>321</v>
      </c>
      <c r="AU188" s="8" t="s">
        <v>322</v>
      </c>
      <c r="AV188" s="8">
        <v>93</v>
      </c>
      <c r="AW188" s="8">
        <v>36</v>
      </c>
      <c r="AX188" s="8" t="s">
        <v>392</v>
      </c>
      <c r="AY188" s="8" t="s">
        <v>206</v>
      </c>
      <c r="AZ188" s="8" t="s">
        <v>361</v>
      </c>
      <c r="BA188" s="21">
        <f>IF(OR(tblsales[[#This Row],[Invoice Value USD]]="",tblsales[[#This Row],[Collected Amount USD]]=""),"",tblsales[[#This Row],[Invoice Value USD]]-tblsales[[#This Row],[Collected Amount USD]])</f>
        <v>303298.14730599988</v>
      </c>
      <c r="BB188" s="21">
        <f>IF(OR(tblsales[[#This Row],[Contract Value USD]]="",tblsales[[#This Row],[Cost Estimate USD]]=""),"",tblsales[[#This Row],[Contract Value USD]]-tblsales[[#This Row],[Cost Estimate USD]])</f>
        <v>839748.49966700003</v>
      </c>
      <c r="BC188" s="21">
        <f>IF(OR(tblsales[[#This Row],[Contract Value USD]]="",tblsales[[#This Row],[Cost Estimate USD]]=""),"",tblsales[[#This Row],[Contract Value USD]]-tblsales[[#This Row],[Cost Estimate USD]])</f>
        <v>839748.49966700003</v>
      </c>
      <c r="BD188" s="23">
        <f>IF(tblsales[[#This Row],[Invoice Value USD]]="","",tblsales[[#This Row],[Collected Amount USD]]/tblsales[[#This Row],[Invoice Value USD]])</f>
        <v>0.91725114331066526</v>
      </c>
      <c r="BE188" s="11">
        <f>IF(tblsales[[#This Row],[SalesStage]]="Won",1,0)</f>
        <v>0</v>
      </c>
      <c r="BF188" s="21" t="str">
        <f>IF(tblsales[[#This Row],[Win Flag]]=1,"Won","Lost")</f>
        <v>Lost</v>
      </c>
      <c r="BG188" s="8"/>
    </row>
    <row r="189" spans="1:61" x14ac:dyDescent="0.3">
      <c r="A189" s="10" t="s">
        <v>901</v>
      </c>
      <c r="B189" s="9">
        <v>45885</v>
      </c>
      <c r="C189" s="10" t="s">
        <v>225</v>
      </c>
      <c r="D189" s="10" t="s">
        <v>265</v>
      </c>
      <c r="E189" s="10" t="s">
        <v>41</v>
      </c>
      <c r="F189" s="10" t="s">
        <v>363</v>
      </c>
      <c r="G189" s="10" t="s">
        <v>46</v>
      </c>
      <c r="H189" s="10" t="s">
        <v>182</v>
      </c>
      <c r="I189" s="10" t="s">
        <v>203</v>
      </c>
      <c r="J189" s="10" t="s">
        <v>130</v>
      </c>
      <c r="K189" s="10" t="s">
        <v>221</v>
      </c>
      <c r="L189" s="10" t="s">
        <v>902</v>
      </c>
      <c r="M189" s="9">
        <v>45835</v>
      </c>
      <c r="N189" s="9">
        <v>45909</v>
      </c>
      <c r="O189" s="9">
        <v>45757</v>
      </c>
      <c r="P189" s="11">
        <v>44</v>
      </c>
      <c r="Q189" s="12">
        <v>7795553</v>
      </c>
      <c r="R189">
        <v>2122729.0819000001</v>
      </c>
      <c r="S189" s="22">
        <v>0.18</v>
      </c>
      <c r="T189" s="22">
        <v>0.01</v>
      </c>
      <c r="U189" s="12">
        <v>6456276.9900000002</v>
      </c>
      <c r="V189" s="24">
        <v>1758044.224377</v>
      </c>
      <c r="W189" s="8">
        <v>4023509.42</v>
      </c>
      <c r="X189" s="24">
        <v>1095601.615066</v>
      </c>
      <c r="Y189" s="22">
        <v>0.13</v>
      </c>
      <c r="Z189" s="22">
        <v>0.13</v>
      </c>
      <c r="AA189" s="8" t="s">
        <v>903</v>
      </c>
      <c r="AB189" s="8">
        <v>2110690.52</v>
      </c>
      <c r="AC189" s="24">
        <v>574741.02859599993</v>
      </c>
      <c r="AD189" s="8">
        <v>1260266.8999999999</v>
      </c>
      <c r="AE189" s="24">
        <v>343170.67686999997</v>
      </c>
      <c r="AF189" s="8">
        <v>90</v>
      </c>
      <c r="AG189" s="8">
        <v>19</v>
      </c>
      <c r="AH189" s="8" t="s">
        <v>353</v>
      </c>
      <c r="AI189" s="8" t="s">
        <v>336</v>
      </c>
      <c r="AJ189" s="22">
        <v>0.65</v>
      </c>
      <c r="AK189" s="8" t="s">
        <v>153</v>
      </c>
      <c r="AL189" s="22">
        <v>0.1</v>
      </c>
      <c r="AM189" s="22">
        <v>0.02</v>
      </c>
      <c r="AN189" s="8">
        <v>10</v>
      </c>
      <c r="AO189" s="8">
        <v>431</v>
      </c>
      <c r="AP189" s="8">
        <v>1107997.1000000001</v>
      </c>
      <c r="AQ189" s="24">
        <v>301707.61033</v>
      </c>
      <c r="AR189" s="8">
        <v>1464127.01</v>
      </c>
      <c r="AS189" s="37">
        <v>398681.78482299997</v>
      </c>
      <c r="AT189" s="8" t="s">
        <v>332</v>
      </c>
      <c r="AU189" s="8" t="s">
        <v>348</v>
      </c>
      <c r="AV189" s="8">
        <v>86.7</v>
      </c>
      <c r="AW189" s="8">
        <v>60</v>
      </c>
      <c r="AX189" s="8" t="s">
        <v>392</v>
      </c>
      <c r="AY189" s="8" t="s">
        <v>229</v>
      </c>
      <c r="AZ189" s="8" t="s">
        <v>332</v>
      </c>
      <c r="BA189" s="21">
        <f>IF(OR(tblsales[[#This Row],[Invoice Value USD]]="",tblsales[[#This Row],[Collected Amount USD]]=""),"",tblsales[[#This Row],[Invoice Value USD]]-tblsales[[#This Row],[Collected Amount USD]])</f>
        <v>231570.35172599996</v>
      </c>
      <c r="BB189" s="21">
        <f>IF(OR(tblsales[[#This Row],[Contract Value USD]]="",tblsales[[#This Row],[Cost Estimate USD]]=""),"",tblsales[[#This Row],[Contract Value USD]]-tblsales[[#This Row],[Cost Estimate USD]])</f>
        <v>662442.60931099998</v>
      </c>
      <c r="BC189" s="21">
        <f>IF(OR(tblsales[[#This Row],[Contract Value USD]]="",tblsales[[#This Row],[Cost Estimate USD]]=""),"",tblsales[[#This Row],[Contract Value USD]]-tblsales[[#This Row],[Cost Estimate USD]])</f>
        <v>662442.60931099998</v>
      </c>
      <c r="BD189" s="23">
        <f>IF(tblsales[[#This Row],[Invoice Value USD]]="","",tblsales[[#This Row],[Collected Amount USD]]/tblsales[[#This Row],[Invoice Value USD]])</f>
        <v>0.59708748774784848</v>
      </c>
      <c r="BE189" s="11">
        <f>IF(tblsales[[#This Row],[SalesStage]]="Won",1,0)</f>
        <v>0</v>
      </c>
      <c r="BF189" s="21" t="str">
        <f>IF(tblsales[[#This Row],[Win Flag]]=1,"Won","Lost")</f>
        <v>Lost</v>
      </c>
      <c r="BG189" s="8"/>
    </row>
    <row r="190" spans="1:61" x14ac:dyDescent="0.3">
      <c r="A190" s="10" t="s">
        <v>904</v>
      </c>
      <c r="B190" s="9">
        <v>45819</v>
      </c>
      <c r="C190" s="10" t="s">
        <v>278</v>
      </c>
      <c r="D190" s="10" t="s">
        <v>248</v>
      </c>
      <c r="E190" s="10" t="s">
        <v>52</v>
      </c>
      <c r="F190" s="10" t="s">
        <v>75</v>
      </c>
      <c r="G190" s="10" t="s">
        <v>73</v>
      </c>
      <c r="H190" s="10" t="s">
        <v>182</v>
      </c>
      <c r="I190" s="10" t="s">
        <v>183</v>
      </c>
      <c r="J190" s="10" t="s">
        <v>119</v>
      </c>
      <c r="K190" s="10" t="s">
        <v>210</v>
      </c>
      <c r="L190" s="10" t="s">
        <v>905</v>
      </c>
      <c r="M190" s="9">
        <v>45934</v>
      </c>
      <c r="N190" s="9" t="s">
        <v>906</v>
      </c>
      <c r="O190" s="9">
        <v>45785</v>
      </c>
      <c r="P190" s="11">
        <v>3</v>
      </c>
      <c r="Q190" s="12">
        <v>7945498</v>
      </c>
      <c r="R190">
        <v>2163559.1053999998</v>
      </c>
      <c r="S190" s="22">
        <v>0.25</v>
      </c>
      <c r="T190" s="22">
        <v>0.06</v>
      </c>
      <c r="U190" s="12">
        <v>6316670.9100000001</v>
      </c>
      <c r="V190" s="24">
        <v>1720029.4887929999</v>
      </c>
      <c r="W190" s="8">
        <v>4583298.5999999996</v>
      </c>
      <c r="X190" s="24">
        <v>1248032.2087799998</v>
      </c>
      <c r="Y190" s="22">
        <v>0.3</v>
      </c>
      <c r="Z190" s="22">
        <v>0.12</v>
      </c>
      <c r="AA190" s="8" t="s">
        <v>907</v>
      </c>
      <c r="AB190" s="8">
        <v>5457396.8700000001</v>
      </c>
      <c r="AC190" s="24">
        <v>1486049.1677009999</v>
      </c>
      <c r="AD190" s="8">
        <v>3426921.34</v>
      </c>
      <c r="AE190" s="24">
        <v>933150.6808819999</v>
      </c>
      <c r="AF190" s="8">
        <v>30</v>
      </c>
      <c r="AG190" s="8">
        <v>91</v>
      </c>
      <c r="AH190" s="8" t="s">
        <v>332</v>
      </c>
      <c r="AI190" s="8" t="s">
        <v>320</v>
      </c>
      <c r="AJ190" s="22">
        <v>0.57999999999999996</v>
      </c>
      <c r="AK190" s="8" t="s">
        <v>153</v>
      </c>
      <c r="AL190" s="22">
        <v>0.05</v>
      </c>
      <c r="AM190" s="22">
        <v>0.09</v>
      </c>
      <c r="AN190" s="8">
        <v>15</v>
      </c>
      <c r="AO190" s="8">
        <v>608</v>
      </c>
      <c r="AP190" s="8">
        <v>1385766.41</v>
      </c>
      <c r="AQ190" s="24">
        <v>377344.19344299997</v>
      </c>
      <c r="AR190" s="8">
        <v>2916433.22</v>
      </c>
      <c r="AS190" s="37">
        <v>794144.76580599998</v>
      </c>
      <c r="AT190" s="8" t="s">
        <v>385</v>
      </c>
      <c r="AU190" s="8" t="s">
        <v>321</v>
      </c>
      <c r="AV190" s="8">
        <v>51.7</v>
      </c>
      <c r="AW190" s="8">
        <v>48</v>
      </c>
      <c r="AX190" s="8" t="s">
        <v>323</v>
      </c>
      <c r="AY190" s="8" t="s">
        <v>206</v>
      </c>
      <c r="AZ190" s="8" t="s">
        <v>361</v>
      </c>
      <c r="BA190" s="21">
        <f>IF(OR(tblsales[[#This Row],[Invoice Value USD]]="",tblsales[[#This Row],[Collected Amount USD]]=""),"",tblsales[[#This Row],[Invoice Value USD]]-tblsales[[#This Row],[Collected Amount USD]])</f>
        <v>552898.48681899998</v>
      </c>
      <c r="BB190" s="21">
        <f>IF(OR(tblsales[[#This Row],[Contract Value USD]]="",tblsales[[#This Row],[Cost Estimate USD]]=""),"",tblsales[[#This Row],[Contract Value USD]]-tblsales[[#This Row],[Cost Estimate USD]])</f>
        <v>471997.28001300013</v>
      </c>
      <c r="BC190" s="21">
        <f>IF(OR(tblsales[[#This Row],[Contract Value USD]]="",tblsales[[#This Row],[Cost Estimate USD]]=""),"",tblsales[[#This Row],[Contract Value USD]]-tblsales[[#This Row],[Cost Estimate USD]])</f>
        <v>471997.28001300013</v>
      </c>
      <c r="BD190" s="23">
        <f>IF(tblsales[[#This Row],[Invoice Value USD]]="","",tblsales[[#This Row],[Collected Amount USD]]/tblsales[[#This Row],[Invoice Value USD]])</f>
        <v>0.62794065039290425</v>
      </c>
      <c r="BE190" s="11">
        <f>IF(tblsales[[#This Row],[SalesStage]]="Won",1,0)</f>
        <v>1</v>
      </c>
      <c r="BF190" s="21" t="str">
        <f>IF(tblsales[[#This Row],[Win Flag]]=1,"Won","Lost")</f>
        <v>Won</v>
      </c>
      <c r="BG190" s="8"/>
    </row>
    <row r="191" spans="1:61" x14ac:dyDescent="0.3">
      <c r="A191" s="10" t="s">
        <v>908</v>
      </c>
      <c r="B191" s="9">
        <v>45973</v>
      </c>
      <c r="C191" s="10" t="s">
        <v>271</v>
      </c>
      <c r="D191" s="10" t="s">
        <v>332</v>
      </c>
      <c r="E191" s="10" t="s">
        <v>332</v>
      </c>
      <c r="F191" s="10" t="s">
        <v>367</v>
      </c>
      <c r="G191" s="10" t="s">
        <v>28</v>
      </c>
      <c r="H191" s="10" t="s">
        <v>332</v>
      </c>
      <c r="I191" s="10" t="s">
        <v>191</v>
      </c>
      <c r="J191" s="10" t="s">
        <v>130</v>
      </c>
      <c r="K191" s="10" t="s">
        <v>199</v>
      </c>
      <c r="L191" s="10" t="s">
        <v>909</v>
      </c>
      <c r="M191" s="9">
        <v>45951</v>
      </c>
      <c r="N191" s="9"/>
      <c r="O191" s="9">
        <v>46075</v>
      </c>
      <c r="P191" s="11">
        <v>27</v>
      </c>
      <c r="Q191" s="12">
        <v>7432442</v>
      </c>
      <c r="R191">
        <v>7432442</v>
      </c>
      <c r="S191" s="22">
        <v>0.35</v>
      </c>
      <c r="T191" s="22">
        <v>-0.04</v>
      </c>
      <c r="U191" s="12">
        <v>4637843.8099999996</v>
      </c>
      <c r="V191" s="24">
        <v>4637843.8099999996</v>
      </c>
      <c r="W191" s="8">
        <v>3030945.69</v>
      </c>
      <c r="X191" s="24">
        <v>3030945.69</v>
      </c>
      <c r="Y191" s="22">
        <v>0.33</v>
      </c>
      <c r="Z191" s="22">
        <v>0.16</v>
      </c>
      <c r="AA191" s="8" t="s">
        <v>910</v>
      </c>
      <c r="AB191" s="8">
        <v>3144162.02</v>
      </c>
      <c r="AC191" s="24">
        <v>3144162.02</v>
      </c>
      <c r="AD191" s="8">
        <v>1836084.05</v>
      </c>
      <c r="AE191" s="24">
        <v>1836084.05</v>
      </c>
      <c r="AF191" s="8">
        <v>90</v>
      </c>
      <c r="AG191" s="8">
        <v>105</v>
      </c>
      <c r="AH191" s="8" t="s">
        <v>376</v>
      </c>
      <c r="AI191" s="8" t="s">
        <v>455</v>
      </c>
      <c r="AJ191" s="22">
        <v>0.64</v>
      </c>
      <c r="AK191" s="8" t="s">
        <v>152</v>
      </c>
      <c r="AL191" s="22">
        <v>0.15</v>
      </c>
      <c r="AM191" s="22">
        <v>0.09</v>
      </c>
      <c r="AN191" s="8">
        <v>9</v>
      </c>
      <c r="AO191" s="8">
        <v>2343</v>
      </c>
      <c r="AP191" s="8">
        <v>399800.35</v>
      </c>
      <c r="AQ191" s="24">
        <v>399800.35</v>
      </c>
      <c r="AR191" s="8">
        <v>878655.02</v>
      </c>
      <c r="AS191" s="37">
        <v>878655.02</v>
      </c>
      <c r="AT191" s="8" t="s">
        <v>355</v>
      </c>
      <c r="AU191" s="8" t="s">
        <v>356</v>
      </c>
      <c r="AV191" s="8">
        <v>76</v>
      </c>
      <c r="AW191" s="8">
        <v>36</v>
      </c>
      <c r="AX191" s="8" t="s">
        <v>332</v>
      </c>
      <c r="AY191" s="8" t="s">
        <v>224</v>
      </c>
      <c r="AZ191" s="8" t="s">
        <v>361</v>
      </c>
      <c r="BA191" s="21">
        <f>IF(OR(tblsales[[#This Row],[Invoice Value USD]]="",tblsales[[#This Row],[Collected Amount USD]]=""),"",tblsales[[#This Row],[Invoice Value USD]]-tblsales[[#This Row],[Collected Amount USD]])</f>
        <v>1308077.97</v>
      </c>
      <c r="BB191" s="21">
        <f>IF(OR(tblsales[[#This Row],[Contract Value USD]]="",tblsales[[#This Row],[Cost Estimate USD]]=""),"",tblsales[[#This Row],[Contract Value USD]]-tblsales[[#This Row],[Cost Estimate USD]])</f>
        <v>1606898.1199999996</v>
      </c>
      <c r="BC191" s="21">
        <f>IF(OR(tblsales[[#This Row],[Contract Value USD]]="",tblsales[[#This Row],[Cost Estimate USD]]=""),"",tblsales[[#This Row],[Contract Value USD]]-tblsales[[#This Row],[Cost Estimate USD]])</f>
        <v>1606898.1199999996</v>
      </c>
      <c r="BD191" s="23">
        <f>IF(tblsales[[#This Row],[Invoice Value USD]]="","",tblsales[[#This Row],[Collected Amount USD]]/tblsales[[#This Row],[Invoice Value USD]])</f>
        <v>0.58396610553803463</v>
      </c>
      <c r="BE191" s="11">
        <f>IF(tblsales[[#This Row],[SalesStage]]="Won",1,0)</f>
        <v>0</v>
      </c>
      <c r="BF191" s="21" t="str">
        <f>IF(tblsales[[#This Row],[Win Flag]]=1,"Won","Lost")</f>
        <v>Lost</v>
      </c>
      <c r="BG191" s="8"/>
    </row>
    <row r="192" spans="1:61" x14ac:dyDescent="0.3">
      <c r="A192" s="10" t="s">
        <v>911</v>
      </c>
      <c r="B192" s="9">
        <v>45940</v>
      </c>
      <c r="C192" s="10" t="s">
        <v>280</v>
      </c>
      <c r="D192" s="10" t="s">
        <v>255</v>
      </c>
      <c r="E192" s="10" t="s">
        <v>52</v>
      </c>
      <c r="F192" s="10" t="s">
        <v>75</v>
      </c>
      <c r="G192" s="10" t="s">
        <v>62</v>
      </c>
      <c r="H192" s="10" t="s">
        <v>182</v>
      </c>
      <c r="I192" s="10" t="s">
        <v>183</v>
      </c>
      <c r="J192" s="10" t="s">
        <v>133</v>
      </c>
      <c r="K192" s="10" t="s">
        <v>204</v>
      </c>
      <c r="L192" s="10" t="s">
        <v>912</v>
      </c>
      <c r="M192" s="9">
        <v>45895</v>
      </c>
      <c r="N192" s="9">
        <v>45991</v>
      </c>
      <c r="O192" s="9">
        <v>45850</v>
      </c>
      <c r="P192" s="11">
        <v>35</v>
      </c>
      <c r="Q192" s="12">
        <v>34338156</v>
      </c>
      <c r="R192">
        <v>39866599.116000004</v>
      </c>
      <c r="S192" s="22">
        <v>0.27</v>
      </c>
      <c r="T192" s="22">
        <v>-0.04</v>
      </c>
      <c r="U192" s="12">
        <v>24064179.719999999</v>
      </c>
      <c r="V192" s="24">
        <v>27938512.654920001</v>
      </c>
      <c r="W192" s="8">
        <v>17712180.010000002</v>
      </c>
      <c r="X192" s="24">
        <v>20563840.991610002</v>
      </c>
      <c r="Y192" s="22">
        <v>0.28999999999999998</v>
      </c>
      <c r="Z192" s="22">
        <v>0.06</v>
      </c>
      <c r="AA192" s="8" t="s">
        <v>913</v>
      </c>
      <c r="AB192" s="8">
        <v>19664287.68</v>
      </c>
      <c r="AC192" s="24">
        <v>22830237.996479999</v>
      </c>
      <c r="AD192" s="8">
        <v>20999204.98</v>
      </c>
      <c r="AE192" s="24">
        <v>24380076.98178</v>
      </c>
      <c r="AF192" s="8">
        <v>120</v>
      </c>
      <c r="AG192" s="8">
        <v>138</v>
      </c>
      <c r="AH192" s="8" t="s">
        <v>329</v>
      </c>
      <c r="AI192" s="8" t="s">
        <v>406</v>
      </c>
      <c r="AJ192" s="22">
        <v>0.8</v>
      </c>
      <c r="AK192" s="8" t="s">
        <v>159</v>
      </c>
      <c r="AL192" s="22">
        <v>0.05</v>
      </c>
      <c r="AM192" s="22">
        <v>0.05</v>
      </c>
      <c r="AN192" s="8">
        <v>0</v>
      </c>
      <c r="AO192" s="8">
        <v>2611</v>
      </c>
      <c r="AP192" s="8">
        <v>3570622.91</v>
      </c>
      <c r="AQ192" s="24">
        <v>4145493.1985100005</v>
      </c>
      <c r="AR192" s="8">
        <v>8432866.2899999991</v>
      </c>
      <c r="AS192" s="37">
        <v>9790557.7626899984</v>
      </c>
      <c r="AT192" s="8" t="s">
        <v>385</v>
      </c>
      <c r="AU192" s="8" t="s">
        <v>356</v>
      </c>
      <c r="AV192" s="8">
        <v>96.2</v>
      </c>
      <c r="AW192" s="8">
        <v>12</v>
      </c>
      <c r="AX192" s="8" t="s">
        <v>392</v>
      </c>
      <c r="AY192" s="8" t="s">
        <v>229</v>
      </c>
      <c r="AZ192" s="8" t="s">
        <v>188</v>
      </c>
      <c r="BA192" s="21">
        <f>IF(OR(tblsales[[#This Row],[Invoice Value USD]]="",tblsales[[#This Row],[Collected Amount USD]]=""),"",tblsales[[#This Row],[Invoice Value USD]]-tblsales[[#This Row],[Collected Amount USD]])</f>
        <v>-1549838.9853000008</v>
      </c>
      <c r="BB192" s="21">
        <f>IF(OR(tblsales[[#This Row],[Contract Value USD]]="",tblsales[[#This Row],[Cost Estimate USD]]=""),"",tblsales[[#This Row],[Contract Value USD]]-tblsales[[#This Row],[Cost Estimate USD]])</f>
        <v>7374671.6633099988</v>
      </c>
      <c r="BC192" s="21">
        <f>IF(OR(tblsales[[#This Row],[Contract Value USD]]="",tblsales[[#This Row],[Cost Estimate USD]]=""),"",tblsales[[#This Row],[Contract Value USD]]-tblsales[[#This Row],[Cost Estimate USD]])</f>
        <v>7374671.6633099988</v>
      </c>
      <c r="BD192" s="23">
        <f>IF(tblsales[[#This Row],[Invoice Value USD]]="","",tblsales[[#This Row],[Collected Amount USD]]/tblsales[[#This Row],[Invoice Value USD]])</f>
        <v>1.0678853626291132</v>
      </c>
      <c r="BE192" s="11">
        <f>IF(tblsales[[#This Row],[SalesStage]]="Won",1,0)</f>
        <v>0</v>
      </c>
      <c r="BF192" s="21" t="str">
        <f>IF(tblsales[[#This Row],[Win Flag]]=1,"Won","Lost")</f>
        <v>Lost</v>
      </c>
      <c r="BG192" s="8"/>
    </row>
    <row r="193" spans="1:59" x14ac:dyDescent="0.3">
      <c r="A193" s="10" t="s">
        <v>914</v>
      </c>
      <c r="B193" s="9">
        <v>45735</v>
      </c>
      <c r="C193" s="10" t="s">
        <v>275</v>
      </c>
      <c r="D193" s="10" t="s">
        <v>245</v>
      </c>
      <c r="E193" s="10" t="s">
        <v>20</v>
      </c>
      <c r="F193" s="10" t="s">
        <v>196</v>
      </c>
      <c r="G193" s="10" t="s">
        <v>62</v>
      </c>
      <c r="H193" s="10" t="s">
        <v>216</v>
      </c>
      <c r="I193" s="10" t="s">
        <v>183</v>
      </c>
      <c r="J193" s="10" t="s">
        <v>136</v>
      </c>
      <c r="K193" s="10" t="s">
        <v>199</v>
      </c>
      <c r="L193" s="10" t="s">
        <v>915</v>
      </c>
      <c r="M193" s="9">
        <v>45871</v>
      </c>
      <c r="N193" s="9">
        <v>45766</v>
      </c>
      <c r="O193" s="9">
        <v>45834</v>
      </c>
      <c r="P193" s="11">
        <v>17</v>
      </c>
      <c r="Q193" s="12">
        <v>32714725</v>
      </c>
      <c r="R193">
        <v>37981795.725000001</v>
      </c>
      <c r="S193" s="22">
        <v>0.28999999999999998</v>
      </c>
      <c r="T193" s="22">
        <v>0.13</v>
      </c>
      <c r="U193" s="12">
        <v>26247023.870000001</v>
      </c>
      <c r="V193" s="24">
        <v>30472794.713070001</v>
      </c>
      <c r="W193" s="8">
        <v>22684477.440000001</v>
      </c>
      <c r="X193" s="24">
        <v>26336678.307840001</v>
      </c>
      <c r="Y193" s="22">
        <v>0.15</v>
      </c>
      <c r="Z193" s="22">
        <v>0.2</v>
      </c>
      <c r="AA193" s="8" t="s">
        <v>916</v>
      </c>
      <c r="AB193" s="8">
        <v>7617141.5199999996</v>
      </c>
      <c r="AC193" s="24">
        <v>8843501.3047199994</v>
      </c>
      <c r="AD193" s="8">
        <v>3495189.18</v>
      </c>
      <c r="AE193" s="24">
        <v>4057914.6379800001</v>
      </c>
      <c r="AF193" s="8">
        <v>30</v>
      </c>
      <c r="AG193" s="8">
        <v>133</v>
      </c>
      <c r="AH193" s="8" t="s">
        <v>376</v>
      </c>
      <c r="AI193" s="8" t="s">
        <v>320</v>
      </c>
      <c r="AJ193" s="22">
        <v>0.86</v>
      </c>
      <c r="AK193" s="8" t="s">
        <v>159</v>
      </c>
      <c r="AL193" s="22">
        <v>0.15</v>
      </c>
      <c r="AM193" s="22">
        <v>0.03</v>
      </c>
      <c r="AN193" s="8">
        <v>13</v>
      </c>
      <c r="AO193" s="8">
        <v>2857</v>
      </c>
      <c r="AP193" s="8">
        <v>4779801.53</v>
      </c>
      <c r="AQ193" s="24">
        <v>5549349.5763300005</v>
      </c>
      <c r="AR193" s="8">
        <v>7703383.2300000004</v>
      </c>
      <c r="AS193" s="37">
        <v>8943627.9300300013</v>
      </c>
      <c r="AT193" s="8" t="s">
        <v>355</v>
      </c>
      <c r="AU193" s="8" t="s">
        <v>386</v>
      </c>
      <c r="AV193" s="8">
        <v>71.2</v>
      </c>
      <c r="AW193" s="8">
        <v>48</v>
      </c>
      <c r="AX193" s="8" t="s">
        <v>323</v>
      </c>
      <c r="AY193" s="8" t="s">
        <v>224</v>
      </c>
      <c r="AZ193" s="8" t="s">
        <v>361</v>
      </c>
      <c r="BA193" s="21">
        <f>IF(OR(tblsales[[#This Row],[Invoice Value USD]]="",tblsales[[#This Row],[Collected Amount USD]]=""),"",tblsales[[#This Row],[Invoice Value USD]]-tblsales[[#This Row],[Collected Amount USD]])</f>
        <v>4785586.6667399993</v>
      </c>
      <c r="BB193" s="21">
        <f>IF(OR(tblsales[[#This Row],[Contract Value USD]]="",tblsales[[#This Row],[Cost Estimate USD]]=""),"",tblsales[[#This Row],[Contract Value USD]]-tblsales[[#This Row],[Cost Estimate USD]])</f>
        <v>4136116.4052300006</v>
      </c>
      <c r="BC193" s="21">
        <f>IF(OR(tblsales[[#This Row],[Contract Value USD]]="",tblsales[[#This Row],[Cost Estimate USD]]=""),"",tblsales[[#This Row],[Contract Value USD]]-tblsales[[#This Row],[Cost Estimate USD]])</f>
        <v>4136116.4052300006</v>
      </c>
      <c r="BD193" s="23">
        <f>IF(tblsales[[#This Row],[Invoice Value USD]]="","",tblsales[[#This Row],[Collected Amount USD]]/tblsales[[#This Row],[Invoice Value USD]])</f>
        <v>0.45885837499839444</v>
      </c>
      <c r="BE193" s="11">
        <f>IF(tblsales[[#This Row],[SalesStage]]="Won",1,0)</f>
        <v>1</v>
      </c>
      <c r="BF193" s="21" t="str">
        <f>IF(tblsales[[#This Row],[Win Flag]]=1,"Won","Lost")</f>
        <v>Won</v>
      </c>
      <c r="BG193" s="8"/>
    </row>
    <row r="194" spans="1:59" x14ac:dyDescent="0.3">
      <c r="A194" s="10" t="s">
        <v>917</v>
      </c>
      <c r="B194" s="9">
        <v>46058</v>
      </c>
      <c r="C194" s="10" t="s">
        <v>268</v>
      </c>
      <c r="D194" s="10" t="s">
        <v>209</v>
      </c>
      <c r="E194" s="10" t="s">
        <v>36</v>
      </c>
      <c r="F194" s="10" t="s">
        <v>19</v>
      </c>
      <c r="G194" s="10" t="s">
        <v>46</v>
      </c>
      <c r="H194" s="10" t="s">
        <v>216</v>
      </c>
      <c r="I194" s="10" t="s">
        <v>332</v>
      </c>
      <c r="J194" s="10" t="s">
        <v>115</v>
      </c>
      <c r="K194" s="10" t="s">
        <v>184</v>
      </c>
      <c r="L194" s="10" t="s">
        <v>918</v>
      </c>
      <c r="M194" s="9">
        <v>46046</v>
      </c>
      <c r="N194" s="9"/>
      <c r="O194" s="9">
        <v>46133</v>
      </c>
      <c r="P194" s="11">
        <v>36</v>
      </c>
      <c r="Q194" s="12">
        <v>27647916</v>
      </c>
      <c r="R194">
        <v>7528527.5267999992</v>
      </c>
      <c r="S194" s="22">
        <v>0.03</v>
      </c>
      <c r="T194" s="22">
        <v>0.14000000000000001</v>
      </c>
      <c r="U194" s="12">
        <v>30573065.510000002</v>
      </c>
      <c r="V194" s="24">
        <v>8325045.7383730002</v>
      </c>
      <c r="W194" s="8">
        <v>23255151.539999999</v>
      </c>
      <c r="X194" s="24">
        <v>6332377.7643419998</v>
      </c>
      <c r="Y194" s="22">
        <v>0.34</v>
      </c>
      <c r="Z194" s="22">
        <v>0.11</v>
      </c>
      <c r="AA194" s="8" t="s">
        <v>919</v>
      </c>
      <c r="AB194" s="8">
        <v>8327016.6299999999</v>
      </c>
      <c r="AC194" s="24">
        <v>2267446.6283489997</v>
      </c>
      <c r="AD194" s="8">
        <v>4613955.67</v>
      </c>
      <c r="AE194" s="24">
        <v>1256380.128941</v>
      </c>
      <c r="AF194" s="8">
        <v>90</v>
      </c>
      <c r="AG194" s="8">
        <v>114</v>
      </c>
      <c r="AH194" s="8" t="s">
        <v>376</v>
      </c>
      <c r="AI194" s="8" t="s">
        <v>406</v>
      </c>
      <c r="AJ194" s="22">
        <v>0.45</v>
      </c>
      <c r="AK194" s="8" t="s">
        <v>153</v>
      </c>
      <c r="AL194" s="22">
        <v>0.1</v>
      </c>
      <c r="AM194" s="22">
        <v>0.09</v>
      </c>
      <c r="AN194" s="8">
        <v>8</v>
      </c>
      <c r="AO194" s="8">
        <v>2047</v>
      </c>
      <c r="AP194" s="8">
        <v>865133.48</v>
      </c>
      <c r="AQ194" s="24">
        <v>235575.84660399999</v>
      </c>
      <c r="AR194" s="8"/>
      <c r="AS194" s="37"/>
      <c r="AT194" s="8" t="s">
        <v>391</v>
      </c>
      <c r="AU194" s="8" t="s">
        <v>356</v>
      </c>
      <c r="AV194" s="8">
        <v>90.1</v>
      </c>
      <c r="AW194" s="8">
        <v>12</v>
      </c>
      <c r="AX194" s="8" t="s">
        <v>323</v>
      </c>
      <c r="AY194" s="8" t="s">
        <v>192</v>
      </c>
      <c r="AZ194" s="8" t="s">
        <v>357</v>
      </c>
      <c r="BA194" s="21">
        <f>IF(OR(tblsales[[#This Row],[Invoice Value USD]]="",tblsales[[#This Row],[Collected Amount USD]]=""),"",tblsales[[#This Row],[Invoice Value USD]]-tblsales[[#This Row],[Collected Amount USD]])</f>
        <v>1011066.4994079997</v>
      </c>
      <c r="BB194" s="21">
        <f>IF(OR(tblsales[[#This Row],[Contract Value USD]]="",tblsales[[#This Row],[Cost Estimate USD]]=""),"",tblsales[[#This Row],[Contract Value USD]]-tblsales[[#This Row],[Cost Estimate USD]])</f>
        <v>1992667.9740310004</v>
      </c>
      <c r="BC194" s="21">
        <f>IF(OR(tblsales[[#This Row],[Contract Value USD]]="",tblsales[[#This Row],[Cost Estimate USD]]=""),"",tblsales[[#This Row],[Contract Value USD]]-tblsales[[#This Row],[Cost Estimate USD]])</f>
        <v>1992667.9740310004</v>
      </c>
      <c r="BD194" s="23">
        <f>IF(tblsales[[#This Row],[Invoice Value USD]]="","",tblsales[[#This Row],[Collected Amount USD]]/tblsales[[#This Row],[Invoice Value USD]])</f>
        <v>0.55409468661046746</v>
      </c>
      <c r="BE194" s="11">
        <f>IF(tblsales[[#This Row],[SalesStage]]="Won",1,0)</f>
        <v>0</v>
      </c>
      <c r="BF194" s="21" t="str">
        <f>IF(tblsales[[#This Row],[Win Flag]]=1,"Won","Lost")</f>
        <v>Lost</v>
      </c>
      <c r="BG194" s="8"/>
    </row>
    <row r="195" spans="1:59" x14ac:dyDescent="0.3">
      <c r="A195" s="10" t="s">
        <v>5779</v>
      </c>
      <c r="B195" s="9">
        <v>45775</v>
      </c>
      <c r="C195" s="10" t="s">
        <v>222</v>
      </c>
      <c r="D195" s="10" t="s">
        <v>250</v>
      </c>
      <c r="E195" s="10" t="s">
        <v>41</v>
      </c>
      <c r="F195" s="10" t="s">
        <v>363</v>
      </c>
      <c r="G195" s="10" t="s">
        <v>70</v>
      </c>
      <c r="H195" s="10" t="s">
        <v>332</v>
      </c>
      <c r="I195" s="10" t="s">
        <v>240</v>
      </c>
      <c r="J195" s="10" t="s">
        <v>105</v>
      </c>
      <c r="K195" s="10" t="s">
        <v>223</v>
      </c>
      <c r="L195" s="10" t="s">
        <v>3630</v>
      </c>
      <c r="M195" s="9">
        <v>45711</v>
      </c>
      <c r="N195" s="9">
        <v>45804</v>
      </c>
      <c r="O195" s="9"/>
      <c r="P195" s="11">
        <v>39</v>
      </c>
      <c r="Q195" s="12">
        <v>42582972</v>
      </c>
      <c r="R195">
        <v>42582972</v>
      </c>
      <c r="S195" s="22">
        <v>0.27</v>
      </c>
      <c r="T195" s="22">
        <v>0.01</v>
      </c>
      <c r="U195" s="12">
        <v>31396425.260000002</v>
      </c>
      <c r="V195" s="24">
        <v>31396425.260000002</v>
      </c>
      <c r="W195" s="8">
        <v>21581010.940000001</v>
      </c>
      <c r="X195" s="24">
        <v>21581010.940000001</v>
      </c>
      <c r="Y195" s="22">
        <v>0.39</v>
      </c>
      <c r="Z195" s="22">
        <v>0.13</v>
      </c>
      <c r="AA195" s="8" t="s">
        <v>3632</v>
      </c>
      <c r="AB195" s="8">
        <v>8840903.9800000004</v>
      </c>
      <c r="AC195" s="24">
        <v>8840903.9800000004</v>
      </c>
      <c r="AD195" s="8">
        <v>3526762.71</v>
      </c>
      <c r="AE195" s="24">
        <v>3526762.71</v>
      </c>
      <c r="AF195" s="8">
        <v>90</v>
      </c>
      <c r="AG195" s="8">
        <v>168</v>
      </c>
      <c r="AH195" s="8" t="s">
        <v>376</v>
      </c>
      <c r="AI195" s="8" t="s">
        <v>354</v>
      </c>
      <c r="AJ195" s="22">
        <v>0.43</v>
      </c>
      <c r="AK195" s="8" t="s">
        <v>152</v>
      </c>
      <c r="AL195" s="22">
        <v>0.15</v>
      </c>
      <c r="AM195" s="22">
        <v>0.09</v>
      </c>
      <c r="AN195" s="8">
        <v>2</v>
      </c>
      <c r="AO195" s="8"/>
      <c r="AP195" s="8">
        <v>3470510.36</v>
      </c>
      <c r="AQ195" s="24">
        <v>3470510.36</v>
      </c>
      <c r="AR195" s="8">
        <v>10003923.550000001</v>
      </c>
      <c r="AS195" s="37">
        <v>10003923.550000001</v>
      </c>
      <c r="AT195" s="8" t="s">
        <v>391</v>
      </c>
      <c r="AU195" s="8" t="s">
        <v>330</v>
      </c>
      <c r="AV195" s="8">
        <v>85.1</v>
      </c>
      <c r="AW195" s="8">
        <v>24</v>
      </c>
      <c r="AX195" s="8" t="s">
        <v>392</v>
      </c>
      <c r="AY195" s="8" t="s">
        <v>206</v>
      </c>
      <c r="AZ195" s="8" t="s">
        <v>377</v>
      </c>
      <c r="BA195" s="21">
        <f>IF(OR(tblsales[[#This Row],[Invoice Value USD]]="",tblsales[[#This Row],[Collected Amount USD]]=""),"",tblsales[[#This Row],[Invoice Value USD]]-tblsales[[#This Row],[Collected Amount USD]])</f>
        <v>5314141.2700000005</v>
      </c>
      <c r="BB195" s="21">
        <f>IF(OR(tblsales[[#This Row],[Contract Value USD]]="",tblsales[[#This Row],[Cost Estimate USD]]=""),"",tblsales[[#This Row],[Contract Value USD]]-tblsales[[#This Row],[Cost Estimate USD]])</f>
        <v>9815414.3200000003</v>
      </c>
      <c r="BC195" s="21">
        <f>IF(OR(tblsales[[#This Row],[Contract Value USD]]="",tblsales[[#This Row],[Cost Estimate USD]]=""),"",tblsales[[#This Row],[Contract Value USD]]-tblsales[[#This Row],[Cost Estimate USD]])</f>
        <v>9815414.3200000003</v>
      </c>
      <c r="BD195" s="23">
        <f>IF(tblsales[[#This Row],[Invoice Value USD]]="","",tblsales[[#This Row],[Collected Amount USD]]/tblsales[[#This Row],[Invoice Value USD]])</f>
        <v>0.39891426464740315</v>
      </c>
      <c r="BE195" s="11">
        <f>IF(tblsales[[#This Row],[SalesStage]]="Won",1,0)</f>
        <v>0</v>
      </c>
      <c r="BF195" s="21" t="str">
        <f>IF(tblsales[[#This Row],[Win Flag]]=1,"Won","Lost")</f>
        <v>Lost</v>
      </c>
      <c r="BG195" s="8"/>
    </row>
    <row r="196" spans="1:59" x14ac:dyDescent="0.3">
      <c r="A196" s="10" t="s">
        <v>920</v>
      </c>
      <c r="B196" s="9">
        <v>45713</v>
      </c>
      <c r="C196" s="10" t="s">
        <v>243</v>
      </c>
      <c r="D196" s="10" t="s">
        <v>248</v>
      </c>
      <c r="E196" s="10" t="s">
        <v>20</v>
      </c>
      <c r="F196" s="10" t="s">
        <v>31</v>
      </c>
      <c r="G196" s="10" t="s">
        <v>78</v>
      </c>
      <c r="H196" s="10" t="s">
        <v>182</v>
      </c>
      <c r="I196" s="10" t="s">
        <v>198</v>
      </c>
      <c r="J196" s="10" t="s">
        <v>136</v>
      </c>
      <c r="K196" s="10" t="s">
        <v>184</v>
      </c>
      <c r="L196" s="10" t="s">
        <v>921</v>
      </c>
      <c r="M196" s="9">
        <v>45669</v>
      </c>
      <c r="N196" s="9" t="s">
        <v>438</v>
      </c>
      <c r="O196" s="9">
        <v>45783</v>
      </c>
      <c r="P196" s="11">
        <v>48</v>
      </c>
      <c r="Q196" s="12">
        <v>43338823</v>
      </c>
      <c r="R196">
        <v>43338823</v>
      </c>
      <c r="S196" s="22">
        <v>0.12</v>
      </c>
      <c r="T196" s="22">
        <v>-0.01</v>
      </c>
      <c r="U196" s="12">
        <v>37756782.600000001</v>
      </c>
      <c r="V196" s="24">
        <v>37756782.600000001</v>
      </c>
      <c r="W196" s="8">
        <v>28938390.52</v>
      </c>
      <c r="X196" s="24">
        <v>28938390.52</v>
      </c>
      <c r="Y196" s="22">
        <v>0.31</v>
      </c>
      <c r="Z196" s="22">
        <v>0.19</v>
      </c>
      <c r="AA196" s="8" t="s">
        <v>922</v>
      </c>
      <c r="AB196" s="8">
        <v>22103830.710000001</v>
      </c>
      <c r="AC196" s="24">
        <v>22103830.710000001</v>
      </c>
      <c r="AD196" s="8">
        <v>8110064.2000000002</v>
      </c>
      <c r="AE196" s="24">
        <v>8110064.2000000002</v>
      </c>
      <c r="AF196" s="8">
        <v>120</v>
      </c>
      <c r="AG196" s="8">
        <v>44</v>
      </c>
      <c r="AH196" s="8" t="s">
        <v>342</v>
      </c>
      <c r="AI196" s="8" t="s">
        <v>406</v>
      </c>
      <c r="AJ196" s="22">
        <v>0.25</v>
      </c>
      <c r="AK196" s="8" t="s">
        <v>152</v>
      </c>
      <c r="AL196" s="22">
        <v>0.1</v>
      </c>
      <c r="AM196" s="22">
        <v>0.06</v>
      </c>
      <c r="AN196" s="8">
        <v>2</v>
      </c>
      <c r="AO196" s="8">
        <v>1371</v>
      </c>
      <c r="AP196" s="8">
        <v>8308089.6600000001</v>
      </c>
      <c r="AQ196" s="24">
        <v>8308089.6600000001</v>
      </c>
      <c r="AR196" s="8">
        <v>17149173.449999999</v>
      </c>
      <c r="AS196" s="37">
        <v>17149173.449999999</v>
      </c>
      <c r="AT196" s="8" t="s">
        <v>73</v>
      </c>
      <c r="AU196" s="8" t="s">
        <v>330</v>
      </c>
      <c r="AV196" s="8">
        <v>68.8</v>
      </c>
      <c r="AW196" s="8">
        <v>60</v>
      </c>
      <c r="AX196" s="8" t="s">
        <v>387</v>
      </c>
      <c r="AY196" s="8" t="s">
        <v>192</v>
      </c>
      <c r="AZ196" s="8" t="s">
        <v>377</v>
      </c>
      <c r="BA196" s="21">
        <f>IF(OR(tblsales[[#This Row],[Invoice Value USD]]="",tblsales[[#This Row],[Collected Amount USD]]=""),"",tblsales[[#This Row],[Invoice Value USD]]-tblsales[[#This Row],[Collected Amount USD]])</f>
        <v>13993766.510000002</v>
      </c>
      <c r="BB196" s="21">
        <f>IF(OR(tblsales[[#This Row],[Contract Value USD]]="",tblsales[[#This Row],[Cost Estimate USD]]=""),"",tblsales[[#This Row],[Contract Value USD]]-tblsales[[#This Row],[Cost Estimate USD]])</f>
        <v>8818392.0800000019</v>
      </c>
      <c r="BC196" s="21">
        <f>IF(OR(tblsales[[#This Row],[Contract Value USD]]="",tblsales[[#This Row],[Cost Estimate USD]]=""),"",tblsales[[#This Row],[Contract Value USD]]-tblsales[[#This Row],[Cost Estimate USD]])</f>
        <v>8818392.0800000019</v>
      </c>
      <c r="BD196" s="23">
        <f>IF(tblsales[[#This Row],[Invoice Value USD]]="","",tblsales[[#This Row],[Collected Amount USD]]/tblsales[[#This Row],[Invoice Value USD]])</f>
        <v>0.36690763272679805</v>
      </c>
      <c r="BE196" s="11">
        <f>IF(tblsales[[#This Row],[SalesStage]]="Won",1,0)</f>
        <v>0</v>
      </c>
      <c r="BF196" s="21" t="str">
        <f>IF(tblsales[[#This Row],[Win Flag]]=1,"Won","Lost")</f>
        <v>Lost</v>
      </c>
      <c r="BG196" s="8"/>
    </row>
    <row r="197" spans="1:59" x14ac:dyDescent="0.3">
      <c r="A197" s="10" t="s">
        <v>923</v>
      </c>
      <c r="B197" s="9">
        <v>45880</v>
      </c>
      <c r="C197" s="10" t="s">
        <v>283</v>
      </c>
      <c r="D197" s="10" t="s">
        <v>215</v>
      </c>
      <c r="E197" s="10" t="s">
        <v>332</v>
      </c>
      <c r="F197" s="10" t="s">
        <v>350</v>
      </c>
      <c r="G197" s="10" t="s">
        <v>70</v>
      </c>
      <c r="H197" s="10" t="s">
        <v>197</v>
      </c>
      <c r="I197" s="10" t="s">
        <v>198</v>
      </c>
      <c r="J197" s="10" t="s">
        <v>130</v>
      </c>
      <c r="K197" s="10" t="s">
        <v>184</v>
      </c>
      <c r="L197" s="10" t="s">
        <v>924</v>
      </c>
      <c r="M197" s="9">
        <v>45830</v>
      </c>
      <c r="N197" s="9"/>
      <c r="O197" s="9">
        <v>45939</v>
      </c>
      <c r="P197" s="11">
        <v>15</v>
      </c>
      <c r="Q197" s="12">
        <v>19945015</v>
      </c>
      <c r="R197">
        <v>5431027.5844999999</v>
      </c>
      <c r="S197" s="22">
        <v>0.25</v>
      </c>
      <c r="T197" s="22">
        <v>0.17</v>
      </c>
      <c r="U197" s="12">
        <v>17501750.66</v>
      </c>
      <c r="V197" s="24">
        <v>4765726.7047180003</v>
      </c>
      <c r="W197" s="8">
        <v>13324423.16</v>
      </c>
      <c r="X197" s="24">
        <v>3628240.4264679998</v>
      </c>
      <c r="Y197" s="22">
        <v>7.0000000000000007E-2</v>
      </c>
      <c r="Z197" s="22">
        <v>0.12</v>
      </c>
      <c r="AA197" s="8" t="s">
        <v>925</v>
      </c>
      <c r="AB197" s="8">
        <v>4908217</v>
      </c>
      <c r="AC197" s="24">
        <v>1336507.4890999999</v>
      </c>
      <c r="AD197" s="8">
        <v>2738338.02</v>
      </c>
      <c r="AE197" s="24">
        <v>745649.44284599996</v>
      </c>
      <c r="AF197" s="8">
        <v>60</v>
      </c>
      <c r="AG197" s="8">
        <v>145</v>
      </c>
      <c r="AH197" s="8" t="s">
        <v>353</v>
      </c>
      <c r="AI197" s="8" t="s">
        <v>381</v>
      </c>
      <c r="AJ197" s="22">
        <v>0.66</v>
      </c>
      <c r="AK197" s="8" t="s">
        <v>153</v>
      </c>
      <c r="AL197" s="22">
        <v>0.05</v>
      </c>
      <c r="AM197" s="22">
        <v>0.04</v>
      </c>
      <c r="AN197" s="8">
        <v>6</v>
      </c>
      <c r="AO197" s="8">
        <v>125</v>
      </c>
      <c r="AP197" s="8">
        <v>1455332.55</v>
      </c>
      <c r="AQ197" s="24">
        <v>396287.053365</v>
      </c>
      <c r="AR197" s="8">
        <v>7827435.0700000003</v>
      </c>
      <c r="AS197" s="37">
        <v>2131410.569561</v>
      </c>
      <c r="AT197" s="8" t="s">
        <v>343</v>
      </c>
      <c r="AU197" s="8" t="s">
        <v>322</v>
      </c>
      <c r="AV197" s="8"/>
      <c r="AW197" s="8">
        <v>36</v>
      </c>
      <c r="AX197" s="8" t="s">
        <v>337</v>
      </c>
      <c r="AY197" s="8" t="s">
        <v>224</v>
      </c>
      <c r="AZ197" s="8" t="s">
        <v>324</v>
      </c>
      <c r="BA197" s="21">
        <f>IF(OR(tblsales[[#This Row],[Invoice Value USD]]="",tblsales[[#This Row],[Collected Amount USD]]=""),"",tblsales[[#This Row],[Invoice Value USD]]-tblsales[[#This Row],[Collected Amount USD]])</f>
        <v>590858.04625399993</v>
      </c>
      <c r="BB197" s="21">
        <f>IF(OR(tblsales[[#This Row],[Contract Value USD]]="",tblsales[[#This Row],[Cost Estimate USD]]=""),"",tblsales[[#This Row],[Contract Value USD]]-tblsales[[#This Row],[Cost Estimate USD]])</f>
        <v>1137486.2782500004</v>
      </c>
      <c r="BC197" s="21">
        <f>IF(OR(tblsales[[#This Row],[Contract Value USD]]="",tblsales[[#This Row],[Cost Estimate USD]]=""),"",tblsales[[#This Row],[Contract Value USD]]-tblsales[[#This Row],[Cost Estimate USD]])</f>
        <v>1137486.2782500004</v>
      </c>
      <c r="BD197" s="23">
        <f>IF(tblsales[[#This Row],[Invoice Value USD]]="","",tblsales[[#This Row],[Collected Amount USD]]/tblsales[[#This Row],[Invoice Value USD]])</f>
        <v>0.55790891478514504</v>
      </c>
      <c r="BE197" s="11">
        <f>IF(tblsales[[#This Row],[SalesStage]]="Won",1,0)</f>
        <v>0</v>
      </c>
      <c r="BF197" s="21" t="str">
        <f>IF(tblsales[[#This Row],[Win Flag]]=1,"Won","Lost")</f>
        <v>Lost</v>
      </c>
      <c r="BG197" s="8"/>
    </row>
    <row r="198" spans="1:59" x14ac:dyDescent="0.3">
      <c r="A198" s="10" t="s">
        <v>926</v>
      </c>
      <c r="B198" s="9">
        <v>45697</v>
      </c>
      <c r="C198" s="10" t="s">
        <v>234</v>
      </c>
      <c r="D198" s="10" t="s">
        <v>332</v>
      </c>
      <c r="E198" s="10" t="s">
        <v>41</v>
      </c>
      <c r="F198" s="10" t="s">
        <v>363</v>
      </c>
      <c r="G198" s="10" t="s">
        <v>78</v>
      </c>
      <c r="H198" s="10" t="s">
        <v>263</v>
      </c>
      <c r="I198" s="10" t="s">
        <v>191</v>
      </c>
      <c r="J198" s="10" t="s">
        <v>105</v>
      </c>
      <c r="K198" s="10" t="s">
        <v>184</v>
      </c>
      <c r="L198" s="10" t="s">
        <v>927</v>
      </c>
      <c r="M198" s="9">
        <v>45646</v>
      </c>
      <c r="N198" s="9">
        <v>45993</v>
      </c>
      <c r="O198" s="9">
        <v>45813</v>
      </c>
      <c r="P198" s="11">
        <v>23</v>
      </c>
      <c r="Q198" s="12">
        <v>39971338</v>
      </c>
      <c r="R198">
        <v>10980126.548599999</v>
      </c>
      <c r="S198" s="22">
        <v>0.06</v>
      </c>
      <c r="T198" s="22">
        <v>0.13</v>
      </c>
      <c r="U198" s="12">
        <v>42457555.219999999</v>
      </c>
      <c r="V198" s="24">
        <v>11663090.418933999</v>
      </c>
      <c r="W198" s="8">
        <v>35154950.32</v>
      </c>
      <c r="X198" s="24">
        <v>9657064.8529039994</v>
      </c>
      <c r="Y198" s="22">
        <v>0.19</v>
      </c>
      <c r="Z198" s="22">
        <v>0.17</v>
      </c>
      <c r="AA198" s="8" t="s">
        <v>928</v>
      </c>
      <c r="AB198" s="8">
        <v>12227253.82</v>
      </c>
      <c r="AC198" s="24">
        <v>3358826.6243540002</v>
      </c>
      <c r="AD198" s="8">
        <v>6240180.1299999999</v>
      </c>
      <c r="AE198" s="24">
        <v>1714177.481711</v>
      </c>
      <c r="AF198" s="8">
        <v>30</v>
      </c>
      <c r="AG198" s="8">
        <v>33</v>
      </c>
      <c r="AH198" s="8" t="s">
        <v>376</v>
      </c>
      <c r="AI198" s="8" t="s">
        <v>354</v>
      </c>
      <c r="AJ198" s="22">
        <v>0.8</v>
      </c>
      <c r="AK198" s="8" t="s">
        <v>155</v>
      </c>
      <c r="AL198" s="22">
        <v>0.15</v>
      </c>
      <c r="AM198" s="22">
        <v>7.0000000000000007E-2</v>
      </c>
      <c r="AN198" s="8">
        <v>12</v>
      </c>
      <c r="AO198" s="8">
        <v>4969</v>
      </c>
      <c r="AP198" s="8">
        <v>10178469.800000001</v>
      </c>
      <c r="AQ198" s="24">
        <v>2796025.6540600001</v>
      </c>
      <c r="AR198" s="8">
        <v>18402886.530000001</v>
      </c>
      <c r="AS198" s="37">
        <v>5055272.9297910007</v>
      </c>
      <c r="AT198" s="8" t="s">
        <v>73</v>
      </c>
      <c r="AU198" s="8" t="s">
        <v>356</v>
      </c>
      <c r="AV198" s="8">
        <v>65.599999999999994</v>
      </c>
      <c r="AW198" s="8">
        <v>48</v>
      </c>
      <c r="AX198" s="8" t="s">
        <v>332</v>
      </c>
      <c r="AY198" s="8" t="s">
        <v>186</v>
      </c>
      <c r="AZ198" s="8" t="s">
        <v>332</v>
      </c>
      <c r="BA198" s="21">
        <f>IF(OR(tblsales[[#This Row],[Invoice Value USD]]="",tblsales[[#This Row],[Collected Amount USD]]=""),"",tblsales[[#This Row],[Invoice Value USD]]-tblsales[[#This Row],[Collected Amount USD]])</f>
        <v>1644649.1426430002</v>
      </c>
      <c r="BB198" s="21">
        <f>IF(OR(tblsales[[#This Row],[Contract Value USD]]="",tblsales[[#This Row],[Cost Estimate USD]]=""),"",tblsales[[#This Row],[Contract Value USD]]-tblsales[[#This Row],[Cost Estimate USD]])</f>
        <v>2006025.5660299994</v>
      </c>
      <c r="BC198" s="21">
        <f>IF(OR(tblsales[[#This Row],[Contract Value USD]]="",tblsales[[#This Row],[Cost Estimate USD]]=""),"",tblsales[[#This Row],[Contract Value USD]]-tblsales[[#This Row],[Cost Estimate USD]])</f>
        <v>2006025.5660299994</v>
      </c>
      <c r="BD198" s="23">
        <f>IF(tblsales[[#This Row],[Invoice Value USD]]="","",tblsales[[#This Row],[Collected Amount USD]]/tblsales[[#This Row],[Invoice Value USD]])</f>
        <v>0.51035009347667237</v>
      </c>
      <c r="BE198" s="11">
        <f>IF(tblsales[[#This Row],[SalesStage]]="Won",1,0)</f>
        <v>0</v>
      </c>
      <c r="BF198" s="21" t="str">
        <f>IF(tblsales[[#This Row],[Win Flag]]=1,"Won","Lost")</f>
        <v>Lost</v>
      </c>
      <c r="BG198" s="8"/>
    </row>
    <row r="199" spans="1:59" x14ac:dyDescent="0.3">
      <c r="A199" s="10" t="s">
        <v>5780</v>
      </c>
      <c r="B199" s="9">
        <v>45692</v>
      </c>
      <c r="C199" s="10" t="s">
        <v>237</v>
      </c>
      <c r="D199" s="10" t="s">
        <v>190</v>
      </c>
      <c r="E199" s="10" t="s">
        <v>41</v>
      </c>
      <c r="F199" s="10" t="s">
        <v>363</v>
      </c>
      <c r="G199" s="10" t="s">
        <v>33</v>
      </c>
      <c r="H199" s="10" t="s">
        <v>182</v>
      </c>
      <c r="I199" s="10" t="s">
        <v>213</v>
      </c>
      <c r="J199" s="10" t="s">
        <v>105</v>
      </c>
      <c r="K199" s="10" t="s">
        <v>326</v>
      </c>
      <c r="L199" s="10" t="s">
        <v>3637</v>
      </c>
      <c r="M199" s="9">
        <v>45734</v>
      </c>
      <c r="N199" s="9"/>
      <c r="O199" s="9"/>
      <c r="P199" s="11">
        <v>4</v>
      </c>
      <c r="Q199" s="12">
        <v>1897555</v>
      </c>
      <c r="R199">
        <v>516704.22649999999</v>
      </c>
      <c r="S199" s="22">
        <v>0.3</v>
      </c>
      <c r="T199" s="22">
        <v>0.16</v>
      </c>
      <c r="U199" s="12">
        <v>1540814.66</v>
      </c>
      <c r="V199" s="24">
        <v>419563.83191799995</v>
      </c>
      <c r="W199" s="8">
        <v>1353255.07</v>
      </c>
      <c r="X199" s="24">
        <v>368491.355561</v>
      </c>
      <c r="Y199" s="22">
        <v>0.27</v>
      </c>
      <c r="Z199" s="22">
        <v>0.12</v>
      </c>
      <c r="AA199" s="8" t="s">
        <v>3639</v>
      </c>
      <c r="AB199" s="8"/>
      <c r="AC199" s="24"/>
      <c r="AD199" s="8">
        <v>626673.96</v>
      </c>
      <c r="AE199" s="24">
        <v>170643.31930799998</v>
      </c>
      <c r="AF199" s="8">
        <v>90</v>
      </c>
      <c r="AG199" s="8">
        <v>55</v>
      </c>
      <c r="AH199" s="8" t="s">
        <v>347</v>
      </c>
      <c r="AI199" s="8" t="s">
        <v>406</v>
      </c>
      <c r="AJ199" s="22">
        <v>0.63</v>
      </c>
      <c r="AK199" s="8" t="s">
        <v>153</v>
      </c>
      <c r="AL199" s="22">
        <v>0.05</v>
      </c>
      <c r="AM199" s="22">
        <v>0.04</v>
      </c>
      <c r="AN199" s="8">
        <v>5</v>
      </c>
      <c r="AO199" s="8">
        <v>1264</v>
      </c>
      <c r="AP199" s="8">
        <v>93510.14</v>
      </c>
      <c r="AQ199" s="24">
        <v>25462.811121999999</v>
      </c>
      <c r="AR199" s="8">
        <v>205128.42</v>
      </c>
      <c r="AS199" s="37">
        <v>55856.468765999998</v>
      </c>
      <c r="AT199" s="8" t="s">
        <v>321</v>
      </c>
      <c r="AU199" s="8" t="s">
        <v>330</v>
      </c>
      <c r="AV199" s="8">
        <v>82.4</v>
      </c>
      <c r="AW199" s="8">
        <v>12</v>
      </c>
      <c r="AX199" s="8" t="s">
        <v>337</v>
      </c>
      <c r="AY199" s="8" t="s">
        <v>224</v>
      </c>
      <c r="AZ199" s="8" t="s">
        <v>332</v>
      </c>
      <c r="BA199" s="21" t="str">
        <f>IF(OR(tblsales[[#This Row],[Invoice Value USD]]="",tblsales[[#This Row],[Collected Amount USD]]=""),"",tblsales[[#This Row],[Invoice Value USD]]-tblsales[[#This Row],[Collected Amount USD]])</f>
        <v/>
      </c>
      <c r="BB199" s="21">
        <f>IF(OR(tblsales[[#This Row],[Contract Value USD]]="",tblsales[[#This Row],[Cost Estimate USD]]=""),"",tblsales[[#This Row],[Contract Value USD]]-tblsales[[#This Row],[Cost Estimate USD]])</f>
        <v>51072.476356999949</v>
      </c>
      <c r="BC199" s="21">
        <f>IF(OR(tblsales[[#This Row],[Contract Value USD]]="",tblsales[[#This Row],[Cost Estimate USD]]=""),"",tblsales[[#This Row],[Contract Value USD]]-tblsales[[#This Row],[Cost Estimate USD]])</f>
        <v>51072.476356999949</v>
      </c>
      <c r="BD199" s="23" t="str">
        <f>IF(tblsales[[#This Row],[Invoice Value USD]]="","",tblsales[[#This Row],[Collected Amount USD]]/tblsales[[#This Row],[Invoice Value USD]])</f>
        <v/>
      </c>
      <c r="BE199" s="11">
        <f>IF(tblsales[[#This Row],[SalesStage]]="Won",1,0)</f>
        <v>0</v>
      </c>
      <c r="BF199" s="21" t="str">
        <f>IF(tblsales[[#This Row],[Win Flag]]=1,"Won","Lost")</f>
        <v>Lost</v>
      </c>
      <c r="BG199" s="8"/>
    </row>
    <row r="200" spans="1:59" x14ac:dyDescent="0.3">
      <c r="A200" s="10" t="s">
        <v>929</v>
      </c>
      <c r="B200" s="9">
        <v>45993</v>
      </c>
      <c r="C200" s="10" t="s">
        <v>195</v>
      </c>
      <c r="D200" s="10" t="s">
        <v>242</v>
      </c>
      <c r="E200" s="10" t="s">
        <v>20</v>
      </c>
      <c r="F200" s="10" t="s">
        <v>31</v>
      </c>
      <c r="G200" s="10" t="s">
        <v>66</v>
      </c>
      <c r="H200" s="10" t="s">
        <v>182</v>
      </c>
      <c r="I200" s="10" t="s">
        <v>203</v>
      </c>
      <c r="J200" s="10" t="s">
        <v>136</v>
      </c>
      <c r="K200" s="10" t="s">
        <v>184</v>
      </c>
      <c r="L200" s="10" t="s">
        <v>930</v>
      </c>
      <c r="M200" s="9">
        <v>45944</v>
      </c>
      <c r="N200" s="9">
        <v>46000</v>
      </c>
      <c r="O200" s="9">
        <v>46112</v>
      </c>
      <c r="P200" s="11">
        <v>32</v>
      </c>
      <c r="Q200" s="12">
        <v>41405096</v>
      </c>
      <c r="R200">
        <v>11042739.1032</v>
      </c>
      <c r="S200" s="22">
        <v>0.26</v>
      </c>
      <c r="T200" s="22">
        <v>0.03</v>
      </c>
      <c r="U200" s="12">
        <v>31558964.170000002</v>
      </c>
      <c r="V200" s="24">
        <v>8416775.7441390008</v>
      </c>
      <c r="W200" s="8">
        <v>27626822.25</v>
      </c>
      <c r="X200" s="24">
        <v>7368073.4940749994</v>
      </c>
      <c r="Y200" s="22">
        <v>0.08</v>
      </c>
      <c r="Z200" s="22">
        <v>0.1</v>
      </c>
      <c r="AA200" s="8" t="s">
        <v>931</v>
      </c>
      <c r="AB200" s="8">
        <v>19604185.039999999</v>
      </c>
      <c r="AC200" s="24">
        <v>5228436.1501679998</v>
      </c>
      <c r="AD200" s="8">
        <v>19991038.079999998</v>
      </c>
      <c r="AE200" s="24">
        <v>5331609.8559359992</v>
      </c>
      <c r="AF200" s="8">
        <v>45</v>
      </c>
      <c r="AG200" s="8">
        <v>151</v>
      </c>
      <c r="AH200" s="8" t="s">
        <v>332</v>
      </c>
      <c r="AI200" s="8" t="s">
        <v>381</v>
      </c>
      <c r="AJ200" s="22">
        <v>0.73</v>
      </c>
      <c r="AK200" s="8" t="s">
        <v>162</v>
      </c>
      <c r="AL200" s="22">
        <v>0.1</v>
      </c>
      <c r="AM200" s="22">
        <v>0.06</v>
      </c>
      <c r="AN200" s="8">
        <v>12</v>
      </c>
      <c r="AO200" s="8">
        <v>675</v>
      </c>
      <c r="AP200" s="8">
        <v>7477725.6900000004</v>
      </c>
      <c r="AQ200" s="24">
        <v>1994309.4415230001</v>
      </c>
      <c r="AR200" s="8">
        <v>11751177.17</v>
      </c>
      <c r="AS200" s="37">
        <v>3134038.9512390001</v>
      </c>
      <c r="AT200" s="8" t="s">
        <v>385</v>
      </c>
      <c r="AU200" s="8" t="s">
        <v>356</v>
      </c>
      <c r="AV200" s="8">
        <v>88.3</v>
      </c>
      <c r="AW200" s="8">
        <v>24</v>
      </c>
      <c r="AX200" s="8" t="s">
        <v>337</v>
      </c>
      <c r="AY200" s="8" t="s">
        <v>186</v>
      </c>
      <c r="AZ200" s="8" t="s">
        <v>332</v>
      </c>
      <c r="BA200" s="21">
        <f>IF(OR(tblsales[[#This Row],[Invoice Value USD]]="",tblsales[[#This Row],[Collected Amount USD]]=""),"",tblsales[[#This Row],[Invoice Value USD]]-tblsales[[#This Row],[Collected Amount USD]])</f>
        <v>-103173.7057679994</v>
      </c>
      <c r="BB200" s="21">
        <f>IF(OR(tblsales[[#This Row],[Contract Value USD]]="",tblsales[[#This Row],[Cost Estimate USD]]=""),"",tblsales[[#This Row],[Contract Value USD]]-tblsales[[#This Row],[Cost Estimate USD]])</f>
        <v>1048702.2500640014</v>
      </c>
      <c r="BC200" s="21">
        <f>IF(OR(tblsales[[#This Row],[Contract Value USD]]="",tblsales[[#This Row],[Cost Estimate USD]]=""),"",tblsales[[#This Row],[Contract Value USD]]-tblsales[[#This Row],[Cost Estimate USD]])</f>
        <v>1048702.2500640014</v>
      </c>
      <c r="BD200" s="23">
        <f>IF(tblsales[[#This Row],[Invoice Value USD]]="","",tblsales[[#This Row],[Collected Amount USD]]/tblsales[[#This Row],[Invoice Value USD]])</f>
        <v>1.0197331865216877</v>
      </c>
      <c r="BE200" s="11">
        <f>IF(tblsales[[#This Row],[SalesStage]]="Won",1,0)</f>
        <v>0</v>
      </c>
      <c r="BF200" s="21" t="str">
        <f>IF(tblsales[[#This Row],[Win Flag]]=1,"Won","Lost")</f>
        <v>Lost</v>
      </c>
      <c r="BG200" s="8"/>
    </row>
    <row r="201" spans="1:59" x14ac:dyDescent="0.3">
      <c r="A201" s="10" t="s">
        <v>932</v>
      </c>
      <c r="B201" s="9">
        <v>45749</v>
      </c>
      <c r="C201" s="10" t="s">
        <v>195</v>
      </c>
      <c r="D201" s="10" t="s">
        <v>209</v>
      </c>
      <c r="E201" s="10" t="s">
        <v>36</v>
      </c>
      <c r="F201" s="10" t="s">
        <v>339</v>
      </c>
      <c r="G201" s="10" t="s">
        <v>62</v>
      </c>
      <c r="H201" s="10" t="s">
        <v>197</v>
      </c>
      <c r="I201" s="10" t="s">
        <v>213</v>
      </c>
      <c r="J201" s="10" t="s">
        <v>115</v>
      </c>
      <c r="K201" s="10" t="s">
        <v>326</v>
      </c>
      <c r="L201" s="10" t="s">
        <v>933</v>
      </c>
      <c r="M201" s="9">
        <v>45840</v>
      </c>
      <c r="N201" s="9"/>
      <c r="O201" s="9">
        <v>45784</v>
      </c>
      <c r="P201" s="11"/>
      <c r="Q201" s="12">
        <v>18920916</v>
      </c>
      <c r="R201">
        <v>18920916</v>
      </c>
      <c r="S201" s="22">
        <v>0.06</v>
      </c>
      <c r="T201" s="22">
        <v>0.03</v>
      </c>
      <c r="U201" s="12">
        <v>18319230.870000001</v>
      </c>
      <c r="V201" s="24">
        <v>18319230.870000001</v>
      </c>
      <c r="W201" s="8">
        <v>12410622.26</v>
      </c>
      <c r="X201" s="24">
        <v>12410622.26</v>
      </c>
      <c r="Y201" s="22">
        <v>0.06</v>
      </c>
      <c r="Z201" s="22">
        <v>7.0000000000000007E-2</v>
      </c>
      <c r="AA201" s="8" t="s">
        <v>934</v>
      </c>
      <c r="AB201" s="8">
        <v>4434468.8600000003</v>
      </c>
      <c r="AC201" s="24">
        <v>4434468.8600000003</v>
      </c>
      <c r="AD201" s="8">
        <v>1998154.96</v>
      </c>
      <c r="AE201" s="24">
        <v>1998154.96</v>
      </c>
      <c r="AF201" s="8">
        <v>45</v>
      </c>
      <c r="AG201" s="8">
        <v>46</v>
      </c>
      <c r="AH201" s="8" t="s">
        <v>329</v>
      </c>
      <c r="AI201" s="8" t="s">
        <v>336</v>
      </c>
      <c r="AJ201" s="22">
        <v>0.97</v>
      </c>
      <c r="AK201" s="8" t="s">
        <v>152</v>
      </c>
      <c r="AL201" s="22">
        <v>0.1</v>
      </c>
      <c r="AM201" s="22">
        <v>7.0000000000000007E-2</v>
      </c>
      <c r="AN201" s="8">
        <v>8</v>
      </c>
      <c r="AO201" s="8">
        <v>3105</v>
      </c>
      <c r="AP201" s="8">
        <v>4163837.09</v>
      </c>
      <c r="AQ201" s="24">
        <v>4163837.09</v>
      </c>
      <c r="AR201" s="8">
        <v>2598494.7200000002</v>
      </c>
      <c r="AS201" s="37">
        <v>2598494.7200000002</v>
      </c>
      <c r="AT201" s="8" t="s">
        <v>355</v>
      </c>
      <c r="AU201" s="8" t="s">
        <v>356</v>
      </c>
      <c r="AV201" s="8">
        <v>73.8</v>
      </c>
      <c r="AW201" s="8">
        <v>12</v>
      </c>
      <c r="AX201" s="8" t="s">
        <v>337</v>
      </c>
      <c r="AY201" s="8" t="s">
        <v>186</v>
      </c>
      <c r="AZ201" s="8" t="s">
        <v>188</v>
      </c>
      <c r="BA201" s="21">
        <f>IF(OR(tblsales[[#This Row],[Invoice Value USD]]="",tblsales[[#This Row],[Collected Amount USD]]=""),"",tblsales[[#This Row],[Invoice Value USD]]-tblsales[[#This Row],[Collected Amount USD]])</f>
        <v>2436313.9000000004</v>
      </c>
      <c r="BB201" s="21">
        <f>IF(OR(tblsales[[#This Row],[Contract Value USD]]="",tblsales[[#This Row],[Cost Estimate USD]]=""),"",tblsales[[#This Row],[Contract Value USD]]-tblsales[[#This Row],[Cost Estimate USD]])</f>
        <v>5908608.6100000013</v>
      </c>
      <c r="BC201" s="21">
        <f>IF(OR(tblsales[[#This Row],[Contract Value USD]]="",tblsales[[#This Row],[Cost Estimate USD]]=""),"",tblsales[[#This Row],[Contract Value USD]]-tblsales[[#This Row],[Cost Estimate USD]])</f>
        <v>5908608.6100000013</v>
      </c>
      <c r="BD201" s="23">
        <f>IF(tblsales[[#This Row],[Invoice Value USD]]="","",tblsales[[#This Row],[Collected Amount USD]]/tblsales[[#This Row],[Invoice Value USD]])</f>
        <v>0.45059623217198547</v>
      </c>
      <c r="BE201" s="11">
        <f>IF(tblsales[[#This Row],[SalesStage]]="Won",1,0)</f>
        <v>0</v>
      </c>
      <c r="BF201" s="21" t="str">
        <f>IF(tblsales[[#This Row],[Win Flag]]=1,"Won","Lost")</f>
        <v>Lost</v>
      </c>
      <c r="BG201" s="8"/>
    </row>
    <row r="202" spans="1:59" x14ac:dyDescent="0.3">
      <c r="A202" s="10" t="s">
        <v>935</v>
      </c>
      <c r="B202" s="9">
        <v>45814</v>
      </c>
      <c r="C202" s="10" t="s">
        <v>284</v>
      </c>
      <c r="D202" s="10" t="s">
        <v>274</v>
      </c>
      <c r="E202" s="10" t="s">
        <v>332</v>
      </c>
      <c r="F202" s="10" t="s">
        <v>31</v>
      </c>
      <c r="G202" s="10" t="s">
        <v>70</v>
      </c>
      <c r="H202" s="10" t="s">
        <v>197</v>
      </c>
      <c r="I202" s="10" t="s">
        <v>191</v>
      </c>
      <c r="J202" s="10" t="s">
        <v>130</v>
      </c>
      <c r="K202" s="10" t="s">
        <v>326</v>
      </c>
      <c r="L202" s="10" t="s">
        <v>936</v>
      </c>
      <c r="M202" s="9">
        <v>45729</v>
      </c>
      <c r="N202" s="9"/>
      <c r="O202" s="9"/>
      <c r="P202" s="11">
        <v>41</v>
      </c>
      <c r="Q202" s="12">
        <v>11121675</v>
      </c>
      <c r="R202">
        <v>3028432.1025</v>
      </c>
      <c r="S202" s="22">
        <v>0.17</v>
      </c>
      <c r="T202" s="22">
        <v>0</v>
      </c>
      <c r="U202" s="12">
        <v>9230990.25</v>
      </c>
      <c r="V202" s="24">
        <v>2513598.6450749999</v>
      </c>
      <c r="W202" s="8">
        <v>8149615.7400000002</v>
      </c>
      <c r="X202" s="24">
        <v>2219140.3660019999</v>
      </c>
      <c r="Y202" s="22">
        <v>0.39</v>
      </c>
      <c r="Z202" s="22">
        <v>0.16</v>
      </c>
      <c r="AA202" s="8" t="s">
        <v>937</v>
      </c>
      <c r="AB202" s="8">
        <v>632207.19999999995</v>
      </c>
      <c r="AC202" s="24">
        <v>172150.02055999998</v>
      </c>
      <c r="AD202" s="8">
        <v>598938.6</v>
      </c>
      <c r="AE202" s="24">
        <v>163090.98077999998</v>
      </c>
      <c r="AF202" s="8">
        <v>90</v>
      </c>
      <c r="AG202" s="8">
        <v>152</v>
      </c>
      <c r="AH202" s="8" t="s">
        <v>353</v>
      </c>
      <c r="AI202" s="8" t="s">
        <v>354</v>
      </c>
      <c r="AJ202" s="22">
        <v>0.59</v>
      </c>
      <c r="AK202" s="8" t="s">
        <v>153</v>
      </c>
      <c r="AL202" s="22">
        <v>0.1</v>
      </c>
      <c r="AM202" s="22">
        <v>0.08</v>
      </c>
      <c r="AN202" s="8">
        <v>15</v>
      </c>
      <c r="AO202" s="8">
        <v>1168</v>
      </c>
      <c r="AP202" s="8">
        <v>1158527.21</v>
      </c>
      <c r="AQ202" s="24">
        <v>315466.95928299997</v>
      </c>
      <c r="AR202" s="8">
        <v>926212.49</v>
      </c>
      <c r="AS202" s="37">
        <v>252207.66102699999</v>
      </c>
      <c r="AT202" s="8" t="s">
        <v>355</v>
      </c>
      <c r="AU202" s="8" t="s">
        <v>322</v>
      </c>
      <c r="AV202" s="8">
        <v>89.4</v>
      </c>
      <c r="AW202" s="8">
        <v>24</v>
      </c>
      <c r="AX202" s="8" t="s">
        <v>392</v>
      </c>
      <c r="AY202" s="8" t="s">
        <v>192</v>
      </c>
      <c r="AZ202" s="8" t="s">
        <v>332</v>
      </c>
      <c r="BA202" s="21">
        <f>IF(OR(tblsales[[#This Row],[Invoice Value USD]]="",tblsales[[#This Row],[Collected Amount USD]]=""),"",tblsales[[#This Row],[Invoice Value USD]]-tblsales[[#This Row],[Collected Amount USD]])</f>
        <v>9059.0397799999919</v>
      </c>
      <c r="BB202" s="21">
        <f>IF(OR(tblsales[[#This Row],[Contract Value USD]]="",tblsales[[#This Row],[Cost Estimate USD]]=""),"",tblsales[[#This Row],[Contract Value USD]]-tblsales[[#This Row],[Cost Estimate USD]])</f>
        <v>294458.27907299995</v>
      </c>
      <c r="BC202" s="21">
        <f>IF(OR(tblsales[[#This Row],[Contract Value USD]]="",tblsales[[#This Row],[Cost Estimate USD]]=""),"",tblsales[[#This Row],[Contract Value USD]]-tblsales[[#This Row],[Cost Estimate USD]])</f>
        <v>294458.27907299995</v>
      </c>
      <c r="BD202" s="23">
        <f>IF(tblsales[[#This Row],[Invoice Value USD]]="","",tblsales[[#This Row],[Collected Amount USD]]/tblsales[[#This Row],[Invoice Value USD]])</f>
        <v>0.94737706245673892</v>
      </c>
      <c r="BE202" s="11">
        <f>IF(tblsales[[#This Row],[SalesStage]]="Won",1,0)</f>
        <v>0</v>
      </c>
      <c r="BF202" s="21" t="str">
        <f>IF(tblsales[[#This Row],[Win Flag]]=1,"Won","Lost")</f>
        <v>Lost</v>
      </c>
      <c r="BG202" s="8"/>
    </row>
    <row r="203" spans="1:59" x14ac:dyDescent="0.3">
      <c r="A203" s="10" t="s">
        <v>938</v>
      </c>
      <c r="B203" s="9">
        <v>46028</v>
      </c>
      <c r="C203" s="10" t="s">
        <v>254</v>
      </c>
      <c r="D203" s="10" t="s">
        <v>281</v>
      </c>
      <c r="E203" s="10" t="s">
        <v>20</v>
      </c>
      <c r="F203" s="10" t="s">
        <v>196</v>
      </c>
      <c r="G203" s="10" t="s">
        <v>78</v>
      </c>
      <c r="H203" s="10" t="s">
        <v>182</v>
      </c>
      <c r="I203" s="10" t="s">
        <v>183</v>
      </c>
      <c r="J203" s="10" t="s">
        <v>136</v>
      </c>
      <c r="K203" s="10" t="s">
        <v>326</v>
      </c>
      <c r="L203" s="10" t="s">
        <v>939</v>
      </c>
      <c r="M203" s="9">
        <v>45950</v>
      </c>
      <c r="N203" s="9">
        <v>46070</v>
      </c>
      <c r="O203" s="9">
        <v>46135</v>
      </c>
      <c r="P203" s="11">
        <v>26</v>
      </c>
      <c r="Q203" s="12">
        <v>16623721</v>
      </c>
      <c r="R203">
        <v>4433546.3907000003</v>
      </c>
      <c r="S203" s="22">
        <v>0.06</v>
      </c>
      <c r="T203" s="22">
        <v>0.09</v>
      </c>
      <c r="U203" s="12">
        <v>17032664.539999999</v>
      </c>
      <c r="V203" s="24">
        <v>4542611.6328179995</v>
      </c>
      <c r="W203" s="8">
        <v>12781937.92</v>
      </c>
      <c r="X203" s="24">
        <v>3408942.843264</v>
      </c>
      <c r="Y203" s="22"/>
      <c r="Z203" s="22">
        <v>0.14000000000000001</v>
      </c>
      <c r="AA203" s="8" t="s">
        <v>940</v>
      </c>
      <c r="AB203" s="8">
        <v>12080711</v>
      </c>
      <c r="AC203" s="24">
        <v>3221925.6236999999</v>
      </c>
      <c r="AD203" s="8">
        <v>3672002.49</v>
      </c>
      <c r="AE203" s="24">
        <v>979323.06408300006</v>
      </c>
      <c r="AF203" s="8">
        <v>45</v>
      </c>
      <c r="AG203" s="8">
        <v>89</v>
      </c>
      <c r="AH203" s="8" t="s">
        <v>342</v>
      </c>
      <c r="AI203" s="8" t="s">
        <v>336</v>
      </c>
      <c r="AJ203" s="22">
        <v>0.14000000000000001</v>
      </c>
      <c r="AK203" s="8" t="s">
        <v>162</v>
      </c>
      <c r="AL203" s="22">
        <v>0.15</v>
      </c>
      <c r="AM203" s="22">
        <v>7.0000000000000007E-2</v>
      </c>
      <c r="AN203" s="8">
        <v>6</v>
      </c>
      <c r="AO203" s="8"/>
      <c r="AP203" s="8">
        <v>704395.74</v>
      </c>
      <c r="AQ203" s="24">
        <v>187862.34385799998</v>
      </c>
      <c r="AR203" s="8">
        <v>2928771.06</v>
      </c>
      <c r="AS203" s="37">
        <v>781103.24170200003</v>
      </c>
      <c r="AT203" s="8" t="s">
        <v>343</v>
      </c>
      <c r="AU203" s="8" t="s">
        <v>330</v>
      </c>
      <c r="AV203" s="8">
        <v>82.3</v>
      </c>
      <c r="AW203" s="8">
        <v>36</v>
      </c>
      <c r="AX203" s="8" t="s">
        <v>323</v>
      </c>
      <c r="AY203" s="8" t="s">
        <v>224</v>
      </c>
      <c r="AZ203" s="8" t="s">
        <v>361</v>
      </c>
      <c r="BA203" s="21">
        <f>IF(OR(tblsales[[#This Row],[Invoice Value USD]]="",tblsales[[#This Row],[Collected Amount USD]]=""),"",tblsales[[#This Row],[Invoice Value USD]]-tblsales[[#This Row],[Collected Amount USD]])</f>
        <v>2242602.5596169997</v>
      </c>
      <c r="BB203" s="21">
        <f>IF(OR(tblsales[[#This Row],[Contract Value USD]]="",tblsales[[#This Row],[Cost Estimate USD]]=""),"",tblsales[[#This Row],[Contract Value USD]]-tblsales[[#This Row],[Cost Estimate USD]])</f>
        <v>1133668.7895539994</v>
      </c>
      <c r="BC203" s="21">
        <f>IF(OR(tblsales[[#This Row],[Contract Value USD]]="",tblsales[[#This Row],[Cost Estimate USD]]=""),"",tblsales[[#This Row],[Contract Value USD]]-tblsales[[#This Row],[Cost Estimate USD]])</f>
        <v>1133668.7895539994</v>
      </c>
      <c r="BD203" s="23">
        <f>IF(tblsales[[#This Row],[Invoice Value USD]]="","",tblsales[[#This Row],[Collected Amount USD]]/tblsales[[#This Row],[Invoice Value USD]])</f>
        <v>0.3039558259443505</v>
      </c>
      <c r="BE203" s="11">
        <f>IF(tblsales[[#This Row],[SalesStage]]="Won",1,0)</f>
        <v>0</v>
      </c>
      <c r="BF203" s="21" t="str">
        <f>IF(tblsales[[#This Row],[Win Flag]]=1,"Won","Lost")</f>
        <v>Lost</v>
      </c>
      <c r="BG203" s="8"/>
    </row>
    <row r="204" spans="1:59" x14ac:dyDescent="0.3">
      <c r="A204" s="10" t="s">
        <v>941</v>
      </c>
      <c r="B204" s="9">
        <v>45861</v>
      </c>
      <c r="C204" s="10" t="s">
        <v>237</v>
      </c>
      <c r="D204" s="10" t="s">
        <v>248</v>
      </c>
      <c r="E204" s="10" t="s">
        <v>113</v>
      </c>
      <c r="F204" s="10" t="s">
        <v>367</v>
      </c>
      <c r="G204" s="10" t="s">
        <v>66</v>
      </c>
      <c r="H204" s="10" t="s">
        <v>182</v>
      </c>
      <c r="I204" s="10" t="s">
        <v>198</v>
      </c>
      <c r="J204" s="10" t="s">
        <v>111</v>
      </c>
      <c r="K204" s="10" t="s">
        <v>333</v>
      </c>
      <c r="L204" s="10" t="s">
        <v>942</v>
      </c>
      <c r="M204" s="9">
        <v>45809</v>
      </c>
      <c r="N204" s="9"/>
      <c r="O204" s="9"/>
      <c r="P204" s="11">
        <v>51</v>
      </c>
      <c r="Q204" s="12">
        <v>45991047</v>
      </c>
      <c r="R204">
        <v>53395605.567000002</v>
      </c>
      <c r="S204" s="22">
        <v>0.19</v>
      </c>
      <c r="T204" s="22">
        <v>-0.02</v>
      </c>
      <c r="U204" s="12">
        <v>36507693.109999999</v>
      </c>
      <c r="V204" s="24">
        <v>42385431.700709999</v>
      </c>
      <c r="W204" s="8">
        <v>29294345.129999999</v>
      </c>
      <c r="X204" s="24">
        <v>34010734.695929997</v>
      </c>
      <c r="Y204" s="22">
        <v>0.17</v>
      </c>
      <c r="Z204" s="22">
        <v>0.19</v>
      </c>
      <c r="AA204" s="8" t="s">
        <v>943</v>
      </c>
      <c r="AB204" s="8">
        <v>26843909.449999999</v>
      </c>
      <c r="AC204" s="24">
        <v>31165778.87145</v>
      </c>
      <c r="AD204" s="8">
        <v>15489727.5</v>
      </c>
      <c r="AE204" s="24">
        <v>17983573.627500001</v>
      </c>
      <c r="AF204" s="8">
        <v>30</v>
      </c>
      <c r="AG204" s="8">
        <v>168</v>
      </c>
      <c r="AH204" s="8" t="s">
        <v>353</v>
      </c>
      <c r="AI204" s="8" t="s">
        <v>320</v>
      </c>
      <c r="AJ204" s="22">
        <v>0.86</v>
      </c>
      <c r="AK204" s="8" t="s">
        <v>159</v>
      </c>
      <c r="AL204" s="22">
        <v>0.05</v>
      </c>
      <c r="AM204" s="22">
        <v>0.02</v>
      </c>
      <c r="AN204" s="8">
        <v>4</v>
      </c>
      <c r="AO204" s="8"/>
      <c r="AP204" s="8">
        <v>1750793.32</v>
      </c>
      <c r="AQ204" s="24">
        <v>2032671.0445200002</v>
      </c>
      <c r="AR204" s="8">
        <v>9011619.1500000004</v>
      </c>
      <c r="AS204" s="37">
        <v>10462489.833150001</v>
      </c>
      <c r="AT204" s="8" t="s">
        <v>391</v>
      </c>
      <c r="AU204" s="8" t="s">
        <v>348</v>
      </c>
      <c r="AV204" s="8">
        <v>75.7</v>
      </c>
      <c r="AW204" s="8">
        <v>36</v>
      </c>
      <c r="AX204" s="8" t="s">
        <v>337</v>
      </c>
      <c r="AY204" s="8" t="s">
        <v>186</v>
      </c>
      <c r="AZ204" s="8" t="s">
        <v>332</v>
      </c>
      <c r="BA204" s="21">
        <f>IF(OR(tblsales[[#This Row],[Invoice Value USD]]="",tblsales[[#This Row],[Collected Amount USD]]=""),"",tblsales[[#This Row],[Invoice Value USD]]-tblsales[[#This Row],[Collected Amount USD]])</f>
        <v>13182205.243949998</v>
      </c>
      <c r="BB204" s="21">
        <f>IF(OR(tblsales[[#This Row],[Contract Value USD]]="",tblsales[[#This Row],[Cost Estimate USD]]=""),"",tblsales[[#This Row],[Contract Value USD]]-tblsales[[#This Row],[Cost Estimate USD]])</f>
        <v>8374697.0047800019</v>
      </c>
      <c r="BC204" s="21">
        <f>IF(OR(tblsales[[#This Row],[Contract Value USD]]="",tblsales[[#This Row],[Cost Estimate USD]]=""),"",tblsales[[#This Row],[Contract Value USD]]-tblsales[[#This Row],[Cost Estimate USD]])</f>
        <v>8374697.0047800019</v>
      </c>
      <c r="BD204" s="23">
        <f>IF(tblsales[[#This Row],[Invoice Value USD]]="","",tblsales[[#This Row],[Collected Amount USD]]/tblsales[[#This Row],[Invoice Value USD]])</f>
        <v>0.57702949448743579</v>
      </c>
      <c r="BE204" s="11">
        <f>IF(tblsales[[#This Row],[SalesStage]]="Won",1,0)</f>
        <v>1</v>
      </c>
      <c r="BF204" s="21" t="str">
        <f>IF(tblsales[[#This Row],[Win Flag]]=1,"Won","Lost")</f>
        <v>Won</v>
      </c>
      <c r="BG204" s="8"/>
    </row>
    <row r="205" spans="1:59" x14ac:dyDescent="0.3">
      <c r="A205" s="10" t="s">
        <v>944</v>
      </c>
      <c r="B205" s="9">
        <v>45749</v>
      </c>
      <c r="C205" s="10" t="s">
        <v>249</v>
      </c>
      <c r="D205" s="10" t="s">
        <v>180</v>
      </c>
      <c r="E205" s="10" t="s">
        <v>20</v>
      </c>
      <c r="F205" s="10" t="s">
        <v>35</v>
      </c>
      <c r="G205" s="10" t="s">
        <v>57</v>
      </c>
      <c r="H205" s="10" t="s">
        <v>263</v>
      </c>
      <c r="I205" s="10" t="s">
        <v>191</v>
      </c>
      <c r="J205" s="10" t="s">
        <v>136</v>
      </c>
      <c r="K205" s="10" t="s">
        <v>333</v>
      </c>
      <c r="L205" s="10" t="s">
        <v>945</v>
      </c>
      <c r="M205" s="9">
        <v>45734</v>
      </c>
      <c r="N205" s="9">
        <v>45751</v>
      </c>
      <c r="O205" s="9">
        <v>45860</v>
      </c>
      <c r="P205" s="11">
        <v>49</v>
      </c>
      <c r="Q205" s="12">
        <v>19878982</v>
      </c>
      <c r="R205">
        <v>19878982</v>
      </c>
      <c r="S205" s="22">
        <v>0.13</v>
      </c>
      <c r="T205" s="22">
        <v>-0.05</v>
      </c>
      <c r="U205" s="12">
        <v>16429978.619999999</v>
      </c>
      <c r="V205" s="24">
        <v>16429978.619999999</v>
      </c>
      <c r="W205" s="8">
        <v>14429335.699999999</v>
      </c>
      <c r="X205" s="24">
        <v>14429335.699999999</v>
      </c>
      <c r="Y205" s="22">
        <v>0.2</v>
      </c>
      <c r="Z205" s="22">
        <v>0.05</v>
      </c>
      <c r="AA205" s="8" t="s">
        <v>946</v>
      </c>
      <c r="AB205" s="8">
        <v>5355148.91</v>
      </c>
      <c r="AC205" s="24">
        <v>5355148.91</v>
      </c>
      <c r="AD205" s="8">
        <v>4331170.32</v>
      </c>
      <c r="AE205" s="24">
        <v>4331170.32</v>
      </c>
      <c r="AF205" s="8">
        <v>120</v>
      </c>
      <c r="AG205" s="8">
        <v>29</v>
      </c>
      <c r="AH205" s="8" t="s">
        <v>353</v>
      </c>
      <c r="AI205" s="8" t="s">
        <v>406</v>
      </c>
      <c r="AJ205" s="22">
        <v>0.39</v>
      </c>
      <c r="AK205" s="8" t="s">
        <v>152</v>
      </c>
      <c r="AL205" s="22">
        <v>0.05</v>
      </c>
      <c r="AM205" s="22">
        <v>0.06</v>
      </c>
      <c r="AN205" s="8">
        <v>12</v>
      </c>
      <c r="AO205" s="8">
        <v>4686</v>
      </c>
      <c r="AP205" s="8">
        <v>1474365.92</v>
      </c>
      <c r="AQ205" s="24">
        <v>1474365.92</v>
      </c>
      <c r="AR205" s="8">
        <v>7257079.8200000003</v>
      </c>
      <c r="AS205" s="37">
        <v>7257079.8200000003</v>
      </c>
      <c r="AT205" s="8" t="s">
        <v>321</v>
      </c>
      <c r="AU205" s="8" t="s">
        <v>356</v>
      </c>
      <c r="AV205" s="8">
        <v>82.6</v>
      </c>
      <c r="AW205" s="8">
        <v>12</v>
      </c>
      <c r="AX205" s="8" t="s">
        <v>387</v>
      </c>
      <c r="AY205" s="8" t="s">
        <v>206</v>
      </c>
      <c r="AZ205" s="8" t="s">
        <v>361</v>
      </c>
      <c r="BA205" s="21">
        <f>IF(OR(tblsales[[#This Row],[Invoice Value USD]]="",tblsales[[#This Row],[Collected Amount USD]]=""),"",tblsales[[#This Row],[Invoice Value USD]]-tblsales[[#This Row],[Collected Amount USD]])</f>
        <v>1023978.5899999999</v>
      </c>
      <c r="BB205" s="21">
        <f>IF(OR(tblsales[[#This Row],[Contract Value USD]]="",tblsales[[#This Row],[Cost Estimate USD]]=""),"",tblsales[[#This Row],[Contract Value USD]]-tblsales[[#This Row],[Cost Estimate USD]])</f>
        <v>2000642.92</v>
      </c>
      <c r="BC205" s="21">
        <f>IF(OR(tblsales[[#This Row],[Contract Value USD]]="",tblsales[[#This Row],[Cost Estimate USD]]=""),"",tblsales[[#This Row],[Contract Value USD]]-tblsales[[#This Row],[Cost Estimate USD]])</f>
        <v>2000642.92</v>
      </c>
      <c r="BD205" s="23">
        <f>IF(tblsales[[#This Row],[Invoice Value USD]]="","",tblsales[[#This Row],[Collected Amount USD]]/tblsales[[#This Row],[Invoice Value USD]])</f>
        <v>0.80878615941232535</v>
      </c>
      <c r="BE205" s="11">
        <f>IF(tblsales[[#This Row],[SalesStage]]="Won",1,0)</f>
        <v>0</v>
      </c>
      <c r="BF205" s="21" t="str">
        <f>IF(tblsales[[#This Row],[Win Flag]]=1,"Won","Lost")</f>
        <v>Lost</v>
      </c>
      <c r="BG205" s="8"/>
    </row>
    <row r="206" spans="1:59" x14ac:dyDescent="0.3">
      <c r="A206" s="10" t="s">
        <v>947</v>
      </c>
      <c r="B206" s="9">
        <v>45942</v>
      </c>
      <c r="C206" s="10" t="s">
        <v>208</v>
      </c>
      <c r="D206" s="10" t="s">
        <v>274</v>
      </c>
      <c r="E206" s="10" t="s">
        <v>113</v>
      </c>
      <c r="F206" s="10" t="s">
        <v>367</v>
      </c>
      <c r="G206" s="10" t="s">
        <v>73</v>
      </c>
      <c r="H206" s="10" t="s">
        <v>216</v>
      </c>
      <c r="I206" s="10" t="s">
        <v>213</v>
      </c>
      <c r="J206" s="10" t="s">
        <v>127</v>
      </c>
      <c r="K206" s="10" t="s">
        <v>223</v>
      </c>
      <c r="L206" s="10" t="s">
        <v>948</v>
      </c>
      <c r="M206" s="9">
        <v>45922</v>
      </c>
      <c r="N206" s="9">
        <v>46036</v>
      </c>
      <c r="O206" s="9">
        <v>46071</v>
      </c>
      <c r="P206" s="11">
        <v>12</v>
      </c>
      <c r="Q206" s="12">
        <v>3269705</v>
      </c>
      <c r="R206">
        <v>3269705</v>
      </c>
      <c r="S206" s="22">
        <v>0.22</v>
      </c>
      <c r="T206" s="22">
        <v>0.18</v>
      </c>
      <c r="U206" s="12">
        <v>3009436.48</v>
      </c>
      <c r="V206" s="24">
        <v>3009436.48</v>
      </c>
      <c r="W206" s="8">
        <v>2476078.11</v>
      </c>
      <c r="X206" s="24">
        <v>2476078.11</v>
      </c>
      <c r="Y206" s="22">
        <v>0.28999999999999998</v>
      </c>
      <c r="Z206" s="22">
        <v>0.15</v>
      </c>
      <c r="AA206" s="8" t="s">
        <v>949</v>
      </c>
      <c r="AB206" s="8">
        <v>1885342.77</v>
      </c>
      <c r="AC206" s="24">
        <v>1885342.77</v>
      </c>
      <c r="AD206" s="8">
        <v>976878.14</v>
      </c>
      <c r="AE206" s="24">
        <v>976878.14</v>
      </c>
      <c r="AF206" s="8">
        <v>90</v>
      </c>
      <c r="AG206" s="8">
        <v>54</v>
      </c>
      <c r="AH206" s="8" t="s">
        <v>332</v>
      </c>
      <c r="AI206" s="8" t="s">
        <v>320</v>
      </c>
      <c r="AJ206" s="22">
        <v>7.0000000000000007E-2</v>
      </c>
      <c r="AK206" s="8" t="s">
        <v>152</v>
      </c>
      <c r="AL206" s="22">
        <v>0.1</v>
      </c>
      <c r="AM206" s="22">
        <v>7.0000000000000007E-2</v>
      </c>
      <c r="AN206" s="8">
        <v>8</v>
      </c>
      <c r="AO206" s="8">
        <v>2838</v>
      </c>
      <c r="AP206" s="8">
        <v>577939.72</v>
      </c>
      <c r="AQ206" s="24">
        <v>577939.72</v>
      </c>
      <c r="AR206" s="8">
        <v>666930.52</v>
      </c>
      <c r="AS206" s="37">
        <v>666930.52</v>
      </c>
      <c r="AT206" s="8" t="s">
        <v>385</v>
      </c>
      <c r="AU206" s="8" t="s">
        <v>386</v>
      </c>
      <c r="AV206" s="8">
        <v>83</v>
      </c>
      <c r="AW206" s="8">
        <v>48</v>
      </c>
      <c r="AX206" s="8" t="s">
        <v>332</v>
      </c>
      <c r="AY206" s="8" t="s">
        <v>186</v>
      </c>
      <c r="AZ206" s="8" t="s">
        <v>324</v>
      </c>
      <c r="BA206" s="21">
        <f>IF(OR(tblsales[[#This Row],[Invoice Value USD]]="",tblsales[[#This Row],[Collected Amount USD]]=""),"",tblsales[[#This Row],[Invoice Value USD]]-tblsales[[#This Row],[Collected Amount USD]])</f>
        <v>908464.63</v>
      </c>
      <c r="BB206" s="21">
        <f>IF(OR(tblsales[[#This Row],[Contract Value USD]]="",tblsales[[#This Row],[Cost Estimate USD]]=""),"",tblsales[[#This Row],[Contract Value USD]]-tblsales[[#This Row],[Cost Estimate USD]])</f>
        <v>533358.37000000011</v>
      </c>
      <c r="BC206" s="21">
        <f>IF(OR(tblsales[[#This Row],[Contract Value USD]]="",tblsales[[#This Row],[Cost Estimate USD]]=""),"",tblsales[[#This Row],[Contract Value USD]]-tblsales[[#This Row],[Cost Estimate USD]])</f>
        <v>533358.37000000011</v>
      </c>
      <c r="BD206" s="23">
        <f>IF(tblsales[[#This Row],[Invoice Value USD]]="","",tblsales[[#This Row],[Collected Amount USD]]/tblsales[[#This Row],[Invoice Value USD]])</f>
        <v>0.51814352039549816</v>
      </c>
      <c r="BE206" s="11">
        <f>IF(tblsales[[#This Row],[SalesStage]]="Won",1,0)</f>
        <v>1</v>
      </c>
      <c r="BF206" s="21" t="str">
        <f>IF(tblsales[[#This Row],[Win Flag]]=1,"Won","Lost")</f>
        <v>Won</v>
      </c>
      <c r="BG206" s="8"/>
    </row>
    <row r="207" spans="1:59" x14ac:dyDescent="0.3">
      <c r="A207" s="10" t="s">
        <v>950</v>
      </c>
      <c r="B207" s="9">
        <v>45947</v>
      </c>
      <c r="C207" s="10" t="s">
        <v>269</v>
      </c>
      <c r="D207" s="10" t="s">
        <v>245</v>
      </c>
      <c r="E207" s="10" t="s">
        <v>36</v>
      </c>
      <c r="F207" s="10" t="s">
        <v>19</v>
      </c>
      <c r="G207" s="10" t="s">
        <v>33</v>
      </c>
      <c r="H207" s="10" t="s">
        <v>263</v>
      </c>
      <c r="I207" s="10" t="s">
        <v>191</v>
      </c>
      <c r="J207" s="10" t="s">
        <v>115</v>
      </c>
      <c r="K207" s="10" t="s">
        <v>223</v>
      </c>
      <c r="L207" s="10" t="s">
        <v>951</v>
      </c>
      <c r="M207" s="9">
        <v>45857</v>
      </c>
      <c r="N207" s="9">
        <v>45990</v>
      </c>
      <c r="O207" s="9">
        <v>46045</v>
      </c>
      <c r="P207" s="11">
        <v>28</v>
      </c>
      <c r="Q207" s="12">
        <v>29159541</v>
      </c>
      <c r="R207">
        <v>8010125.9127000002</v>
      </c>
      <c r="S207" s="22">
        <v>0.15</v>
      </c>
      <c r="T207" s="22">
        <v>0.14000000000000001</v>
      </c>
      <c r="U207" s="12">
        <v>28255595.23</v>
      </c>
      <c r="V207" s="24">
        <v>7761812.0096810004</v>
      </c>
      <c r="W207" s="8">
        <v>20885806.510000002</v>
      </c>
      <c r="X207" s="24">
        <v>5737331.0482970001</v>
      </c>
      <c r="Y207" s="22">
        <v>0.21</v>
      </c>
      <c r="Z207" s="22">
        <v>0.19</v>
      </c>
      <c r="AA207" s="8" t="s">
        <v>952</v>
      </c>
      <c r="AB207" s="8">
        <v>19459067.469999999</v>
      </c>
      <c r="AC207" s="24">
        <v>5345405.8340090001</v>
      </c>
      <c r="AD207" s="8">
        <v>10257071.869999999</v>
      </c>
      <c r="AE207" s="24">
        <v>2817617.6426889999</v>
      </c>
      <c r="AF207" s="8">
        <v>90</v>
      </c>
      <c r="AG207" s="8">
        <v>61</v>
      </c>
      <c r="AH207" s="8" t="s">
        <v>329</v>
      </c>
      <c r="AI207" s="8" t="s">
        <v>320</v>
      </c>
      <c r="AJ207" s="22">
        <v>0.4</v>
      </c>
      <c r="AK207" s="8" t="s">
        <v>155</v>
      </c>
      <c r="AL207" s="22">
        <v>0.15</v>
      </c>
      <c r="AM207" s="22">
        <v>0.02</v>
      </c>
      <c r="AN207" s="8">
        <v>3</v>
      </c>
      <c r="AO207" s="8">
        <v>815</v>
      </c>
      <c r="AP207" s="8">
        <v>4809497.1900000004</v>
      </c>
      <c r="AQ207" s="24">
        <v>1321168.878093</v>
      </c>
      <c r="AR207" s="8">
        <v>7462797.7800000003</v>
      </c>
      <c r="AS207" s="37">
        <v>2050030.5501660001</v>
      </c>
      <c r="AT207" s="8" t="s">
        <v>385</v>
      </c>
      <c r="AU207" s="8" t="s">
        <v>322</v>
      </c>
      <c r="AV207" s="8">
        <v>50.2</v>
      </c>
      <c r="AW207" s="8">
        <v>60</v>
      </c>
      <c r="AX207" s="8" t="s">
        <v>332</v>
      </c>
      <c r="AY207" s="8" t="s">
        <v>229</v>
      </c>
      <c r="AZ207" s="8" t="s">
        <v>332</v>
      </c>
      <c r="BA207" s="21">
        <f>IF(OR(tblsales[[#This Row],[Invoice Value USD]]="",tblsales[[#This Row],[Collected Amount USD]]=""),"",tblsales[[#This Row],[Invoice Value USD]]-tblsales[[#This Row],[Collected Amount USD]])</f>
        <v>2527788.1913200002</v>
      </c>
      <c r="BB207" s="21">
        <f>IF(OR(tblsales[[#This Row],[Contract Value USD]]="",tblsales[[#This Row],[Cost Estimate USD]]=""),"",tblsales[[#This Row],[Contract Value USD]]-tblsales[[#This Row],[Cost Estimate USD]])</f>
        <v>2024480.9613840003</v>
      </c>
      <c r="BC207" s="21">
        <f>IF(OR(tblsales[[#This Row],[Contract Value USD]]="",tblsales[[#This Row],[Cost Estimate USD]]=""),"",tblsales[[#This Row],[Contract Value USD]]-tblsales[[#This Row],[Cost Estimate USD]])</f>
        <v>2024480.9613840003</v>
      </c>
      <c r="BD207" s="23">
        <f>IF(tblsales[[#This Row],[Invoice Value USD]]="","",tblsales[[#This Row],[Collected Amount USD]]/tblsales[[#This Row],[Invoice Value USD]])</f>
        <v>0.52711014470828588</v>
      </c>
      <c r="BE207" s="11">
        <f>IF(tblsales[[#This Row],[SalesStage]]="Won",1,0)</f>
        <v>1</v>
      </c>
      <c r="BF207" s="21" t="str">
        <f>IF(tblsales[[#This Row],[Win Flag]]=1,"Won","Lost")</f>
        <v>Won</v>
      </c>
      <c r="BG207" s="8"/>
    </row>
    <row r="208" spans="1:59" x14ac:dyDescent="0.3">
      <c r="A208" s="10" t="s">
        <v>953</v>
      </c>
      <c r="B208" s="9">
        <v>45669</v>
      </c>
      <c r="C208" s="10" t="s">
        <v>244</v>
      </c>
      <c r="D208" s="10" t="s">
        <v>220</v>
      </c>
      <c r="E208" s="10" t="s">
        <v>332</v>
      </c>
      <c r="F208" s="10" t="s">
        <v>75</v>
      </c>
      <c r="G208" s="10" t="s">
        <v>66</v>
      </c>
      <c r="H208" s="10" t="s">
        <v>197</v>
      </c>
      <c r="I208" s="10" t="s">
        <v>183</v>
      </c>
      <c r="J208" s="10" t="s">
        <v>130</v>
      </c>
      <c r="K208" s="10" t="s">
        <v>333</v>
      </c>
      <c r="L208" s="10" t="s">
        <v>954</v>
      </c>
      <c r="M208" s="9">
        <v>45363</v>
      </c>
      <c r="N208" s="9">
        <v>45701</v>
      </c>
      <c r="O208" s="9">
        <v>45741</v>
      </c>
      <c r="P208" s="11">
        <v>49</v>
      </c>
      <c r="Q208" s="12">
        <v>22011743</v>
      </c>
      <c r="R208">
        <v>5870531.8580999998</v>
      </c>
      <c r="S208" s="22">
        <v>0.22</v>
      </c>
      <c r="T208" s="22">
        <v>-0.01</v>
      </c>
      <c r="U208" s="12">
        <v>16997467.940000001</v>
      </c>
      <c r="V208" s="24">
        <v>4533224.6995980004</v>
      </c>
      <c r="W208" s="8">
        <v>10233580.439999999</v>
      </c>
      <c r="X208" s="24">
        <v>2729295.9033479998</v>
      </c>
      <c r="Y208" s="22"/>
      <c r="Z208" s="22">
        <v>0.15</v>
      </c>
      <c r="AA208" s="8" t="s">
        <v>955</v>
      </c>
      <c r="AB208" s="8">
        <v>9886931.7200000007</v>
      </c>
      <c r="AC208" s="24">
        <v>2636844.6897240002</v>
      </c>
      <c r="AD208" s="8">
        <v>8379080.2000000002</v>
      </c>
      <c r="AE208" s="24">
        <v>2234700.68934</v>
      </c>
      <c r="AF208" s="8">
        <v>60</v>
      </c>
      <c r="AG208" s="8">
        <v>6</v>
      </c>
      <c r="AH208" s="8" t="s">
        <v>342</v>
      </c>
      <c r="AI208" s="8" t="s">
        <v>226</v>
      </c>
      <c r="AJ208" s="22">
        <v>0.75</v>
      </c>
      <c r="AK208" s="8" t="s">
        <v>162</v>
      </c>
      <c r="AL208" s="22">
        <v>0.15</v>
      </c>
      <c r="AM208" s="22">
        <v>0.05</v>
      </c>
      <c r="AN208" s="8">
        <v>6</v>
      </c>
      <c r="AO208" s="8">
        <v>2140</v>
      </c>
      <c r="AP208" s="8">
        <v>2440641.48</v>
      </c>
      <c r="AQ208" s="24">
        <v>650919.08271600003</v>
      </c>
      <c r="AR208" s="8">
        <v>5826575.0599999996</v>
      </c>
      <c r="AS208" s="37">
        <v>1553947.5685019998</v>
      </c>
      <c r="AT208" s="8" t="s">
        <v>332</v>
      </c>
      <c r="AU208" s="8" t="s">
        <v>332</v>
      </c>
      <c r="AV208" s="8">
        <v>73.5</v>
      </c>
      <c r="AW208" s="8">
        <v>12</v>
      </c>
      <c r="AX208" s="8" t="s">
        <v>337</v>
      </c>
      <c r="AY208" s="8" t="s">
        <v>192</v>
      </c>
      <c r="AZ208" s="8" t="s">
        <v>332</v>
      </c>
      <c r="BA208" s="21">
        <f>IF(OR(tblsales[[#This Row],[Invoice Value USD]]="",tblsales[[#This Row],[Collected Amount USD]]=""),"",tblsales[[#This Row],[Invoice Value USD]]-tblsales[[#This Row],[Collected Amount USD]])</f>
        <v>402144.00038400013</v>
      </c>
      <c r="BB208" s="21">
        <f>IF(OR(tblsales[[#This Row],[Contract Value USD]]="",tblsales[[#This Row],[Cost Estimate USD]]=""),"",tblsales[[#This Row],[Contract Value USD]]-tblsales[[#This Row],[Cost Estimate USD]])</f>
        <v>1803928.7962500006</v>
      </c>
      <c r="BC208" s="21">
        <f>IF(OR(tblsales[[#This Row],[Contract Value USD]]="",tblsales[[#This Row],[Cost Estimate USD]]=""),"",tblsales[[#This Row],[Contract Value USD]]-tblsales[[#This Row],[Cost Estimate USD]])</f>
        <v>1803928.7962500006</v>
      </c>
      <c r="BD208" s="23">
        <f>IF(tblsales[[#This Row],[Invoice Value USD]]="","",tblsales[[#This Row],[Collected Amount USD]]/tblsales[[#This Row],[Invoice Value USD]])</f>
        <v>0.84749044873549506</v>
      </c>
      <c r="BE208" s="11">
        <f>IF(tblsales[[#This Row],[SalesStage]]="Won",1,0)</f>
        <v>0</v>
      </c>
      <c r="BF208" s="21" t="str">
        <f>IF(tblsales[[#This Row],[Win Flag]]=1,"Won","Lost")</f>
        <v>Lost</v>
      </c>
      <c r="BG208" s="8"/>
    </row>
    <row r="209" spans="1:59" x14ac:dyDescent="0.3">
      <c r="A209" s="10" t="s">
        <v>956</v>
      </c>
      <c r="B209" s="9">
        <v>45815</v>
      </c>
      <c r="C209" s="10" t="s">
        <v>247</v>
      </c>
      <c r="D209" s="10" t="s">
        <v>255</v>
      </c>
      <c r="E209" s="10" t="s">
        <v>52</v>
      </c>
      <c r="F209" s="10" t="s">
        <v>332</v>
      </c>
      <c r="G209" s="10" t="s">
        <v>50</v>
      </c>
      <c r="H209" s="10" t="s">
        <v>216</v>
      </c>
      <c r="I209" s="10" t="s">
        <v>213</v>
      </c>
      <c r="J209" s="10" t="s">
        <v>133</v>
      </c>
      <c r="K209" s="10" t="s">
        <v>199</v>
      </c>
      <c r="L209" s="10" t="s">
        <v>957</v>
      </c>
      <c r="M209" s="9">
        <v>45791</v>
      </c>
      <c r="N209" s="9" t="s">
        <v>259</v>
      </c>
      <c r="O209" s="9">
        <v>45946</v>
      </c>
      <c r="P209" s="11">
        <v>51</v>
      </c>
      <c r="Q209" s="12">
        <v>27005255</v>
      </c>
      <c r="R209">
        <v>31353101.055</v>
      </c>
      <c r="S209" s="22">
        <v>0.25</v>
      </c>
      <c r="T209" s="22">
        <v>0.08</v>
      </c>
      <c r="U209" s="12">
        <v>21874256.550000001</v>
      </c>
      <c r="V209" s="24">
        <v>25396011.85455</v>
      </c>
      <c r="W209" s="8">
        <v>16548614.17</v>
      </c>
      <c r="X209" s="24">
        <v>19212941.051369999</v>
      </c>
      <c r="Y209" s="22"/>
      <c r="Z209" s="22">
        <v>0.18</v>
      </c>
      <c r="AA209" s="8" t="s">
        <v>958</v>
      </c>
      <c r="AB209" s="8">
        <v>13172356.49</v>
      </c>
      <c r="AC209" s="24">
        <v>15293105.884890001</v>
      </c>
      <c r="AD209" s="8">
        <v>8468123.75</v>
      </c>
      <c r="AE209" s="24">
        <v>9831491.6737500001</v>
      </c>
      <c r="AF209" s="8">
        <v>30</v>
      </c>
      <c r="AG209" s="8">
        <v>27</v>
      </c>
      <c r="AH209" s="8" t="s">
        <v>353</v>
      </c>
      <c r="AI209" s="8" t="s">
        <v>226</v>
      </c>
      <c r="AJ209" s="22">
        <v>0.19</v>
      </c>
      <c r="AK209" s="8" t="s">
        <v>159</v>
      </c>
      <c r="AL209" s="22">
        <v>0.1</v>
      </c>
      <c r="AM209" s="22">
        <v>0.08</v>
      </c>
      <c r="AN209" s="8">
        <v>3</v>
      </c>
      <c r="AO209" s="8">
        <v>3903</v>
      </c>
      <c r="AP209" s="8">
        <v>3824803.53</v>
      </c>
      <c r="AQ209" s="24">
        <v>4440596.8983300002</v>
      </c>
      <c r="AR209" s="8">
        <v>9232674.4100000001</v>
      </c>
      <c r="AS209" s="37">
        <v>10719134.990010001</v>
      </c>
      <c r="AT209" s="8" t="s">
        <v>73</v>
      </c>
      <c r="AU209" s="8" t="s">
        <v>348</v>
      </c>
      <c r="AV209" s="8">
        <v>64.599999999999994</v>
      </c>
      <c r="AW209" s="8">
        <v>60</v>
      </c>
      <c r="AX209" s="8" t="s">
        <v>332</v>
      </c>
      <c r="AY209" s="8" t="s">
        <v>224</v>
      </c>
      <c r="AZ209" s="8" t="s">
        <v>357</v>
      </c>
      <c r="BA209" s="21">
        <f>IF(OR(tblsales[[#This Row],[Invoice Value USD]]="",tblsales[[#This Row],[Collected Amount USD]]=""),"",tblsales[[#This Row],[Invoice Value USD]]-tblsales[[#This Row],[Collected Amount USD]])</f>
        <v>5461614.2111400012</v>
      </c>
      <c r="BB209" s="21">
        <f>IF(OR(tblsales[[#This Row],[Contract Value USD]]="",tblsales[[#This Row],[Cost Estimate USD]]=""),"",tblsales[[#This Row],[Contract Value USD]]-tblsales[[#This Row],[Cost Estimate USD]])</f>
        <v>6183070.8031800017</v>
      </c>
      <c r="BC209" s="21">
        <f>IF(OR(tblsales[[#This Row],[Contract Value USD]]="",tblsales[[#This Row],[Cost Estimate USD]]=""),"",tblsales[[#This Row],[Contract Value USD]]-tblsales[[#This Row],[Cost Estimate USD]])</f>
        <v>6183070.8031800017</v>
      </c>
      <c r="BD209" s="23">
        <f>IF(tblsales[[#This Row],[Invoice Value USD]]="","",tblsales[[#This Row],[Collected Amount USD]]/tblsales[[#This Row],[Invoice Value USD]])</f>
        <v>0.64287083001653555</v>
      </c>
      <c r="BE209" s="11">
        <f>IF(tblsales[[#This Row],[SalesStage]]="Won",1,0)</f>
        <v>0</v>
      </c>
      <c r="BF209" s="21" t="str">
        <f>IF(tblsales[[#This Row],[Win Flag]]=1,"Won","Lost")</f>
        <v>Lost</v>
      </c>
      <c r="BG209" s="8"/>
    </row>
    <row r="210" spans="1:59" x14ac:dyDescent="0.3">
      <c r="A210" s="10" t="s">
        <v>959</v>
      </c>
      <c r="B210" s="9">
        <v>45956</v>
      </c>
      <c r="C210" s="10" t="s">
        <v>227</v>
      </c>
      <c r="D210" s="10" t="s">
        <v>202</v>
      </c>
      <c r="E210" s="10" t="s">
        <v>41</v>
      </c>
      <c r="F210" s="10" t="s">
        <v>228</v>
      </c>
      <c r="G210" s="10" t="s">
        <v>46</v>
      </c>
      <c r="H210" s="10" t="s">
        <v>236</v>
      </c>
      <c r="I210" s="10" t="s">
        <v>213</v>
      </c>
      <c r="J210" s="10" t="s">
        <v>130</v>
      </c>
      <c r="K210" s="10" t="s">
        <v>221</v>
      </c>
      <c r="L210" s="10" t="s">
        <v>960</v>
      </c>
      <c r="M210" s="9">
        <v>45918</v>
      </c>
      <c r="N210" s="9"/>
      <c r="O210" s="9">
        <v>46001</v>
      </c>
      <c r="P210" s="11">
        <v>32</v>
      </c>
      <c r="Q210" s="12">
        <v>20531071</v>
      </c>
      <c r="R210">
        <v>20531071</v>
      </c>
      <c r="S210" s="22">
        <v>0.06</v>
      </c>
      <c r="T210" s="22">
        <v>-0.05</v>
      </c>
      <c r="U210" s="12">
        <v>18334246.399999999</v>
      </c>
      <c r="V210" s="24">
        <v>18334246.399999999</v>
      </c>
      <c r="W210" s="8">
        <v>14513223.970000001</v>
      </c>
      <c r="X210" s="24">
        <v>14513223.970000001</v>
      </c>
      <c r="Y210" s="22"/>
      <c r="Z210" s="22">
        <v>0.16</v>
      </c>
      <c r="AA210" s="8" t="s">
        <v>961</v>
      </c>
      <c r="AB210" s="8">
        <v>6591849.5800000001</v>
      </c>
      <c r="AC210" s="24">
        <v>6591849.5800000001</v>
      </c>
      <c r="AD210" s="8">
        <v>4659602.13</v>
      </c>
      <c r="AE210" s="24">
        <v>4659602.13</v>
      </c>
      <c r="AF210" s="8">
        <v>120</v>
      </c>
      <c r="AG210" s="8">
        <v>104</v>
      </c>
      <c r="AH210" s="8" t="s">
        <v>347</v>
      </c>
      <c r="AI210" s="8" t="s">
        <v>336</v>
      </c>
      <c r="AJ210" s="22">
        <v>0.5</v>
      </c>
      <c r="AK210" s="8" t="s">
        <v>152</v>
      </c>
      <c r="AL210" s="22">
        <v>0.05</v>
      </c>
      <c r="AM210" s="22">
        <v>0.1</v>
      </c>
      <c r="AN210" s="8">
        <v>4</v>
      </c>
      <c r="AO210" s="8">
        <v>3274</v>
      </c>
      <c r="AP210" s="8">
        <v>4381270.7300000004</v>
      </c>
      <c r="AQ210" s="24">
        <v>4381270.7300000004</v>
      </c>
      <c r="AR210" s="8">
        <v>3824329.9</v>
      </c>
      <c r="AS210" s="37">
        <v>3824329.9</v>
      </c>
      <c r="AT210" s="8" t="s">
        <v>355</v>
      </c>
      <c r="AU210" s="8" t="s">
        <v>332</v>
      </c>
      <c r="AV210" s="8">
        <v>76.2</v>
      </c>
      <c r="AW210" s="8">
        <v>60</v>
      </c>
      <c r="AX210" s="8" t="s">
        <v>387</v>
      </c>
      <c r="AY210" s="8" t="s">
        <v>224</v>
      </c>
      <c r="AZ210" s="8" t="s">
        <v>324</v>
      </c>
      <c r="BA210" s="21">
        <f>IF(OR(tblsales[[#This Row],[Invoice Value USD]]="",tblsales[[#This Row],[Collected Amount USD]]=""),"",tblsales[[#This Row],[Invoice Value USD]]-tblsales[[#This Row],[Collected Amount USD]])</f>
        <v>1932247.4500000002</v>
      </c>
      <c r="BB210" s="21">
        <f>IF(OR(tblsales[[#This Row],[Contract Value USD]]="",tblsales[[#This Row],[Cost Estimate USD]]=""),"",tblsales[[#This Row],[Contract Value USD]]-tblsales[[#This Row],[Cost Estimate USD]])</f>
        <v>3821022.4299999978</v>
      </c>
      <c r="BC210" s="21">
        <f>IF(OR(tblsales[[#This Row],[Contract Value USD]]="",tblsales[[#This Row],[Cost Estimate USD]]=""),"",tblsales[[#This Row],[Contract Value USD]]-tblsales[[#This Row],[Cost Estimate USD]])</f>
        <v>3821022.4299999978</v>
      </c>
      <c r="BD210" s="23">
        <f>IF(tblsales[[#This Row],[Invoice Value USD]]="","",tblsales[[#This Row],[Collected Amount USD]]/tblsales[[#This Row],[Invoice Value USD]])</f>
        <v>0.7068732490707107</v>
      </c>
      <c r="BE210" s="11">
        <f>IF(tblsales[[#This Row],[SalesStage]]="Won",1,0)</f>
        <v>0</v>
      </c>
      <c r="BF210" s="21" t="str">
        <f>IF(tblsales[[#This Row],[Win Flag]]=1,"Won","Lost")</f>
        <v>Lost</v>
      </c>
      <c r="BG210" s="8"/>
    </row>
    <row r="211" spans="1:59" x14ac:dyDescent="0.3">
      <c r="A211" s="10" t="s">
        <v>962</v>
      </c>
      <c r="B211" s="9">
        <v>45789</v>
      </c>
      <c r="C211" s="10" t="s">
        <v>284</v>
      </c>
      <c r="D211" s="10" t="s">
        <v>394</v>
      </c>
      <c r="E211" s="10" t="s">
        <v>41</v>
      </c>
      <c r="F211" s="10" t="s">
        <v>350</v>
      </c>
      <c r="G211" s="10" t="s">
        <v>70</v>
      </c>
      <c r="H211" s="10" t="s">
        <v>212</v>
      </c>
      <c r="I211" s="10" t="s">
        <v>203</v>
      </c>
      <c r="J211" s="10" t="s">
        <v>105</v>
      </c>
      <c r="K211" s="10" t="s">
        <v>210</v>
      </c>
      <c r="L211" s="10" t="s">
        <v>963</v>
      </c>
      <c r="M211" s="9">
        <v>45842</v>
      </c>
      <c r="N211" s="9"/>
      <c r="O211" s="9"/>
      <c r="P211" s="11">
        <v>37</v>
      </c>
      <c r="Q211" s="12">
        <v>49822695</v>
      </c>
      <c r="R211">
        <v>57844148.895000003</v>
      </c>
      <c r="S211" s="22">
        <v>7.0000000000000007E-2</v>
      </c>
      <c r="T211" s="22">
        <v>0.18</v>
      </c>
      <c r="U211" s="12">
        <v>54675425.490000002</v>
      </c>
      <c r="V211" s="24">
        <v>63478168.993890002</v>
      </c>
      <c r="W211" s="8">
        <v>42618845.229999997</v>
      </c>
      <c r="X211" s="24">
        <v>49480479.312029995</v>
      </c>
      <c r="Y211" s="22">
        <v>0.05</v>
      </c>
      <c r="Z211" s="22">
        <v>0.11</v>
      </c>
      <c r="AA211" s="8" t="s">
        <v>964</v>
      </c>
      <c r="AB211" s="8">
        <v>42586372.75</v>
      </c>
      <c r="AC211" s="24">
        <v>49442778.76275</v>
      </c>
      <c r="AD211" s="8">
        <v>20555247.34</v>
      </c>
      <c r="AE211" s="24">
        <v>23864642.161740001</v>
      </c>
      <c r="AF211" s="8">
        <v>90</v>
      </c>
      <c r="AG211" s="8">
        <v>46</v>
      </c>
      <c r="AH211" s="8" t="s">
        <v>376</v>
      </c>
      <c r="AI211" s="8" t="s">
        <v>226</v>
      </c>
      <c r="AJ211" s="22">
        <v>0.09</v>
      </c>
      <c r="AK211" s="8" t="s">
        <v>159</v>
      </c>
      <c r="AL211" s="22">
        <v>0.15</v>
      </c>
      <c r="AM211" s="22">
        <v>0.03</v>
      </c>
      <c r="AN211" s="8">
        <v>8</v>
      </c>
      <c r="AO211" s="8">
        <v>3747</v>
      </c>
      <c r="AP211" s="8">
        <v>4259324.3899999997</v>
      </c>
      <c r="AQ211" s="24">
        <v>4945075.6167899994</v>
      </c>
      <c r="AR211" s="8">
        <v>11388742.460000001</v>
      </c>
      <c r="AS211" s="37">
        <v>13222329.996060001</v>
      </c>
      <c r="AT211" s="8" t="s">
        <v>73</v>
      </c>
      <c r="AU211" s="8" t="s">
        <v>321</v>
      </c>
      <c r="AV211" s="8">
        <v>72.099999999999994</v>
      </c>
      <c r="AW211" s="8">
        <v>36</v>
      </c>
      <c r="AX211" s="8" t="s">
        <v>332</v>
      </c>
      <c r="AY211" s="8" t="s">
        <v>206</v>
      </c>
      <c r="AZ211" s="8" t="s">
        <v>361</v>
      </c>
      <c r="BA211" s="21">
        <f>IF(OR(tblsales[[#This Row],[Invoice Value USD]]="",tblsales[[#This Row],[Collected Amount USD]]=""),"",tblsales[[#This Row],[Invoice Value USD]]-tblsales[[#This Row],[Collected Amount USD]])</f>
        <v>25578136.601009998</v>
      </c>
      <c r="BB211" s="21">
        <f>IF(OR(tblsales[[#This Row],[Contract Value USD]]="",tblsales[[#This Row],[Cost Estimate USD]]=""),"",tblsales[[#This Row],[Contract Value USD]]-tblsales[[#This Row],[Cost Estimate USD]])</f>
        <v>13997689.681860007</v>
      </c>
      <c r="BC211" s="21">
        <f>IF(OR(tblsales[[#This Row],[Contract Value USD]]="",tblsales[[#This Row],[Cost Estimate USD]]=""),"",tblsales[[#This Row],[Contract Value USD]]-tblsales[[#This Row],[Cost Estimate USD]])</f>
        <v>13997689.681860007</v>
      </c>
      <c r="BD211" s="23">
        <f>IF(tblsales[[#This Row],[Invoice Value USD]]="","",tblsales[[#This Row],[Collected Amount USD]]/tblsales[[#This Row],[Invoice Value USD]])</f>
        <v>0.48267194439564004</v>
      </c>
      <c r="BE211" s="11">
        <f>IF(tblsales[[#This Row],[SalesStage]]="Won",1,0)</f>
        <v>0</v>
      </c>
      <c r="BF211" s="21" t="str">
        <f>IF(tblsales[[#This Row],[Win Flag]]=1,"Won","Lost")</f>
        <v>Lost</v>
      </c>
      <c r="BG211" s="8"/>
    </row>
    <row r="212" spans="1:59" x14ac:dyDescent="0.3">
      <c r="A212" s="10" t="s">
        <v>965</v>
      </c>
      <c r="B212" s="9">
        <v>45785</v>
      </c>
      <c r="C212" s="10" t="s">
        <v>230</v>
      </c>
      <c r="D212" s="10" t="s">
        <v>209</v>
      </c>
      <c r="E212" s="10" t="s">
        <v>113</v>
      </c>
      <c r="F212" s="10" t="s">
        <v>181</v>
      </c>
      <c r="G212" s="10" t="s">
        <v>50</v>
      </c>
      <c r="H212" s="10" t="s">
        <v>216</v>
      </c>
      <c r="I212" s="10" t="s">
        <v>240</v>
      </c>
      <c r="J212" s="10" t="s">
        <v>127</v>
      </c>
      <c r="K212" s="10" t="s">
        <v>333</v>
      </c>
      <c r="L212" s="10" t="s">
        <v>966</v>
      </c>
      <c r="M212" s="9">
        <v>45762</v>
      </c>
      <c r="N212" s="9">
        <v>45798</v>
      </c>
      <c r="O212" s="9">
        <v>45664</v>
      </c>
      <c r="P212" s="11">
        <v>57</v>
      </c>
      <c r="Q212" s="12">
        <v>23093671</v>
      </c>
      <c r="R212">
        <v>23093671</v>
      </c>
      <c r="S212" s="22">
        <v>0.1</v>
      </c>
      <c r="T212" s="22">
        <v>0.09</v>
      </c>
      <c r="U212" s="12">
        <v>22654891.25</v>
      </c>
      <c r="V212" s="24">
        <v>22654891.25</v>
      </c>
      <c r="W212" s="8">
        <v>18096211.120000001</v>
      </c>
      <c r="X212" s="24">
        <v>18096211.120000001</v>
      </c>
      <c r="Y212" s="22">
        <v>0.23</v>
      </c>
      <c r="Z212" s="22">
        <v>0.12</v>
      </c>
      <c r="AA212" s="8" t="s">
        <v>967</v>
      </c>
      <c r="AB212" s="8">
        <v>7079277.7800000003</v>
      </c>
      <c r="AC212" s="24">
        <v>7079277.7800000003</v>
      </c>
      <c r="AD212" s="8">
        <v>4615937.17</v>
      </c>
      <c r="AE212" s="24">
        <v>4615937.17</v>
      </c>
      <c r="AF212" s="8">
        <v>45</v>
      </c>
      <c r="AG212" s="8">
        <v>125</v>
      </c>
      <c r="AH212" s="8" t="s">
        <v>342</v>
      </c>
      <c r="AI212" s="8" t="s">
        <v>455</v>
      </c>
      <c r="AJ212" s="22">
        <v>0.06</v>
      </c>
      <c r="AK212" s="8" t="s">
        <v>152</v>
      </c>
      <c r="AL212" s="22">
        <v>0.15</v>
      </c>
      <c r="AM212" s="22">
        <v>0.05</v>
      </c>
      <c r="AN212" s="8">
        <v>5</v>
      </c>
      <c r="AO212" s="8">
        <v>2497</v>
      </c>
      <c r="AP212" s="8">
        <v>2048759.96</v>
      </c>
      <c r="AQ212" s="24">
        <v>2048759.96</v>
      </c>
      <c r="AR212" s="8">
        <v>9779947</v>
      </c>
      <c r="AS212" s="37">
        <v>9779947</v>
      </c>
      <c r="AT212" s="8" t="s">
        <v>355</v>
      </c>
      <c r="AU212" s="8" t="s">
        <v>348</v>
      </c>
      <c r="AV212" s="8">
        <v>89</v>
      </c>
      <c r="AW212" s="8">
        <v>36</v>
      </c>
      <c r="AX212" s="8" t="s">
        <v>323</v>
      </c>
      <c r="AY212" s="8" t="s">
        <v>229</v>
      </c>
      <c r="AZ212" s="8" t="s">
        <v>332</v>
      </c>
      <c r="BA212" s="21">
        <f>IF(OR(tblsales[[#This Row],[Invoice Value USD]]="",tblsales[[#This Row],[Collected Amount USD]]=""),"",tblsales[[#This Row],[Invoice Value USD]]-tblsales[[#This Row],[Collected Amount USD]])</f>
        <v>2463340.6100000003</v>
      </c>
      <c r="BB212" s="21">
        <f>IF(OR(tblsales[[#This Row],[Contract Value USD]]="",tblsales[[#This Row],[Cost Estimate USD]]=""),"",tblsales[[#This Row],[Contract Value USD]]-tblsales[[#This Row],[Cost Estimate USD]])</f>
        <v>4558680.129999999</v>
      </c>
      <c r="BC212" s="21">
        <f>IF(OR(tblsales[[#This Row],[Contract Value USD]]="",tblsales[[#This Row],[Cost Estimate USD]]=""),"",tblsales[[#This Row],[Contract Value USD]]-tblsales[[#This Row],[Cost Estimate USD]])</f>
        <v>4558680.129999999</v>
      </c>
      <c r="BD212" s="23">
        <f>IF(tblsales[[#This Row],[Invoice Value USD]]="","",tblsales[[#This Row],[Collected Amount USD]]/tblsales[[#This Row],[Invoice Value USD]])</f>
        <v>0.65203503993595235</v>
      </c>
      <c r="BE212" s="11">
        <f>IF(tblsales[[#This Row],[SalesStage]]="Won",1,0)</f>
        <v>0</v>
      </c>
      <c r="BF212" s="21" t="str">
        <f>IF(tblsales[[#This Row],[Win Flag]]=1,"Won","Lost")</f>
        <v>Lost</v>
      </c>
      <c r="BG212" s="8"/>
    </row>
    <row r="213" spans="1:59" x14ac:dyDescent="0.3">
      <c r="A213" s="10" t="s">
        <v>968</v>
      </c>
      <c r="B213" s="9">
        <v>45664</v>
      </c>
      <c r="C213" s="10" t="s">
        <v>239</v>
      </c>
      <c r="D213" s="10" t="s">
        <v>242</v>
      </c>
      <c r="E213" s="10" t="s">
        <v>36</v>
      </c>
      <c r="F213" s="10" t="s">
        <v>19</v>
      </c>
      <c r="G213" s="10" t="s">
        <v>73</v>
      </c>
      <c r="H213" s="10" t="s">
        <v>182</v>
      </c>
      <c r="I213" s="10" t="s">
        <v>213</v>
      </c>
      <c r="J213" s="10" t="s">
        <v>115</v>
      </c>
      <c r="K213" s="10" t="s">
        <v>333</v>
      </c>
      <c r="L213" s="10" t="s">
        <v>969</v>
      </c>
      <c r="M213" s="9">
        <v>45824</v>
      </c>
      <c r="N213" s="9" t="s">
        <v>970</v>
      </c>
      <c r="O213" s="9">
        <v>45946</v>
      </c>
      <c r="P213" s="11"/>
      <c r="Q213" s="12">
        <v>43538415</v>
      </c>
      <c r="R213">
        <v>11855510.4045</v>
      </c>
      <c r="S213" s="22">
        <v>0.28000000000000003</v>
      </c>
      <c r="T213" s="22">
        <v>0.19</v>
      </c>
      <c r="U213" s="12">
        <v>37303713.969999999</v>
      </c>
      <c r="V213" s="24">
        <v>10157801.314030999</v>
      </c>
      <c r="W213" s="8">
        <v>26217332.91</v>
      </c>
      <c r="X213" s="24">
        <v>7138979.7513929997</v>
      </c>
      <c r="Y213" s="22">
        <v>0.2</v>
      </c>
      <c r="Z213" s="22">
        <v>0.09</v>
      </c>
      <c r="AA213" s="8" t="s">
        <v>971</v>
      </c>
      <c r="AB213" s="8">
        <v>26186883.02</v>
      </c>
      <c r="AC213" s="24">
        <v>7130688.2463459997</v>
      </c>
      <c r="AD213" s="8">
        <v>8264153.4100000001</v>
      </c>
      <c r="AE213" s="24">
        <v>2250328.9735429999</v>
      </c>
      <c r="AF213" s="8">
        <v>45</v>
      </c>
      <c r="AG213" s="8">
        <v>54</v>
      </c>
      <c r="AH213" s="8" t="s">
        <v>332</v>
      </c>
      <c r="AI213" s="8" t="s">
        <v>336</v>
      </c>
      <c r="AJ213" s="22">
        <v>0.67</v>
      </c>
      <c r="AK213" s="8" t="s">
        <v>153</v>
      </c>
      <c r="AL213" s="22">
        <v>0.1</v>
      </c>
      <c r="AM213" s="22">
        <v>0.04</v>
      </c>
      <c r="AN213" s="8">
        <v>11</v>
      </c>
      <c r="AO213" s="8">
        <v>1242</v>
      </c>
      <c r="AP213" s="8">
        <v>5671666.6600000001</v>
      </c>
      <c r="AQ213" s="24">
        <v>1544394.831518</v>
      </c>
      <c r="AR213" s="8">
        <v>10269879.539999999</v>
      </c>
      <c r="AS213" s="37">
        <v>2796488.1987419995</v>
      </c>
      <c r="AT213" s="8" t="s">
        <v>332</v>
      </c>
      <c r="AU213" s="8" t="s">
        <v>330</v>
      </c>
      <c r="AV213" s="8">
        <v>87.5</v>
      </c>
      <c r="AW213" s="8">
        <v>60</v>
      </c>
      <c r="AX213" s="8" t="s">
        <v>337</v>
      </c>
      <c r="AY213" s="8" t="s">
        <v>192</v>
      </c>
      <c r="AZ213" s="8" t="s">
        <v>188</v>
      </c>
      <c r="BA213" s="21">
        <f>IF(OR(tblsales[[#This Row],[Invoice Value USD]]="",tblsales[[#This Row],[Collected Amount USD]]=""),"",tblsales[[#This Row],[Invoice Value USD]]-tblsales[[#This Row],[Collected Amount USD]])</f>
        <v>4880359.2728029992</v>
      </c>
      <c r="BB213" s="21">
        <f>IF(OR(tblsales[[#This Row],[Contract Value USD]]="",tblsales[[#This Row],[Cost Estimate USD]]=""),"",tblsales[[#This Row],[Contract Value USD]]-tblsales[[#This Row],[Cost Estimate USD]])</f>
        <v>3018821.5626379997</v>
      </c>
      <c r="BC213" s="21">
        <f>IF(OR(tblsales[[#This Row],[Contract Value USD]]="",tblsales[[#This Row],[Cost Estimate USD]]=""),"",tblsales[[#This Row],[Contract Value USD]]-tblsales[[#This Row],[Cost Estimate USD]])</f>
        <v>3018821.5626379997</v>
      </c>
      <c r="BD213" s="23">
        <f>IF(tblsales[[#This Row],[Invoice Value USD]]="","",tblsales[[#This Row],[Collected Amount USD]]/tblsales[[#This Row],[Invoice Value USD]])</f>
        <v>0.31558369904842537</v>
      </c>
      <c r="BE213" s="11">
        <f>IF(tblsales[[#This Row],[SalesStage]]="Won",1,0)</f>
        <v>0</v>
      </c>
      <c r="BF213" s="21" t="str">
        <f>IF(tblsales[[#This Row],[Win Flag]]=1,"Won","Lost")</f>
        <v>Lost</v>
      </c>
      <c r="BG213" s="8"/>
    </row>
    <row r="214" spans="1:59" x14ac:dyDescent="0.3">
      <c r="A214" s="10" t="s">
        <v>972</v>
      </c>
      <c r="B214" s="9">
        <v>46060</v>
      </c>
      <c r="C214" s="10" t="s">
        <v>254</v>
      </c>
      <c r="D214" s="10" t="s">
        <v>248</v>
      </c>
      <c r="E214" s="10" t="s">
        <v>20</v>
      </c>
      <c r="F214" s="10" t="s">
        <v>35</v>
      </c>
      <c r="G214" s="10" t="s">
        <v>70</v>
      </c>
      <c r="H214" s="10" t="s">
        <v>212</v>
      </c>
      <c r="I214" s="10" t="s">
        <v>240</v>
      </c>
      <c r="J214" s="10" t="s">
        <v>136</v>
      </c>
      <c r="K214" s="10" t="s">
        <v>223</v>
      </c>
      <c r="L214" s="10" t="s">
        <v>973</v>
      </c>
      <c r="M214" s="9">
        <v>46048</v>
      </c>
      <c r="N214" s="9">
        <v>46092</v>
      </c>
      <c r="O214" s="9">
        <v>46300</v>
      </c>
      <c r="P214" s="11">
        <v>43</v>
      </c>
      <c r="Q214" s="12">
        <v>47125961</v>
      </c>
      <c r="R214">
        <v>12832399.180299999</v>
      </c>
      <c r="S214" s="22">
        <v>0.25</v>
      </c>
      <c r="T214" s="22">
        <v>0.03</v>
      </c>
      <c r="U214" s="12">
        <v>36404804.869999997</v>
      </c>
      <c r="V214" s="24">
        <v>9913028.3661009986</v>
      </c>
      <c r="W214" s="8">
        <v>22668025.91</v>
      </c>
      <c r="X214" s="24">
        <v>6172503.4552929997</v>
      </c>
      <c r="Y214" s="22">
        <v>0.25</v>
      </c>
      <c r="Z214" s="22">
        <v>7.0000000000000007E-2</v>
      </c>
      <c r="AA214" s="8" t="s">
        <v>974</v>
      </c>
      <c r="AB214" s="8">
        <v>28228952.969999999</v>
      </c>
      <c r="AC214" s="24">
        <v>7686743.893730999</v>
      </c>
      <c r="AD214" s="8">
        <v>28908785.100000001</v>
      </c>
      <c r="AE214" s="24">
        <v>7871862.1827300005</v>
      </c>
      <c r="AF214" s="8">
        <v>90</v>
      </c>
      <c r="AG214" s="8">
        <v>55</v>
      </c>
      <c r="AH214" s="8" t="s">
        <v>332</v>
      </c>
      <c r="AI214" s="8" t="s">
        <v>354</v>
      </c>
      <c r="AJ214" s="22">
        <v>0.22</v>
      </c>
      <c r="AK214" s="8" t="s">
        <v>153</v>
      </c>
      <c r="AL214" s="22">
        <v>0.1</v>
      </c>
      <c r="AM214" s="22">
        <v>0.03</v>
      </c>
      <c r="AN214" s="8">
        <v>11</v>
      </c>
      <c r="AO214" s="8">
        <v>1573</v>
      </c>
      <c r="AP214" s="8">
        <v>7151233.0199999996</v>
      </c>
      <c r="AQ214" s="24">
        <v>1947280.7513459998</v>
      </c>
      <c r="AR214" s="8">
        <v>7672165.7300000004</v>
      </c>
      <c r="AS214" s="37">
        <v>2089130.7282789999</v>
      </c>
      <c r="AT214" s="8" t="s">
        <v>391</v>
      </c>
      <c r="AU214" s="8" t="s">
        <v>322</v>
      </c>
      <c r="AV214" s="8">
        <v>92.3</v>
      </c>
      <c r="AW214" s="8">
        <v>24</v>
      </c>
      <c r="AX214" s="8" t="s">
        <v>332</v>
      </c>
      <c r="AY214" s="8" t="s">
        <v>206</v>
      </c>
      <c r="AZ214" s="8" t="s">
        <v>324</v>
      </c>
      <c r="BA214" s="21">
        <f>IF(OR(tblsales[[#This Row],[Invoice Value USD]]="",tblsales[[#This Row],[Collected Amount USD]]=""),"",tblsales[[#This Row],[Invoice Value USD]]-tblsales[[#This Row],[Collected Amount USD]])</f>
        <v>-185118.2889990015</v>
      </c>
      <c r="BB214" s="21">
        <f>IF(OR(tblsales[[#This Row],[Contract Value USD]]="",tblsales[[#This Row],[Cost Estimate USD]]=""),"",tblsales[[#This Row],[Contract Value USD]]-tblsales[[#This Row],[Cost Estimate USD]])</f>
        <v>3740524.9108079989</v>
      </c>
      <c r="BC214" s="21">
        <f>IF(OR(tblsales[[#This Row],[Contract Value USD]]="",tblsales[[#This Row],[Cost Estimate USD]]=""),"",tblsales[[#This Row],[Contract Value USD]]-tblsales[[#This Row],[Cost Estimate USD]])</f>
        <v>3740524.9108079989</v>
      </c>
      <c r="BD214" s="23">
        <f>IF(tblsales[[#This Row],[Invoice Value USD]]="","",tblsales[[#This Row],[Collected Amount USD]]/tblsales[[#This Row],[Invoice Value USD]])</f>
        <v>1.0240827965076313</v>
      </c>
      <c r="BE214" s="11">
        <f>IF(tblsales[[#This Row],[SalesStage]]="Won",1,0)</f>
        <v>0</v>
      </c>
      <c r="BF214" s="21" t="str">
        <f>IF(tblsales[[#This Row],[Win Flag]]=1,"Won","Lost")</f>
        <v>Lost</v>
      </c>
      <c r="BG214" s="8"/>
    </row>
    <row r="215" spans="1:59" x14ac:dyDescent="0.3">
      <c r="A215" s="10" t="s">
        <v>975</v>
      </c>
      <c r="B215" s="9">
        <v>46114</v>
      </c>
      <c r="C215" s="10" t="s">
        <v>285</v>
      </c>
      <c r="D215" s="10" t="s">
        <v>220</v>
      </c>
      <c r="E215" s="10" t="s">
        <v>41</v>
      </c>
      <c r="F215" s="10" t="s">
        <v>228</v>
      </c>
      <c r="G215" s="10" t="s">
        <v>38</v>
      </c>
      <c r="H215" s="10" t="s">
        <v>212</v>
      </c>
      <c r="I215" s="10" t="s">
        <v>183</v>
      </c>
      <c r="J215" s="10" t="s">
        <v>130</v>
      </c>
      <c r="K215" s="10" t="s">
        <v>221</v>
      </c>
      <c r="L215" s="10" t="s">
        <v>976</v>
      </c>
      <c r="M215" s="9">
        <v>46029</v>
      </c>
      <c r="N215" s="9">
        <v>46297</v>
      </c>
      <c r="O215" s="9">
        <v>46329</v>
      </c>
      <c r="P215" s="11">
        <v>7</v>
      </c>
      <c r="Q215" s="12">
        <v>46678670</v>
      </c>
      <c r="R215">
        <v>12710601.841</v>
      </c>
      <c r="S215" s="22">
        <v>0.26</v>
      </c>
      <c r="T215" s="22">
        <v>0.19</v>
      </c>
      <c r="U215" s="12">
        <v>41105236.799999997</v>
      </c>
      <c r="V215" s="24">
        <v>11192955.980639998</v>
      </c>
      <c r="W215" s="8">
        <v>28551733.440000001</v>
      </c>
      <c r="X215" s="24">
        <v>7774637.0157120004</v>
      </c>
      <c r="Y215" s="22">
        <v>0.12</v>
      </c>
      <c r="Z215" s="22">
        <v>0.1</v>
      </c>
      <c r="AA215" s="8"/>
      <c r="AB215" s="8">
        <v>33130304.309999999</v>
      </c>
      <c r="AC215" s="24">
        <v>9021381.8636129983</v>
      </c>
      <c r="AD215" s="8">
        <v>20579645.710000001</v>
      </c>
      <c r="AE215" s="24">
        <v>5603837.5268329997</v>
      </c>
      <c r="AF215" s="8">
        <v>60</v>
      </c>
      <c r="AG215" s="8">
        <v>2</v>
      </c>
      <c r="AH215" s="8" t="s">
        <v>342</v>
      </c>
      <c r="AI215" s="8" t="s">
        <v>336</v>
      </c>
      <c r="AJ215" s="22">
        <v>0.64</v>
      </c>
      <c r="AK215" s="8" t="s">
        <v>153</v>
      </c>
      <c r="AL215" s="22">
        <v>0.1</v>
      </c>
      <c r="AM215" s="22">
        <v>0.01</v>
      </c>
      <c r="AN215" s="8">
        <v>7</v>
      </c>
      <c r="AO215" s="8">
        <v>3611</v>
      </c>
      <c r="AP215" s="8">
        <v>9784820.0500000007</v>
      </c>
      <c r="AQ215" s="24">
        <v>2664406.4996150001</v>
      </c>
      <c r="AR215" s="8"/>
      <c r="AS215" s="37"/>
      <c r="AT215" s="8" t="s">
        <v>321</v>
      </c>
      <c r="AU215" s="8" t="s">
        <v>330</v>
      </c>
      <c r="AV215" s="8">
        <v>61.6</v>
      </c>
      <c r="AW215" s="8">
        <v>24</v>
      </c>
      <c r="AX215" s="8" t="s">
        <v>387</v>
      </c>
      <c r="AY215" s="8" t="s">
        <v>229</v>
      </c>
      <c r="AZ215" s="8" t="s">
        <v>377</v>
      </c>
      <c r="BA215" s="21">
        <f>IF(OR(tblsales[[#This Row],[Invoice Value USD]]="",tblsales[[#This Row],[Collected Amount USD]]=""),"",tblsales[[#This Row],[Invoice Value USD]]-tblsales[[#This Row],[Collected Amount USD]])</f>
        <v>3417544.3367799986</v>
      </c>
      <c r="BB215" s="21">
        <f>IF(OR(tblsales[[#This Row],[Contract Value USD]]="",tblsales[[#This Row],[Cost Estimate USD]]=""),"",tblsales[[#This Row],[Contract Value USD]]-tblsales[[#This Row],[Cost Estimate USD]])</f>
        <v>3418318.9649279974</v>
      </c>
      <c r="BC215" s="21">
        <f>IF(OR(tblsales[[#This Row],[Contract Value USD]]="",tblsales[[#This Row],[Cost Estimate USD]]=""),"",tblsales[[#This Row],[Contract Value USD]]-tblsales[[#This Row],[Cost Estimate USD]])</f>
        <v>3418318.9649279974</v>
      </c>
      <c r="BD215" s="23">
        <f>IF(tblsales[[#This Row],[Invoice Value USD]]="","",tblsales[[#This Row],[Collected Amount USD]]/tblsales[[#This Row],[Invoice Value USD]])</f>
        <v>0.62117285484118767</v>
      </c>
      <c r="BE215" s="11">
        <f>IF(tblsales[[#This Row],[SalesStage]]="Won",1,0)</f>
        <v>0</v>
      </c>
      <c r="BF215" s="21" t="str">
        <f>IF(tblsales[[#This Row],[Win Flag]]=1,"Won","Lost")</f>
        <v>Lost</v>
      </c>
      <c r="BG215" s="8"/>
    </row>
    <row r="216" spans="1:59" x14ac:dyDescent="0.3">
      <c r="A216" s="10" t="s">
        <v>977</v>
      </c>
      <c r="B216" s="9">
        <v>45960</v>
      </c>
      <c r="C216" s="10" t="s">
        <v>189</v>
      </c>
      <c r="D216" s="10" t="s">
        <v>242</v>
      </c>
      <c r="E216" s="10" t="s">
        <v>41</v>
      </c>
      <c r="F216" s="10" t="s">
        <v>228</v>
      </c>
      <c r="G216" s="10" t="s">
        <v>50</v>
      </c>
      <c r="H216" s="10" t="s">
        <v>216</v>
      </c>
      <c r="I216" s="10" t="s">
        <v>183</v>
      </c>
      <c r="J216" s="10" t="s">
        <v>105</v>
      </c>
      <c r="K216" s="10" t="s">
        <v>199</v>
      </c>
      <c r="L216" s="10" t="s">
        <v>978</v>
      </c>
      <c r="M216" s="9">
        <v>46001</v>
      </c>
      <c r="N216" s="9">
        <v>45942</v>
      </c>
      <c r="O216" s="9">
        <v>46079</v>
      </c>
      <c r="P216" s="11">
        <v>54</v>
      </c>
      <c r="Q216" s="12"/>
      <c r="S216" s="22">
        <v>0.04</v>
      </c>
      <c r="T216" s="22">
        <v>-0.01</v>
      </c>
      <c r="U216" s="12">
        <v>8140246.3300000001</v>
      </c>
      <c r="V216" s="24">
        <v>8140246.3300000001</v>
      </c>
      <c r="W216" s="8">
        <v>6035247.3099999996</v>
      </c>
      <c r="X216" s="24">
        <v>6035247.3099999996</v>
      </c>
      <c r="Y216" s="22">
        <v>0.15</v>
      </c>
      <c r="Z216" s="22">
        <v>0.15</v>
      </c>
      <c r="AA216" s="8" t="s">
        <v>979</v>
      </c>
      <c r="AB216" s="8">
        <v>6726210.0800000001</v>
      </c>
      <c r="AC216" s="24">
        <v>6726210.0800000001</v>
      </c>
      <c r="AD216" s="8">
        <v>5916473.0700000003</v>
      </c>
      <c r="AE216" s="24">
        <v>5916473.0700000003</v>
      </c>
      <c r="AF216" s="8">
        <v>30</v>
      </c>
      <c r="AG216" s="8">
        <v>42</v>
      </c>
      <c r="AH216" s="8" t="s">
        <v>332</v>
      </c>
      <c r="AI216" s="8" t="s">
        <v>354</v>
      </c>
      <c r="AJ216" s="22">
        <v>0.76</v>
      </c>
      <c r="AK216" s="8" t="s">
        <v>152</v>
      </c>
      <c r="AL216" s="22">
        <v>0.05</v>
      </c>
      <c r="AM216" s="22">
        <v>0.09</v>
      </c>
      <c r="AN216" s="8">
        <v>11</v>
      </c>
      <c r="AO216" s="8"/>
      <c r="AP216" s="8">
        <v>425333.44</v>
      </c>
      <c r="AQ216" s="24">
        <v>425333.44</v>
      </c>
      <c r="AR216" s="8">
        <v>940982.56</v>
      </c>
      <c r="AS216" s="37">
        <v>940982.56</v>
      </c>
      <c r="AT216" s="8" t="s">
        <v>73</v>
      </c>
      <c r="AU216" s="8" t="s">
        <v>386</v>
      </c>
      <c r="AV216" s="8"/>
      <c r="AW216" s="8">
        <v>24</v>
      </c>
      <c r="AX216" s="8" t="s">
        <v>332</v>
      </c>
      <c r="AY216" s="8" t="s">
        <v>224</v>
      </c>
      <c r="AZ216" s="8" t="s">
        <v>377</v>
      </c>
      <c r="BA216" s="21">
        <f>IF(OR(tblsales[[#This Row],[Invoice Value USD]]="",tblsales[[#This Row],[Collected Amount USD]]=""),"",tblsales[[#This Row],[Invoice Value USD]]-tblsales[[#This Row],[Collected Amount USD]])</f>
        <v>809737.00999999978</v>
      </c>
      <c r="BB216" s="21">
        <f>IF(OR(tblsales[[#This Row],[Contract Value USD]]="",tblsales[[#This Row],[Cost Estimate USD]]=""),"",tblsales[[#This Row],[Contract Value USD]]-tblsales[[#This Row],[Cost Estimate USD]])</f>
        <v>2104999.0200000005</v>
      </c>
      <c r="BC216" s="21">
        <f>IF(OR(tblsales[[#This Row],[Contract Value USD]]="",tblsales[[#This Row],[Cost Estimate USD]]=""),"",tblsales[[#This Row],[Contract Value USD]]-tblsales[[#This Row],[Cost Estimate USD]])</f>
        <v>2104999.0200000005</v>
      </c>
      <c r="BD216" s="23">
        <f>IF(tblsales[[#This Row],[Invoice Value USD]]="","",tblsales[[#This Row],[Collected Amount USD]]/tblsales[[#This Row],[Invoice Value USD]])</f>
        <v>0.87961467150606754</v>
      </c>
      <c r="BE216" s="11">
        <f>IF(tblsales[[#This Row],[SalesStage]]="Won",1,0)</f>
        <v>0</v>
      </c>
      <c r="BF216" s="21" t="str">
        <f>IF(tblsales[[#This Row],[Win Flag]]=1,"Won","Lost")</f>
        <v>Lost</v>
      </c>
      <c r="BG216" s="8"/>
    </row>
    <row r="217" spans="1:59" x14ac:dyDescent="0.3">
      <c r="A217" s="10" t="s">
        <v>5781</v>
      </c>
      <c r="B217" s="9">
        <v>45747</v>
      </c>
      <c r="C217" s="10" t="s">
        <v>222</v>
      </c>
      <c r="D217" s="10" t="s">
        <v>332</v>
      </c>
      <c r="E217" s="10" t="s">
        <v>332</v>
      </c>
      <c r="F217" s="10" t="s">
        <v>339</v>
      </c>
      <c r="G217" s="10" t="s">
        <v>46</v>
      </c>
      <c r="H217" s="10" t="s">
        <v>182</v>
      </c>
      <c r="I217" s="10" t="s">
        <v>240</v>
      </c>
      <c r="J217" s="10" t="s">
        <v>130</v>
      </c>
      <c r="K217" s="10" t="s">
        <v>204</v>
      </c>
      <c r="L217" s="10" t="s">
        <v>3672</v>
      </c>
      <c r="M217" s="9">
        <v>45903</v>
      </c>
      <c r="N217" s="9">
        <v>45761</v>
      </c>
      <c r="O217" s="9">
        <v>45874</v>
      </c>
      <c r="P217" s="11">
        <v>32</v>
      </c>
      <c r="Q217" s="12">
        <v>35002635</v>
      </c>
      <c r="R217">
        <v>9531217.5104999989</v>
      </c>
      <c r="S217" s="22">
        <v>0.34</v>
      </c>
      <c r="T217" s="22">
        <v>0.14000000000000001</v>
      </c>
      <c r="U217" s="12">
        <v>26335982.57</v>
      </c>
      <c r="V217" s="24">
        <v>7171288.0538109997</v>
      </c>
      <c r="W217" s="8">
        <v>22565779.350000001</v>
      </c>
      <c r="X217" s="24">
        <v>6144661.7170050004</v>
      </c>
      <c r="Y217" s="22">
        <v>0.1</v>
      </c>
      <c r="Z217" s="22">
        <v>0.14000000000000001</v>
      </c>
      <c r="AA217" s="8" t="s">
        <v>3674</v>
      </c>
      <c r="AB217" s="8">
        <v>19456279.23</v>
      </c>
      <c r="AC217" s="24">
        <v>5297944.8343289997</v>
      </c>
      <c r="AD217" s="8">
        <v>8663720.6999999993</v>
      </c>
      <c r="AE217" s="24">
        <v>2359131.1466099997</v>
      </c>
      <c r="AF217" s="8">
        <v>30</v>
      </c>
      <c r="AG217" s="8">
        <v>42</v>
      </c>
      <c r="AH217" s="8" t="s">
        <v>329</v>
      </c>
      <c r="AI217" s="8" t="s">
        <v>336</v>
      </c>
      <c r="AJ217" s="22">
        <v>0.08</v>
      </c>
      <c r="AK217" s="8" t="s">
        <v>153</v>
      </c>
      <c r="AL217" s="22">
        <v>0.05</v>
      </c>
      <c r="AM217" s="22">
        <v>0.04</v>
      </c>
      <c r="AN217" s="8">
        <v>11</v>
      </c>
      <c r="AO217" s="8">
        <v>4433</v>
      </c>
      <c r="AP217" s="8">
        <v>4243522.18</v>
      </c>
      <c r="AQ217" s="24">
        <v>1155511.0896139999</v>
      </c>
      <c r="AR217" s="8">
        <v>7666824.2699999996</v>
      </c>
      <c r="AS217" s="37">
        <v>2087676.2487209998</v>
      </c>
      <c r="AT217" s="8" t="s">
        <v>355</v>
      </c>
      <c r="AU217" s="8" t="s">
        <v>356</v>
      </c>
      <c r="AV217" s="8"/>
      <c r="AW217" s="8">
        <v>60</v>
      </c>
      <c r="AX217" s="8" t="s">
        <v>392</v>
      </c>
      <c r="AY217" s="8" t="s">
        <v>192</v>
      </c>
      <c r="AZ217" s="8" t="s">
        <v>332</v>
      </c>
      <c r="BA217" s="21">
        <f>IF(OR(tblsales[[#This Row],[Invoice Value USD]]="",tblsales[[#This Row],[Collected Amount USD]]=""),"",tblsales[[#This Row],[Invoice Value USD]]-tblsales[[#This Row],[Collected Amount USD]])</f>
        <v>2938813.687719</v>
      </c>
      <c r="BB217" s="21">
        <f>IF(OR(tblsales[[#This Row],[Contract Value USD]]="",tblsales[[#This Row],[Cost Estimate USD]]=""),"",tblsales[[#This Row],[Contract Value USD]]-tblsales[[#This Row],[Cost Estimate USD]])</f>
        <v>1026626.3368059993</v>
      </c>
      <c r="BC217" s="21">
        <f>IF(OR(tblsales[[#This Row],[Contract Value USD]]="",tblsales[[#This Row],[Cost Estimate USD]]=""),"",tblsales[[#This Row],[Contract Value USD]]-tblsales[[#This Row],[Cost Estimate USD]])</f>
        <v>1026626.3368059993</v>
      </c>
      <c r="BD217" s="23">
        <f>IF(tblsales[[#This Row],[Invoice Value USD]]="","",tblsales[[#This Row],[Collected Amount USD]]/tblsales[[#This Row],[Invoice Value USD]])</f>
        <v>0.44529175376149244</v>
      </c>
      <c r="BE217" s="11">
        <f>IF(tblsales[[#This Row],[SalesStage]]="Won",1,0)</f>
        <v>0</v>
      </c>
      <c r="BF217" s="21" t="str">
        <f>IF(tblsales[[#This Row],[Win Flag]]=1,"Won","Lost")</f>
        <v>Lost</v>
      </c>
      <c r="BG217" s="8"/>
    </row>
    <row r="218" spans="1:59" x14ac:dyDescent="0.3">
      <c r="A218" s="10" t="s">
        <v>980</v>
      </c>
      <c r="B218" s="9">
        <v>46038</v>
      </c>
      <c r="C218" s="10" t="s">
        <v>283</v>
      </c>
      <c r="D218" s="10" t="s">
        <v>394</v>
      </c>
      <c r="E218" s="10" t="s">
        <v>36</v>
      </c>
      <c r="F218" s="10" t="s">
        <v>339</v>
      </c>
      <c r="G218" s="10" t="s">
        <v>57</v>
      </c>
      <c r="H218" s="10" t="s">
        <v>263</v>
      </c>
      <c r="I218" s="10" t="s">
        <v>240</v>
      </c>
      <c r="J218" s="10" t="s">
        <v>115</v>
      </c>
      <c r="K218" s="10" t="s">
        <v>221</v>
      </c>
      <c r="L218" s="10" t="s">
        <v>981</v>
      </c>
      <c r="M218" s="9">
        <v>46005</v>
      </c>
      <c r="N218" s="9"/>
      <c r="O218" s="9"/>
      <c r="P218" s="11">
        <v>13</v>
      </c>
      <c r="Q218" s="12">
        <v>6561194</v>
      </c>
      <c r="R218">
        <v>7617546.2340000002</v>
      </c>
      <c r="S218" s="22">
        <v>0.25</v>
      </c>
      <c r="T218" s="22">
        <v>0.02</v>
      </c>
      <c r="U218" s="12">
        <v>5019313.41</v>
      </c>
      <c r="V218" s="24">
        <v>5827422.8690100005</v>
      </c>
      <c r="W218" s="8">
        <v>3029224.67</v>
      </c>
      <c r="X218" s="24">
        <v>3516929.8418700001</v>
      </c>
      <c r="Y218" s="22">
        <v>0.35</v>
      </c>
      <c r="Z218" s="22">
        <v>0.08</v>
      </c>
      <c r="AA218" s="8" t="s">
        <v>982</v>
      </c>
      <c r="AB218" s="8">
        <v>2874873.85</v>
      </c>
      <c r="AC218" s="24">
        <v>3337728.5398500003</v>
      </c>
      <c r="AD218" s="8">
        <v>1436928.17</v>
      </c>
      <c r="AE218" s="24">
        <v>1668273.60537</v>
      </c>
      <c r="AF218" s="8">
        <v>60</v>
      </c>
      <c r="AG218" s="8">
        <v>48</v>
      </c>
      <c r="AH218" s="8" t="s">
        <v>353</v>
      </c>
      <c r="AI218" s="8" t="s">
        <v>381</v>
      </c>
      <c r="AJ218" s="22">
        <v>0.74</v>
      </c>
      <c r="AK218" s="8" t="s">
        <v>159</v>
      </c>
      <c r="AL218" s="22">
        <v>0.1</v>
      </c>
      <c r="AM218" s="22">
        <v>0.04</v>
      </c>
      <c r="AN218" s="8">
        <v>14</v>
      </c>
      <c r="AO218" s="8">
        <v>4481</v>
      </c>
      <c r="AP218" s="8">
        <v>960399.94</v>
      </c>
      <c r="AQ218" s="24">
        <v>1115024.3303399999</v>
      </c>
      <c r="AR218" s="8">
        <v>1534887.79</v>
      </c>
      <c r="AS218" s="37">
        <v>1782004.72419</v>
      </c>
      <c r="AT218" s="8" t="s">
        <v>391</v>
      </c>
      <c r="AU218" s="8" t="s">
        <v>332</v>
      </c>
      <c r="AV218" s="8">
        <v>78.900000000000006</v>
      </c>
      <c r="AW218" s="8">
        <v>24</v>
      </c>
      <c r="AX218" s="8" t="s">
        <v>332</v>
      </c>
      <c r="AY218" s="8" t="s">
        <v>186</v>
      </c>
      <c r="AZ218" s="8" t="s">
        <v>377</v>
      </c>
      <c r="BA218" s="21">
        <f>IF(OR(tblsales[[#This Row],[Invoice Value USD]]="",tblsales[[#This Row],[Collected Amount USD]]=""),"",tblsales[[#This Row],[Invoice Value USD]]-tblsales[[#This Row],[Collected Amount USD]])</f>
        <v>1669454.9344800003</v>
      </c>
      <c r="BB218" s="21">
        <f>IF(OR(tblsales[[#This Row],[Contract Value USD]]="",tblsales[[#This Row],[Cost Estimate USD]]=""),"",tblsales[[#This Row],[Contract Value USD]]-tblsales[[#This Row],[Cost Estimate USD]])</f>
        <v>2310493.0271400004</v>
      </c>
      <c r="BC218" s="21">
        <f>IF(OR(tblsales[[#This Row],[Contract Value USD]]="",tblsales[[#This Row],[Cost Estimate USD]]=""),"",tblsales[[#This Row],[Contract Value USD]]-tblsales[[#This Row],[Cost Estimate USD]])</f>
        <v>2310493.0271400004</v>
      </c>
      <c r="BD218" s="23">
        <f>IF(tblsales[[#This Row],[Invoice Value USD]]="","",tblsales[[#This Row],[Collected Amount USD]]/tblsales[[#This Row],[Invoice Value USD]])</f>
        <v>0.49982303397416894</v>
      </c>
      <c r="BE218" s="11">
        <f>IF(tblsales[[#This Row],[SalesStage]]="Won",1,0)</f>
        <v>0</v>
      </c>
      <c r="BF218" s="21" t="str">
        <f>IF(tblsales[[#This Row],[Win Flag]]=1,"Won","Lost")</f>
        <v>Lost</v>
      </c>
      <c r="BG218" s="8"/>
    </row>
    <row r="219" spans="1:59" x14ac:dyDescent="0.3">
      <c r="A219" s="10" t="s">
        <v>983</v>
      </c>
      <c r="B219" s="9">
        <v>46048</v>
      </c>
      <c r="C219" s="10" t="s">
        <v>266</v>
      </c>
      <c r="D219" s="10" t="s">
        <v>238</v>
      </c>
      <c r="E219" s="10" t="s">
        <v>113</v>
      </c>
      <c r="F219" s="10" t="s">
        <v>367</v>
      </c>
      <c r="G219" s="10" t="s">
        <v>28</v>
      </c>
      <c r="H219" s="10" t="s">
        <v>212</v>
      </c>
      <c r="I219" s="10" t="s">
        <v>213</v>
      </c>
      <c r="J219" s="10" t="s">
        <v>111</v>
      </c>
      <c r="K219" s="10" t="s">
        <v>221</v>
      </c>
      <c r="L219" s="10" t="s">
        <v>984</v>
      </c>
      <c r="M219" s="9">
        <v>46036</v>
      </c>
      <c r="N219" s="9">
        <v>46070</v>
      </c>
      <c r="O219" s="9">
        <v>46086</v>
      </c>
      <c r="P219" s="11">
        <v>26</v>
      </c>
      <c r="Q219" s="12">
        <v>35034394</v>
      </c>
      <c r="R219">
        <v>9623948.0318</v>
      </c>
      <c r="S219" s="22">
        <v>0.1</v>
      </c>
      <c r="T219" s="22">
        <v>0.15</v>
      </c>
      <c r="U219" s="12">
        <v>36260597.789999999</v>
      </c>
      <c r="V219" s="24">
        <v>9960786.2129129991</v>
      </c>
      <c r="W219" s="8">
        <v>29302494.539999999</v>
      </c>
      <c r="X219" s="24">
        <v>8049395.2501379997</v>
      </c>
      <c r="Y219" s="22">
        <v>0.11</v>
      </c>
      <c r="Z219" s="22">
        <v>7.0000000000000007E-2</v>
      </c>
      <c r="AA219" s="8" t="s">
        <v>985</v>
      </c>
      <c r="AB219" s="8">
        <v>14958850.59</v>
      </c>
      <c r="AC219" s="24">
        <v>4109196.2570730001</v>
      </c>
      <c r="AD219" s="8">
        <v>4791786.4400000004</v>
      </c>
      <c r="AE219" s="24">
        <v>1316303.7350680002</v>
      </c>
      <c r="AF219" s="8">
        <v>120</v>
      </c>
      <c r="AG219" s="8">
        <v>33</v>
      </c>
      <c r="AH219" s="8" t="s">
        <v>342</v>
      </c>
      <c r="AI219" s="8" t="s">
        <v>406</v>
      </c>
      <c r="AJ219" s="22">
        <v>0.14000000000000001</v>
      </c>
      <c r="AK219" s="8" t="s">
        <v>155</v>
      </c>
      <c r="AL219" s="22">
        <v>0.1</v>
      </c>
      <c r="AM219" s="22">
        <v>0.08</v>
      </c>
      <c r="AN219" s="8">
        <v>3</v>
      </c>
      <c r="AO219" s="8">
        <v>1255</v>
      </c>
      <c r="AP219" s="8">
        <v>8690940.25</v>
      </c>
      <c r="AQ219" s="24">
        <v>2387401.2866750001</v>
      </c>
      <c r="AR219" s="8">
        <v>6558760.7000000002</v>
      </c>
      <c r="AS219" s="37">
        <v>1801691.5642900001</v>
      </c>
      <c r="AT219" s="8" t="s">
        <v>332</v>
      </c>
      <c r="AU219" s="8" t="s">
        <v>356</v>
      </c>
      <c r="AV219" s="8">
        <v>81.7</v>
      </c>
      <c r="AW219" s="8"/>
      <c r="AX219" s="8" t="s">
        <v>387</v>
      </c>
      <c r="AY219" s="8" t="s">
        <v>224</v>
      </c>
      <c r="AZ219" s="8" t="s">
        <v>377</v>
      </c>
      <c r="BA219" s="21">
        <f>IF(OR(tblsales[[#This Row],[Invoice Value USD]]="",tblsales[[#This Row],[Collected Amount USD]]=""),"",tblsales[[#This Row],[Invoice Value USD]]-tblsales[[#This Row],[Collected Amount USD]])</f>
        <v>2792892.5220050002</v>
      </c>
      <c r="BB219" s="21">
        <f>IF(OR(tblsales[[#This Row],[Contract Value USD]]="",tblsales[[#This Row],[Cost Estimate USD]]=""),"",tblsales[[#This Row],[Contract Value USD]]-tblsales[[#This Row],[Cost Estimate USD]])</f>
        <v>1911390.9627749994</v>
      </c>
      <c r="BC219" s="21">
        <f>IF(OR(tblsales[[#This Row],[Contract Value USD]]="",tblsales[[#This Row],[Cost Estimate USD]]=""),"",tblsales[[#This Row],[Contract Value USD]]-tblsales[[#This Row],[Cost Estimate USD]])</f>
        <v>1911390.9627749994</v>
      </c>
      <c r="BD219" s="23">
        <f>IF(tblsales[[#This Row],[Invoice Value USD]]="","",tblsales[[#This Row],[Collected Amount USD]]/tblsales[[#This Row],[Invoice Value USD]])</f>
        <v>0.32033119197027826</v>
      </c>
      <c r="BE219" s="11">
        <f>IF(tblsales[[#This Row],[SalesStage]]="Won",1,0)</f>
        <v>0</v>
      </c>
      <c r="BF219" s="21" t="str">
        <f>IF(tblsales[[#This Row],[Win Flag]]=1,"Won","Lost")</f>
        <v>Lost</v>
      </c>
      <c r="BG219" s="8"/>
    </row>
    <row r="220" spans="1:59" x14ac:dyDescent="0.3">
      <c r="A220" s="10" t="s">
        <v>986</v>
      </c>
      <c r="B220" s="9">
        <v>46027</v>
      </c>
      <c r="C220" s="10" t="s">
        <v>271</v>
      </c>
      <c r="D220" s="10" t="s">
        <v>245</v>
      </c>
      <c r="E220" s="10" t="s">
        <v>36</v>
      </c>
      <c r="F220" s="10" t="s">
        <v>339</v>
      </c>
      <c r="G220" s="10" t="s">
        <v>28</v>
      </c>
      <c r="H220" s="10" t="s">
        <v>332</v>
      </c>
      <c r="I220" s="10" t="s">
        <v>240</v>
      </c>
      <c r="J220" s="10" t="s">
        <v>115</v>
      </c>
      <c r="K220" s="10" t="s">
        <v>326</v>
      </c>
      <c r="L220" s="10" t="s">
        <v>987</v>
      </c>
      <c r="M220" s="9">
        <v>45973</v>
      </c>
      <c r="N220" s="9"/>
      <c r="O220" s="9"/>
      <c r="P220" s="11">
        <v>23</v>
      </c>
      <c r="Q220" s="12">
        <v>20332203</v>
      </c>
      <c r="R220">
        <v>5422598.5400999999</v>
      </c>
      <c r="S220" s="22">
        <v>0.01</v>
      </c>
      <c r="T220" s="22">
        <v>0.01</v>
      </c>
      <c r="U220" s="12">
        <v>20330169.780000001</v>
      </c>
      <c r="V220" s="24">
        <v>5422056.2803260004</v>
      </c>
      <c r="W220" s="8"/>
      <c r="X220" s="24"/>
      <c r="Y220" s="22">
        <v>0.16</v>
      </c>
      <c r="Z220" s="22">
        <v>7.0000000000000007E-2</v>
      </c>
      <c r="AA220" s="8" t="s">
        <v>988</v>
      </c>
      <c r="AB220" s="8">
        <v>10620354.07</v>
      </c>
      <c r="AC220" s="24">
        <v>2832448.4304689998</v>
      </c>
      <c r="AD220" s="8">
        <v>5833593.54</v>
      </c>
      <c r="AE220" s="24">
        <v>1555819.3971180001</v>
      </c>
      <c r="AF220" s="8">
        <v>120</v>
      </c>
      <c r="AG220" s="8">
        <v>153</v>
      </c>
      <c r="AH220" s="8" t="s">
        <v>342</v>
      </c>
      <c r="AI220" s="8" t="s">
        <v>354</v>
      </c>
      <c r="AJ220" s="22">
        <v>0.95</v>
      </c>
      <c r="AK220" s="8" t="s">
        <v>162</v>
      </c>
      <c r="AL220" s="22">
        <v>0.05</v>
      </c>
      <c r="AM220" s="22">
        <v>0.08</v>
      </c>
      <c r="AN220" s="8">
        <v>4</v>
      </c>
      <c r="AO220" s="8">
        <v>3732</v>
      </c>
      <c r="AP220" s="8">
        <v>4522490.6399999997</v>
      </c>
      <c r="AQ220" s="24">
        <v>1206148.2536879999</v>
      </c>
      <c r="AR220" s="8">
        <v>7888161.3200000003</v>
      </c>
      <c r="AS220" s="37">
        <v>2103772.6240440002</v>
      </c>
      <c r="AT220" s="8" t="s">
        <v>332</v>
      </c>
      <c r="AU220" s="8" t="s">
        <v>356</v>
      </c>
      <c r="AV220" s="8">
        <v>61.6</v>
      </c>
      <c r="AW220" s="8">
        <v>12</v>
      </c>
      <c r="AX220" s="8" t="s">
        <v>323</v>
      </c>
      <c r="AY220" s="8" t="s">
        <v>206</v>
      </c>
      <c r="AZ220" s="8" t="s">
        <v>188</v>
      </c>
      <c r="BA220" s="21">
        <f>IF(OR(tblsales[[#This Row],[Invoice Value USD]]="",tblsales[[#This Row],[Collected Amount USD]]=""),"",tblsales[[#This Row],[Invoice Value USD]]-tblsales[[#This Row],[Collected Amount USD]])</f>
        <v>1276629.0333509997</v>
      </c>
      <c r="BB220" s="21" t="str">
        <f>IF(OR(tblsales[[#This Row],[Contract Value USD]]="",tblsales[[#This Row],[Cost Estimate USD]]=""),"",tblsales[[#This Row],[Contract Value USD]]-tblsales[[#This Row],[Cost Estimate USD]])</f>
        <v/>
      </c>
      <c r="BC220" s="21" t="str">
        <f>IF(OR(tblsales[[#This Row],[Contract Value USD]]="",tblsales[[#This Row],[Cost Estimate USD]]=""),"",tblsales[[#This Row],[Contract Value USD]]-tblsales[[#This Row],[Cost Estimate USD]])</f>
        <v/>
      </c>
      <c r="BD220" s="23">
        <f>IF(tblsales[[#This Row],[Invoice Value USD]]="","",tblsales[[#This Row],[Collected Amount USD]]/tblsales[[#This Row],[Invoice Value USD]])</f>
        <v>0.54928428012381703</v>
      </c>
      <c r="BE220" s="11">
        <f>IF(tblsales[[#This Row],[SalesStage]]="Won",1,0)</f>
        <v>0</v>
      </c>
      <c r="BF220" s="21" t="str">
        <f>IF(tblsales[[#This Row],[Win Flag]]=1,"Won","Lost")</f>
        <v>Lost</v>
      </c>
      <c r="BG220" s="8"/>
    </row>
    <row r="221" spans="1:59" x14ac:dyDescent="0.3">
      <c r="A221" s="10" t="s">
        <v>989</v>
      </c>
      <c r="B221" s="9">
        <v>45744</v>
      </c>
      <c r="C221" s="10" t="s">
        <v>282</v>
      </c>
      <c r="D221" s="10" t="s">
        <v>180</v>
      </c>
      <c r="E221" s="10" t="s">
        <v>113</v>
      </c>
      <c r="F221" s="10" t="s">
        <v>367</v>
      </c>
      <c r="G221" s="10" t="s">
        <v>66</v>
      </c>
      <c r="H221" s="10" t="s">
        <v>182</v>
      </c>
      <c r="I221" s="10" t="s">
        <v>332</v>
      </c>
      <c r="J221" s="10" t="s">
        <v>123</v>
      </c>
      <c r="K221" s="10" t="s">
        <v>199</v>
      </c>
      <c r="L221" s="10" t="s">
        <v>990</v>
      </c>
      <c r="M221" s="9">
        <v>45659</v>
      </c>
      <c r="N221" s="9"/>
      <c r="O221" s="9">
        <v>45836</v>
      </c>
      <c r="P221" s="11">
        <v>17</v>
      </c>
      <c r="Q221" s="12">
        <v>47831232</v>
      </c>
      <c r="R221">
        <v>47831232</v>
      </c>
      <c r="S221" s="22">
        <v>0.25</v>
      </c>
      <c r="T221" s="22">
        <v>0.15</v>
      </c>
      <c r="U221" s="12">
        <v>41254437.600000001</v>
      </c>
      <c r="V221" s="24">
        <v>41254437.600000001</v>
      </c>
      <c r="W221" s="8">
        <v>32990701.23</v>
      </c>
      <c r="X221" s="24">
        <v>32990701.23</v>
      </c>
      <c r="Y221" s="22">
        <v>0.32</v>
      </c>
      <c r="Z221" s="22">
        <v>0.16</v>
      </c>
      <c r="AA221" s="8" t="s">
        <v>991</v>
      </c>
      <c r="AB221" s="8">
        <v>28659070.129999999</v>
      </c>
      <c r="AC221" s="24">
        <v>28659070.129999999</v>
      </c>
      <c r="AD221" s="8">
        <v>13747948.859999999</v>
      </c>
      <c r="AE221" s="24">
        <v>13747948.859999999</v>
      </c>
      <c r="AF221" s="8">
        <v>30</v>
      </c>
      <c r="AG221" s="8">
        <v>23</v>
      </c>
      <c r="AH221" s="8" t="s">
        <v>376</v>
      </c>
      <c r="AI221" s="8" t="s">
        <v>354</v>
      </c>
      <c r="AJ221" s="22">
        <v>0.99</v>
      </c>
      <c r="AK221" s="8" t="s">
        <v>152</v>
      </c>
      <c r="AL221" s="22">
        <v>0.15</v>
      </c>
      <c r="AM221" s="22">
        <v>0.1</v>
      </c>
      <c r="AN221" s="8">
        <v>11</v>
      </c>
      <c r="AO221" s="8">
        <v>3144</v>
      </c>
      <c r="AP221" s="8"/>
      <c r="AQ221" s="24"/>
      <c r="AR221" s="8">
        <v>17957324.82</v>
      </c>
      <c r="AS221" s="37">
        <v>17957324.82</v>
      </c>
      <c r="AT221" s="8" t="s">
        <v>332</v>
      </c>
      <c r="AU221" s="8" t="s">
        <v>348</v>
      </c>
      <c r="AV221" s="8">
        <v>78.3</v>
      </c>
      <c r="AW221" s="8">
        <v>12</v>
      </c>
      <c r="AX221" s="8" t="s">
        <v>337</v>
      </c>
      <c r="AY221" s="8" t="s">
        <v>229</v>
      </c>
      <c r="AZ221" s="8" t="s">
        <v>324</v>
      </c>
      <c r="BA221" s="21">
        <f>IF(OR(tblsales[[#This Row],[Invoice Value USD]]="",tblsales[[#This Row],[Collected Amount USD]]=""),"",tblsales[[#This Row],[Invoice Value USD]]-tblsales[[#This Row],[Collected Amount USD]])</f>
        <v>14911121.27</v>
      </c>
      <c r="BB221" s="21">
        <f>IF(OR(tblsales[[#This Row],[Contract Value USD]]="",tblsales[[#This Row],[Cost Estimate USD]]=""),"",tblsales[[#This Row],[Contract Value USD]]-tblsales[[#This Row],[Cost Estimate USD]])</f>
        <v>8263736.370000001</v>
      </c>
      <c r="BC221" s="21">
        <f>IF(OR(tblsales[[#This Row],[Contract Value USD]]="",tblsales[[#This Row],[Cost Estimate USD]]=""),"",tblsales[[#This Row],[Contract Value USD]]-tblsales[[#This Row],[Cost Estimate USD]])</f>
        <v>8263736.370000001</v>
      </c>
      <c r="BD221" s="23">
        <f>IF(tblsales[[#This Row],[Invoice Value USD]]="","",tblsales[[#This Row],[Collected Amount USD]]/tblsales[[#This Row],[Invoice Value USD]])</f>
        <v>0.47970673150378307</v>
      </c>
      <c r="BE221" s="11">
        <f>IF(tblsales[[#This Row],[SalesStage]]="Won",1,0)</f>
        <v>0</v>
      </c>
      <c r="BF221" s="21" t="str">
        <f>IF(tblsales[[#This Row],[Win Flag]]=1,"Won","Lost")</f>
        <v>Lost</v>
      </c>
      <c r="BG221" s="8"/>
    </row>
    <row r="222" spans="1:59" x14ac:dyDescent="0.3">
      <c r="A222" s="10" t="s">
        <v>992</v>
      </c>
      <c r="B222" s="9">
        <v>46082</v>
      </c>
      <c r="C222" s="10" t="s">
        <v>282</v>
      </c>
      <c r="D222" s="10" t="s">
        <v>265</v>
      </c>
      <c r="E222" s="10" t="s">
        <v>36</v>
      </c>
      <c r="F222" s="10" t="s">
        <v>339</v>
      </c>
      <c r="G222" s="10" t="s">
        <v>33</v>
      </c>
      <c r="H222" s="10" t="s">
        <v>263</v>
      </c>
      <c r="I222" s="10" t="s">
        <v>191</v>
      </c>
      <c r="J222" s="10" t="s">
        <v>115</v>
      </c>
      <c r="K222" s="10" t="s">
        <v>221</v>
      </c>
      <c r="L222" s="10" t="s">
        <v>993</v>
      </c>
      <c r="M222" s="9">
        <v>45980</v>
      </c>
      <c r="N222" s="9" t="s">
        <v>526</v>
      </c>
      <c r="O222" s="9">
        <v>46136</v>
      </c>
      <c r="P222" s="11">
        <v>13</v>
      </c>
      <c r="Q222" s="12">
        <v>2875289</v>
      </c>
      <c r="R222">
        <v>782941.19469999999</v>
      </c>
      <c r="S222" s="22">
        <v>0.13</v>
      </c>
      <c r="T222" s="22">
        <v>0.15</v>
      </c>
      <c r="U222" s="12">
        <v>2876726.64</v>
      </c>
      <c r="V222" s="24">
        <v>783332.66407199996</v>
      </c>
      <c r="W222" s="8">
        <v>2391257.94</v>
      </c>
      <c r="X222" s="24">
        <v>651139.5370619999</v>
      </c>
      <c r="Y222" s="22">
        <v>0.16</v>
      </c>
      <c r="Z222" s="22">
        <v>0.11</v>
      </c>
      <c r="AA222" s="8" t="s">
        <v>994</v>
      </c>
      <c r="AB222" s="8">
        <v>2227731.58</v>
      </c>
      <c r="AC222" s="24">
        <v>606611.30923400004</v>
      </c>
      <c r="AD222" s="8">
        <v>1690126.35</v>
      </c>
      <c r="AE222" s="24">
        <v>460221.40510500001</v>
      </c>
      <c r="AF222" s="8">
        <v>120</v>
      </c>
      <c r="AG222" s="8">
        <v>10</v>
      </c>
      <c r="AH222" s="8" t="s">
        <v>332</v>
      </c>
      <c r="AI222" s="8" t="s">
        <v>226</v>
      </c>
      <c r="AJ222" s="22">
        <v>0.93</v>
      </c>
      <c r="AK222" s="8" t="s">
        <v>153</v>
      </c>
      <c r="AL222" s="22">
        <v>0.15</v>
      </c>
      <c r="AM222" s="22">
        <v>0.08</v>
      </c>
      <c r="AN222" s="8">
        <v>13</v>
      </c>
      <c r="AO222" s="8">
        <v>4419</v>
      </c>
      <c r="AP222" s="8">
        <v>610827.44999999995</v>
      </c>
      <c r="AQ222" s="24">
        <v>166328.31463499999</v>
      </c>
      <c r="AR222" s="8">
        <v>1241230.58</v>
      </c>
      <c r="AS222" s="37">
        <v>337987.08693400002</v>
      </c>
      <c r="AT222" s="8" t="s">
        <v>355</v>
      </c>
      <c r="AU222" s="8" t="s">
        <v>386</v>
      </c>
      <c r="AV222" s="8">
        <v>58.6</v>
      </c>
      <c r="AW222" s="8">
        <v>12</v>
      </c>
      <c r="AX222" s="8" t="s">
        <v>387</v>
      </c>
      <c r="AY222" s="8" t="s">
        <v>229</v>
      </c>
      <c r="AZ222" s="8" t="s">
        <v>188</v>
      </c>
      <c r="BA222" s="21">
        <f>IF(OR(tblsales[[#This Row],[Invoice Value USD]]="",tblsales[[#This Row],[Collected Amount USD]]=""),"",tblsales[[#This Row],[Invoice Value USD]]-tblsales[[#This Row],[Collected Amount USD]])</f>
        <v>146389.90412900003</v>
      </c>
      <c r="BB222" s="21">
        <f>IF(OR(tblsales[[#This Row],[Contract Value USD]]="",tblsales[[#This Row],[Cost Estimate USD]]=""),"",tblsales[[#This Row],[Contract Value USD]]-tblsales[[#This Row],[Cost Estimate USD]])</f>
        <v>132193.12701000005</v>
      </c>
      <c r="BC222" s="21">
        <f>IF(OR(tblsales[[#This Row],[Contract Value USD]]="",tblsales[[#This Row],[Cost Estimate USD]]=""),"",tblsales[[#This Row],[Contract Value USD]]-tblsales[[#This Row],[Cost Estimate USD]])</f>
        <v>132193.12701000005</v>
      </c>
      <c r="BD222" s="23">
        <f>IF(tblsales[[#This Row],[Invoice Value USD]]="","",tblsales[[#This Row],[Collected Amount USD]]/tblsales[[#This Row],[Invoice Value USD]])</f>
        <v>0.75867593976469994</v>
      </c>
      <c r="BE222" s="11">
        <f>IF(tblsales[[#This Row],[SalesStage]]="Won",1,0)</f>
        <v>0</v>
      </c>
      <c r="BF222" s="21" t="str">
        <f>IF(tblsales[[#This Row],[Win Flag]]=1,"Won","Lost")</f>
        <v>Lost</v>
      </c>
      <c r="BG222" s="8"/>
    </row>
    <row r="223" spans="1:59" x14ac:dyDescent="0.3">
      <c r="A223" s="10" t="s">
        <v>995</v>
      </c>
      <c r="B223" s="9">
        <v>45761</v>
      </c>
      <c r="C223" s="10" t="s">
        <v>273</v>
      </c>
      <c r="D223" s="10" t="s">
        <v>245</v>
      </c>
      <c r="E223" s="10" t="s">
        <v>41</v>
      </c>
      <c r="F223" s="10" t="s">
        <v>363</v>
      </c>
      <c r="G223" s="10" t="s">
        <v>57</v>
      </c>
      <c r="H223" s="10" t="s">
        <v>332</v>
      </c>
      <c r="I223" s="10" t="s">
        <v>203</v>
      </c>
      <c r="J223" s="10" t="s">
        <v>130</v>
      </c>
      <c r="K223" s="10" t="s">
        <v>326</v>
      </c>
      <c r="L223" s="10" t="s">
        <v>996</v>
      </c>
      <c r="M223" s="9">
        <v>45691</v>
      </c>
      <c r="N223" s="9">
        <v>45795</v>
      </c>
      <c r="O223" s="9">
        <v>45695</v>
      </c>
      <c r="P223" s="11">
        <v>50</v>
      </c>
      <c r="Q223" s="12">
        <v>17962400</v>
      </c>
      <c r="R223">
        <v>4891161.5199999996</v>
      </c>
      <c r="S223" s="22">
        <v>0.3</v>
      </c>
      <c r="T223" s="22">
        <v>7.0000000000000007E-2</v>
      </c>
      <c r="U223" s="12">
        <v>13453837.6</v>
      </c>
      <c r="V223" s="24">
        <v>3663479.9784799996</v>
      </c>
      <c r="W223" s="8">
        <v>11654189.470000001</v>
      </c>
      <c r="X223" s="24">
        <v>3173435.7926810002</v>
      </c>
      <c r="Y223" s="22">
        <v>0.25</v>
      </c>
      <c r="Z223" s="22">
        <v>0.06</v>
      </c>
      <c r="AA223" s="8"/>
      <c r="AB223" s="8">
        <v>4526557.93</v>
      </c>
      <c r="AC223" s="24">
        <v>1232581.7243389999</v>
      </c>
      <c r="AD223" s="8">
        <v>2943237.13</v>
      </c>
      <c r="AE223" s="24">
        <v>801443.47049899993</v>
      </c>
      <c r="AF223" s="8">
        <v>60</v>
      </c>
      <c r="AG223" s="8">
        <v>41</v>
      </c>
      <c r="AH223" s="8" t="s">
        <v>329</v>
      </c>
      <c r="AI223" s="8" t="s">
        <v>354</v>
      </c>
      <c r="AJ223" s="22">
        <v>0.95</v>
      </c>
      <c r="AK223" s="8" t="s">
        <v>153</v>
      </c>
      <c r="AL223" s="22">
        <v>0.1</v>
      </c>
      <c r="AM223" s="22">
        <v>0.01</v>
      </c>
      <c r="AN223" s="8">
        <v>6</v>
      </c>
      <c r="AO223" s="8">
        <v>225</v>
      </c>
      <c r="AP223" s="8">
        <v>2847464.8</v>
      </c>
      <c r="AQ223" s="24">
        <v>775364.66503999988</v>
      </c>
      <c r="AR223" s="8">
        <v>2665752.7400000002</v>
      </c>
      <c r="AS223" s="37">
        <v>725884.47110199998</v>
      </c>
      <c r="AT223" s="8" t="s">
        <v>385</v>
      </c>
      <c r="AU223" s="8" t="s">
        <v>322</v>
      </c>
      <c r="AV223" s="8">
        <v>52</v>
      </c>
      <c r="AW223" s="8">
        <v>24</v>
      </c>
      <c r="AX223" s="8" t="s">
        <v>392</v>
      </c>
      <c r="AY223" s="8" t="s">
        <v>229</v>
      </c>
      <c r="AZ223" s="8" t="s">
        <v>332</v>
      </c>
      <c r="BA223" s="21">
        <f>IF(OR(tblsales[[#This Row],[Invoice Value USD]]="",tblsales[[#This Row],[Collected Amount USD]]=""),"",tblsales[[#This Row],[Invoice Value USD]]-tblsales[[#This Row],[Collected Amount USD]])</f>
        <v>431138.25384000002</v>
      </c>
      <c r="BB223" s="21">
        <f>IF(OR(tblsales[[#This Row],[Contract Value USD]]="",tblsales[[#This Row],[Cost Estimate USD]]=""),"",tblsales[[#This Row],[Contract Value USD]]-tblsales[[#This Row],[Cost Estimate USD]])</f>
        <v>490044.18579899939</v>
      </c>
      <c r="BC223" s="21">
        <f>IF(OR(tblsales[[#This Row],[Contract Value USD]]="",tblsales[[#This Row],[Cost Estimate USD]]=""),"",tblsales[[#This Row],[Contract Value USD]]-tblsales[[#This Row],[Cost Estimate USD]])</f>
        <v>490044.18579899939</v>
      </c>
      <c r="BD223" s="23">
        <f>IF(tblsales[[#This Row],[Invoice Value USD]]="","",tblsales[[#This Row],[Collected Amount USD]]/tblsales[[#This Row],[Invoice Value USD]])</f>
        <v>0.6502152795822056</v>
      </c>
      <c r="BE223" s="11">
        <f>IF(tblsales[[#This Row],[SalesStage]]="Won",1,0)</f>
        <v>0</v>
      </c>
      <c r="BF223" s="21" t="str">
        <f>IF(tblsales[[#This Row],[Win Flag]]=1,"Won","Lost")</f>
        <v>Lost</v>
      </c>
      <c r="BG223" s="8"/>
    </row>
    <row r="224" spans="1:59" x14ac:dyDescent="0.3">
      <c r="A224" s="10" t="s">
        <v>997</v>
      </c>
      <c r="B224" s="9">
        <v>45665</v>
      </c>
      <c r="C224" s="10" t="s">
        <v>244</v>
      </c>
      <c r="D224" s="10" t="s">
        <v>281</v>
      </c>
      <c r="E224" s="10" t="s">
        <v>332</v>
      </c>
      <c r="F224" s="10" t="s">
        <v>75</v>
      </c>
      <c r="G224" s="10" t="s">
        <v>50</v>
      </c>
      <c r="H224" s="10" t="s">
        <v>197</v>
      </c>
      <c r="I224" s="10" t="s">
        <v>213</v>
      </c>
      <c r="J224" s="10" t="s">
        <v>130</v>
      </c>
      <c r="K224" s="10" t="s">
        <v>333</v>
      </c>
      <c r="L224" s="10" t="s">
        <v>998</v>
      </c>
      <c r="M224" s="9">
        <v>45792</v>
      </c>
      <c r="N224" s="9"/>
      <c r="O224" s="9">
        <v>45929</v>
      </c>
      <c r="P224" s="11">
        <v>44</v>
      </c>
      <c r="Q224" s="12">
        <v>37534160</v>
      </c>
      <c r="R224">
        <v>10010360.471999999</v>
      </c>
      <c r="S224" s="22">
        <v>0.2</v>
      </c>
      <c r="T224" s="22">
        <v>0.09</v>
      </c>
      <c r="U224" s="12">
        <v>32729787.52</v>
      </c>
      <c r="V224" s="24">
        <v>8729034.3315839991</v>
      </c>
      <c r="W224" s="8">
        <v>27699980.469999999</v>
      </c>
      <c r="X224" s="24">
        <v>7387584.7913489994</v>
      </c>
      <c r="Y224" s="22">
        <v>0.14000000000000001</v>
      </c>
      <c r="Z224" s="22">
        <v>0.18</v>
      </c>
      <c r="AA224" s="8" t="s">
        <v>999</v>
      </c>
      <c r="AB224" s="8">
        <v>13107462.67</v>
      </c>
      <c r="AC224" s="24">
        <v>3495760.2940889997</v>
      </c>
      <c r="AD224" s="8">
        <v>12823342.949999999</v>
      </c>
      <c r="AE224" s="24">
        <v>3419985.5647649998</v>
      </c>
      <c r="AF224" s="8">
        <v>120</v>
      </c>
      <c r="AG224" s="8">
        <v>103</v>
      </c>
      <c r="AH224" s="8" t="s">
        <v>332</v>
      </c>
      <c r="AI224" s="8" t="s">
        <v>381</v>
      </c>
      <c r="AJ224" s="22">
        <v>0.64</v>
      </c>
      <c r="AK224" s="8" t="s">
        <v>162</v>
      </c>
      <c r="AL224" s="22">
        <v>0.1</v>
      </c>
      <c r="AM224" s="22">
        <v>0.08</v>
      </c>
      <c r="AN224" s="8">
        <v>11</v>
      </c>
      <c r="AO224" s="8"/>
      <c r="AP224" s="8">
        <v>5549788.4900000002</v>
      </c>
      <c r="AQ224" s="24">
        <v>1480128.5902829999</v>
      </c>
      <c r="AR224" s="8">
        <v>9512931.6899999995</v>
      </c>
      <c r="AS224" s="37">
        <v>2537098.8817229997</v>
      </c>
      <c r="AT224" s="8" t="s">
        <v>343</v>
      </c>
      <c r="AU224" s="8" t="s">
        <v>330</v>
      </c>
      <c r="AV224" s="8">
        <v>74.900000000000006</v>
      </c>
      <c r="AW224" s="8">
        <v>12</v>
      </c>
      <c r="AX224" s="8" t="s">
        <v>332</v>
      </c>
      <c r="AY224" s="8" t="s">
        <v>206</v>
      </c>
      <c r="AZ224" s="8" t="s">
        <v>361</v>
      </c>
      <c r="BA224" s="21">
        <f>IF(OR(tblsales[[#This Row],[Invoice Value USD]]="",tblsales[[#This Row],[Collected Amount USD]]=""),"",tblsales[[#This Row],[Invoice Value USD]]-tblsales[[#This Row],[Collected Amount USD]])</f>
        <v>75774.729323999956</v>
      </c>
      <c r="BB224" s="21">
        <f>IF(OR(tblsales[[#This Row],[Contract Value USD]]="",tblsales[[#This Row],[Cost Estimate USD]]=""),"",tblsales[[#This Row],[Contract Value USD]]-tblsales[[#This Row],[Cost Estimate USD]])</f>
        <v>1341449.5402349997</v>
      </c>
      <c r="BC224" s="21">
        <f>IF(OR(tblsales[[#This Row],[Contract Value USD]]="",tblsales[[#This Row],[Cost Estimate USD]]=""),"",tblsales[[#This Row],[Contract Value USD]]-tblsales[[#This Row],[Cost Estimate USD]])</f>
        <v>1341449.5402349997</v>
      </c>
      <c r="BD224" s="23">
        <f>IF(tblsales[[#This Row],[Invoice Value USD]]="","",tblsales[[#This Row],[Collected Amount USD]]/tblsales[[#This Row],[Invoice Value USD]])</f>
        <v>0.97832382001359541</v>
      </c>
      <c r="BE224" s="11">
        <f>IF(tblsales[[#This Row],[SalesStage]]="Won",1,0)</f>
        <v>0</v>
      </c>
      <c r="BF224" s="21" t="str">
        <f>IF(tblsales[[#This Row],[Win Flag]]=1,"Won","Lost")</f>
        <v>Lost</v>
      </c>
      <c r="BG224" s="8"/>
    </row>
    <row r="225" spans="1:59" x14ac:dyDescent="0.3">
      <c r="A225" s="10" t="s">
        <v>1000</v>
      </c>
      <c r="B225" s="9">
        <v>45909</v>
      </c>
      <c r="C225" s="10" t="s">
        <v>280</v>
      </c>
      <c r="D225" s="10" t="s">
        <v>562</v>
      </c>
      <c r="E225" s="10" t="s">
        <v>52</v>
      </c>
      <c r="F225" s="10" t="s">
        <v>75</v>
      </c>
      <c r="G225" s="10" t="s">
        <v>57</v>
      </c>
      <c r="H225" s="10" t="s">
        <v>182</v>
      </c>
      <c r="I225" s="10" t="s">
        <v>191</v>
      </c>
      <c r="J225" s="10" t="s">
        <v>119</v>
      </c>
      <c r="K225" s="10" t="s">
        <v>326</v>
      </c>
      <c r="L225" s="10" t="s">
        <v>1001</v>
      </c>
      <c r="M225" s="9">
        <v>45879</v>
      </c>
      <c r="N225" s="9"/>
      <c r="O225" s="9">
        <v>45961</v>
      </c>
      <c r="P225" s="11"/>
      <c r="Q225" s="12">
        <v>29112513</v>
      </c>
      <c r="R225">
        <v>7927337.2898999993</v>
      </c>
      <c r="S225" s="22">
        <v>0.25</v>
      </c>
      <c r="T225" s="22">
        <v>0.19</v>
      </c>
      <c r="U225" s="12">
        <v>25982917.850000001</v>
      </c>
      <c r="V225" s="24">
        <v>7075148.5305549996</v>
      </c>
      <c r="W225" s="8">
        <v>21269620.07</v>
      </c>
      <c r="X225" s="24">
        <v>5791717.5450609997</v>
      </c>
      <c r="Y225" s="22">
        <v>0.08</v>
      </c>
      <c r="Z225" s="22">
        <v>0.11</v>
      </c>
      <c r="AA225" s="8" t="s">
        <v>1002</v>
      </c>
      <c r="AB225" s="8">
        <v>23079992.07</v>
      </c>
      <c r="AC225" s="24">
        <v>6284681.8406609995</v>
      </c>
      <c r="AD225" s="8">
        <v>10897525.49</v>
      </c>
      <c r="AE225" s="24">
        <v>2967396.1909269998</v>
      </c>
      <c r="AF225" s="8">
        <v>90</v>
      </c>
      <c r="AG225" s="8">
        <v>80</v>
      </c>
      <c r="AH225" s="8" t="s">
        <v>329</v>
      </c>
      <c r="AI225" s="8" t="s">
        <v>406</v>
      </c>
      <c r="AJ225" s="22">
        <v>0.56000000000000005</v>
      </c>
      <c r="AK225" s="8" t="s">
        <v>153</v>
      </c>
      <c r="AL225" s="22">
        <v>0.15</v>
      </c>
      <c r="AM225" s="22">
        <v>0.04</v>
      </c>
      <c r="AN225" s="8">
        <v>7</v>
      </c>
      <c r="AO225" s="8">
        <v>2822</v>
      </c>
      <c r="AP225" s="8">
        <v>2379384.1</v>
      </c>
      <c r="AQ225" s="24">
        <v>647906.29042999994</v>
      </c>
      <c r="AR225" s="8">
        <v>7071104.4500000002</v>
      </c>
      <c r="AS225" s="37">
        <v>1925461.7417349999</v>
      </c>
      <c r="AT225" s="8" t="s">
        <v>385</v>
      </c>
      <c r="AU225" s="8" t="s">
        <v>356</v>
      </c>
      <c r="AV225" s="8">
        <v>69.400000000000006</v>
      </c>
      <c r="AW225" s="8">
        <v>12</v>
      </c>
      <c r="AX225" s="8" t="s">
        <v>392</v>
      </c>
      <c r="AY225" s="8" t="s">
        <v>229</v>
      </c>
      <c r="AZ225" s="8" t="s">
        <v>361</v>
      </c>
      <c r="BA225" s="21">
        <f>IF(OR(tblsales[[#This Row],[Invoice Value USD]]="",tblsales[[#This Row],[Collected Amount USD]]=""),"",tblsales[[#This Row],[Invoice Value USD]]-tblsales[[#This Row],[Collected Amount USD]])</f>
        <v>3317285.6497339997</v>
      </c>
      <c r="BB225" s="21">
        <f>IF(OR(tblsales[[#This Row],[Contract Value USD]]="",tblsales[[#This Row],[Cost Estimate USD]]=""),"",tblsales[[#This Row],[Contract Value USD]]-tblsales[[#This Row],[Cost Estimate USD]])</f>
        <v>1283430.9854939999</v>
      </c>
      <c r="BC225" s="21">
        <f>IF(OR(tblsales[[#This Row],[Contract Value USD]]="",tblsales[[#This Row],[Cost Estimate USD]]=""),"",tblsales[[#This Row],[Contract Value USD]]-tblsales[[#This Row],[Cost Estimate USD]])</f>
        <v>1283430.9854939999</v>
      </c>
      <c r="BD225" s="23">
        <f>IF(tblsales[[#This Row],[Invoice Value USD]]="","",tblsales[[#This Row],[Collected Amount USD]]/tblsales[[#This Row],[Invoice Value USD]])</f>
        <v>0.47216331170949144</v>
      </c>
      <c r="BE225" s="11">
        <f>IF(tblsales[[#This Row],[SalesStage]]="Won",1,0)</f>
        <v>0</v>
      </c>
      <c r="BF225" s="21" t="str">
        <f>IF(tblsales[[#This Row],[Win Flag]]=1,"Won","Lost")</f>
        <v>Lost</v>
      </c>
      <c r="BG225" s="8"/>
    </row>
    <row r="226" spans="1:59" x14ac:dyDescent="0.3">
      <c r="A226" s="10" t="s">
        <v>1003</v>
      </c>
      <c r="B226" s="9">
        <v>46042</v>
      </c>
      <c r="C226" s="10" t="s">
        <v>275</v>
      </c>
      <c r="D226" s="10" t="s">
        <v>220</v>
      </c>
      <c r="E226" s="10" t="s">
        <v>113</v>
      </c>
      <c r="F226" s="10" t="s">
        <v>181</v>
      </c>
      <c r="G226" s="10" t="s">
        <v>38</v>
      </c>
      <c r="H226" s="10" t="s">
        <v>182</v>
      </c>
      <c r="I226" s="10" t="s">
        <v>240</v>
      </c>
      <c r="J226" s="10" t="s">
        <v>111</v>
      </c>
      <c r="K226" s="10" t="s">
        <v>204</v>
      </c>
      <c r="L226" s="10" t="s">
        <v>1004</v>
      </c>
      <c r="M226" s="9">
        <v>45956</v>
      </c>
      <c r="N226" s="9" t="s">
        <v>1005</v>
      </c>
      <c r="O226" s="9">
        <v>46094</v>
      </c>
      <c r="P226" s="11">
        <v>31</v>
      </c>
      <c r="Q226" s="12">
        <v>6510104</v>
      </c>
      <c r="R226">
        <v>1772701.3192</v>
      </c>
      <c r="S226" s="22">
        <v>0.19</v>
      </c>
      <c r="T226" s="22">
        <v>-0.04</v>
      </c>
      <c r="U226" s="12">
        <v>5062256.87</v>
      </c>
      <c r="V226" s="24">
        <v>1378452.5457009999</v>
      </c>
      <c r="W226" s="8"/>
      <c r="X226" s="24"/>
      <c r="Y226" s="22"/>
      <c r="Z226" s="22">
        <v>0.13</v>
      </c>
      <c r="AA226" s="8" t="s">
        <v>1006</v>
      </c>
      <c r="AB226" s="8">
        <v>2861367.36</v>
      </c>
      <c r="AC226" s="24">
        <v>779150.33212799998</v>
      </c>
      <c r="AD226" s="8">
        <v>3106323.58</v>
      </c>
      <c r="AE226" s="24">
        <v>845851.91083399998</v>
      </c>
      <c r="AF226" s="8">
        <v>30</v>
      </c>
      <c r="AG226" s="8">
        <v>175</v>
      </c>
      <c r="AH226" s="8" t="s">
        <v>353</v>
      </c>
      <c r="AI226" s="8" t="s">
        <v>226</v>
      </c>
      <c r="AJ226" s="22">
        <v>0.4</v>
      </c>
      <c r="AK226" s="8" t="s">
        <v>153</v>
      </c>
      <c r="AL226" s="22">
        <v>0.05</v>
      </c>
      <c r="AM226" s="22">
        <v>0.01</v>
      </c>
      <c r="AN226" s="8">
        <v>0</v>
      </c>
      <c r="AO226" s="8">
        <v>1487</v>
      </c>
      <c r="AP226" s="8">
        <v>296135.05</v>
      </c>
      <c r="AQ226" s="24">
        <v>80637.574114999996</v>
      </c>
      <c r="AR226" s="8">
        <v>897355.29</v>
      </c>
      <c r="AS226" s="37">
        <v>244349.84546700001</v>
      </c>
      <c r="AT226" s="8" t="s">
        <v>321</v>
      </c>
      <c r="AU226" s="8" t="s">
        <v>332</v>
      </c>
      <c r="AV226" s="8">
        <v>90.4</v>
      </c>
      <c r="AW226" s="8">
        <v>60</v>
      </c>
      <c r="AX226" s="8" t="s">
        <v>332</v>
      </c>
      <c r="AY226" s="8" t="s">
        <v>229</v>
      </c>
      <c r="AZ226" s="8" t="s">
        <v>332</v>
      </c>
      <c r="BA226" s="21">
        <f>IF(OR(tblsales[[#This Row],[Invoice Value USD]]="",tblsales[[#This Row],[Collected Amount USD]]=""),"",tblsales[[#This Row],[Invoice Value USD]]-tblsales[[#This Row],[Collected Amount USD]])</f>
        <v>-66701.578706</v>
      </c>
      <c r="BB226" s="21" t="str">
        <f>IF(OR(tblsales[[#This Row],[Contract Value USD]]="",tblsales[[#This Row],[Cost Estimate USD]]=""),"",tblsales[[#This Row],[Contract Value USD]]-tblsales[[#This Row],[Cost Estimate USD]])</f>
        <v/>
      </c>
      <c r="BC226" s="21" t="str">
        <f>IF(OR(tblsales[[#This Row],[Contract Value USD]]="",tblsales[[#This Row],[Cost Estimate USD]]=""),"",tblsales[[#This Row],[Contract Value USD]]-tblsales[[#This Row],[Cost Estimate USD]])</f>
        <v/>
      </c>
      <c r="BD226" s="23">
        <f>IF(tblsales[[#This Row],[Invoice Value USD]]="","",tblsales[[#This Row],[Collected Amount USD]]/tblsales[[#This Row],[Invoice Value USD]])</f>
        <v>1.085608098919532</v>
      </c>
      <c r="BE226" s="11">
        <f>IF(tblsales[[#This Row],[SalesStage]]="Won",1,0)</f>
        <v>0</v>
      </c>
      <c r="BF226" s="21" t="str">
        <f>IF(tblsales[[#This Row],[Win Flag]]=1,"Won","Lost")</f>
        <v>Lost</v>
      </c>
      <c r="BG226" s="8"/>
    </row>
    <row r="227" spans="1:59" x14ac:dyDescent="0.3">
      <c r="A227" s="10" t="s">
        <v>1007</v>
      </c>
      <c r="B227" s="9">
        <v>45717</v>
      </c>
      <c r="C227" s="10" t="s">
        <v>267</v>
      </c>
      <c r="D227" s="10" t="s">
        <v>215</v>
      </c>
      <c r="E227" s="10" t="s">
        <v>332</v>
      </c>
      <c r="F227" s="10" t="s">
        <v>350</v>
      </c>
      <c r="G227" s="10" t="s">
        <v>66</v>
      </c>
      <c r="H227" s="10" t="s">
        <v>332</v>
      </c>
      <c r="I227" s="10" t="s">
        <v>240</v>
      </c>
      <c r="J227" s="10" t="s">
        <v>130</v>
      </c>
      <c r="K227" s="10" t="s">
        <v>199</v>
      </c>
      <c r="L227" s="10" t="s">
        <v>1008</v>
      </c>
      <c r="M227" s="9">
        <v>45901</v>
      </c>
      <c r="N227" s="9">
        <v>45729</v>
      </c>
      <c r="O227" s="9">
        <v>45801</v>
      </c>
      <c r="P227" s="11">
        <v>8</v>
      </c>
      <c r="Q227" s="12">
        <v>45076038</v>
      </c>
      <c r="R227">
        <v>12274205.147399999</v>
      </c>
      <c r="S227" s="22">
        <v>0.2</v>
      </c>
      <c r="T227" s="22">
        <v>0.03</v>
      </c>
      <c r="U227" s="12">
        <v>37142655.310000002</v>
      </c>
      <c r="V227" s="24">
        <v>10113945.040913001</v>
      </c>
      <c r="W227" s="8">
        <v>27759373.98</v>
      </c>
      <c r="X227" s="24">
        <v>7558877.5347539997</v>
      </c>
      <c r="Y227" s="22">
        <v>0.22</v>
      </c>
      <c r="Z227" s="22">
        <v>0.11</v>
      </c>
      <c r="AA227" s="8"/>
      <c r="AB227" s="8">
        <v>13402536.58</v>
      </c>
      <c r="AC227" s="24">
        <v>3649510.710734</v>
      </c>
      <c r="AD227" s="8">
        <v>6588165.4199999999</v>
      </c>
      <c r="AE227" s="24">
        <v>1793957.4438659998</v>
      </c>
      <c r="AF227" s="8">
        <v>90</v>
      </c>
      <c r="AG227" s="8">
        <v>49</v>
      </c>
      <c r="AH227" s="8" t="s">
        <v>332</v>
      </c>
      <c r="AI227" s="8" t="s">
        <v>354</v>
      </c>
      <c r="AJ227" s="22">
        <v>0.8</v>
      </c>
      <c r="AK227" s="8" t="s">
        <v>153</v>
      </c>
      <c r="AL227" s="22">
        <v>0.05</v>
      </c>
      <c r="AM227" s="22">
        <v>0.04</v>
      </c>
      <c r="AN227" s="8">
        <v>15</v>
      </c>
      <c r="AO227" s="8">
        <v>1550</v>
      </c>
      <c r="AP227" s="8">
        <v>3366519.69</v>
      </c>
      <c r="AQ227" s="24">
        <v>916703.31158699992</v>
      </c>
      <c r="AR227" s="8">
        <v>17089727.109999999</v>
      </c>
      <c r="AS227" s="37">
        <v>4653532.6920529995</v>
      </c>
      <c r="AT227" s="8" t="s">
        <v>73</v>
      </c>
      <c r="AU227" s="8" t="s">
        <v>330</v>
      </c>
      <c r="AV227" s="8">
        <v>88.5</v>
      </c>
      <c r="AW227" s="8">
        <v>36</v>
      </c>
      <c r="AX227" s="8" t="s">
        <v>323</v>
      </c>
      <c r="AY227" s="8" t="s">
        <v>224</v>
      </c>
      <c r="AZ227" s="8" t="s">
        <v>332</v>
      </c>
      <c r="BA227" s="21">
        <f>IF(OR(tblsales[[#This Row],[Invoice Value USD]]="",tblsales[[#This Row],[Collected Amount USD]]=""),"",tblsales[[#This Row],[Invoice Value USD]]-tblsales[[#This Row],[Collected Amount USD]])</f>
        <v>1855553.2668680002</v>
      </c>
      <c r="BB227" s="21">
        <f>IF(OR(tblsales[[#This Row],[Contract Value USD]]="",tblsales[[#This Row],[Cost Estimate USD]]=""),"",tblsales[[#This Row],[Contract Value USD]]-tblsales[[#This Row],[Cost Estimate USD]])</f>
        <v>2555067.506159001</v>
      </c>
      <c r="BC227" s="21">
        <f>IF(OR(tblsales[[#This Row],[Contract Value USD]]="",tblsales[[#This Row],[Cost Estimate USD]]=""),"",tblsales[[#This Row],[Contract Value USD]]-tblsales[[#This Row],[Cost Estimate USD]])</f>
        <v>2555067.506159001</v>
      </c>
      <c r="BD227" s="23">
        <f>IF(tblsales[[#This Row],[Invoice Value USD]]="","",tblsales[[#This Row],[Collected Amount USD]]/tblsales[[#This Row],[Invoice Value USD]])</f>
        <v>0.49156108477489413</v>
      </c>
      <c r="BE227" s="11">
        <f>IF(tblsales[[#This Row],[SalesStage]]="Won",1,0)</f>
        <v>0</v>
      </c>
      <c r="BF227" s="21" t="str">
        <f>IF(tblsales[[#This Row],[Win Flag]]=1,"Won","Lost")</f>
        <v>Lost</v>
      </c>
      <c r="BG227" s="8"/>
    </row>
    <row r="228" spans="1:59" x14ac:dyDescent="0.3">
      <c r="A228" s="10" t="s">
        <v>1009</v>
      </c>
      <c r="B228" s="9">
        <v>45838</v>
      </c>
      <c r="C228" s="10" t="s">
        <v>275</v>
      </c>
      <c r="D228" s="10" t="s">
        <v>394</v>
      </c>
      <c r="E228" s="10" t="s">
        <v>41</v>
      </c>
      <c r="F228" s="10" t="s">
        <v>350</v>
      </c>
      <c r="G228" s="10" t="s">
        <v>28</v>
      </c>
      <c r="H228" s="10" t="s">
        <v>216</v>
      </c>
      <c r="I228" s="10" t="s">
        <v>183</v>
      </c>
      <c r="J228" s="10" t="s">
        <v>130</v>
      </c>
      <c r="K228" s="10" t="s">
        <v>199</v>
      </c>
      <c r="L228" s="10" t="s">
        <v>1010</v>
      </c>
      <c r="M228" s="9">
        <v>45828</v>
      </c>
      <c r="N228" s="9">
        <v>45896</v>
      </c>
      <c r="O228" s="9">
        <v>45917</v>
      </c>
      <c r="P228" s="11">
        <v>56</v>
      </c>
      <c r="Q228" s="12">
        <v>36288709</v>
      </c>
      <c r="R228">
        <v>9881415.4606999997</v>
      </c>
      <c r="S228" s="22">
        <v>0.03</v>
      </c>
      <c r="T228" s="22">
        <v>0.16</v>
      </c>
      <c r="U228" s="12">
        <v>40832055.369999997</v>
      </c>
      <c r="V228" s="24">
        <v>11118568.677250998</v>
      </c>
      <c r="W228" s="8">
        <v>26409303.600000001</v>
      </c>
      <c r="X228" s="24">
        <v>7191253.3702800004</v>
      </c>
      <c r="Y228" s="22">
        <v>0.27</v>
      </c>
      <c r="Z228" s="22">
        <v>0.09</v>
      </c>
      <c r="AA228" s="8" t="s">
        <v>1011</v>
      </c>
      <c r="AB228" s="8">
        <v>32365505.149999999</v>
      </c>
      <c r="AC228" s="24">
        <v>8813127.0523449983</v>
      </c>
      <c r="AD228" s="8">
        <v>28832229.940000001</v>
      </c>
      <c r="AE228" s="24">
        <v>7851016.2126620002</v>
      </c>
      <c r="AF228" s="8">
        <v>120</v>
      </c>
      <c r="AG228" s="8">
        <v>46</v>
      </c>
      <c r="AH228" s="8" t="s">
        <v>342</v>
      </c>
      <c r="AI228" s="8" t="s">
        <v>455</v>
      </c>
      <c r="AJ228" s="22">
        <v>0.53</v>
      </c>
      <c r="AK228" s="8" t="s">
        <v>153</v>
      </c>
      <c r="AL228" s="22">
        <v>0.15</v>
      </c>
      <c r="AM228" s="22">
        <v>7.0000000000000007E-2</v>
      </c>
      <c r="AN228" s="8">
        <v>6</v>
      </c>
      <c r="AO228" s="8">
        <v>2243</v>
      </c>
      <c r="AP228" s="8">
        <v>912690.43</v>
      </c>
      <c r="AQ228" s="24">
        <v>248525.604089</v>
      </c>
      <c r="AR228" s="8">
        <v>10242831.539999999</v>
      </c>
      <c r="AS228" s="37">
        <v>2789123.0283419997</v>
      </c>
      <c r="AT228" s="8" t="s">
        <v>343</v>
      </c>
      <c r="AU228" s="8" t="s">
        <v>330</v>
      </c>
      <c r="AV228" s="8">
        <v>85.5</v>
      </c>
      <c r="AW228" s="8">
        <v>24</v>
      </c>
      <c r="AX228" s="8" t="s">
        <v>332</v>
      </c>
      <c r="AY228" s="8" t="s">
        <v>229</v>
      </c>
      <c r="AZ228" s="8" t="s">
        <v>188</v>
      </c>
      <c r="BA228" s="21">
        <f>IF(OR(tblsales[[#This Row],[Invoice Value USD]]="",tblsales[[#This Row],[Collected Amount USD]]=""),"",tblsales[[#This Row],[Invoice Value USD]]-tblsales[[#This Row],[Collected Amount USD]])</f>
        <v>962110.83968299814</v>
      </c>
      <c r="BB228" s="21">
        <f>IF(OR(tblsales[[#This Row],[Contract Value USD]]="",tblsales[[#This Row],[Cost Estimate USD]]=""),"",tblsales[[#This Row],[Contract Value USD]]-tblsales[[#This Row],[Cost Estimate USD]])</f>
        <v>3927315.3069709977</v>
      </c>
      <c r="BC228" s="21">
        <f>IF(OR(tblsales[[#This Row],[Contract Value USD]]="",tblsales[[#This Row],[Cost Estimate USD]]=""),"",tblsales[[#This Row],[Contract Value USD]]-tblsales[[#This Row],[Cost Estimate USD]])</f>
        <v>3927315.3069709977</v>
      </c>
      <c r="BD228" s="23">
        <f>IF(tblsales[[#This Row],[Invoice Value USD]]="","",tblsales[[#This Row],[Collected Amount USD]]/tblsales[[#This Row],[Invoice Value USD]])</f>
        <v>0.89083206971048945</v>
      </c>
      <c r="BE228" s="11">
        <f>IF(tblsales[[#This Row],[SalesStage]]="Won",1,0)</f>
        <v>0</v>
      </c>
      <c r="BF228" s="21" t="str">
        <f>IF(tblsales[[#This Row],[Win Flag]]=1,"Won","Lost")</f>
        <v>Lost</v>
      </c>
      <c r="BG228" s="8"/>
    </row>
    <row r="229" spans="1:59" x14ac:dyDescent="0.3">
      <c r="A229" s="10" t="s">
        <v>1012</v>
      </c>
      <c r="B229" s="9">
        <v>45723</v>
      </c>
      <c r="C229" s="10" t="s">
        <v>284</v>
      </c>
      <c r="D229" s="10" t="s">
        <v>255</v>
      </c>
      <c r="E229" s="10" t="s">
        <v>113</v>
      </c>
      <c r="F229" s="10" t="s">
        <v>367</v>
      </c>
      <c r="G229" s="10" t="s">
        <v>70</v>
      </c>
      <c r="H229" s="10" t="s">
        <v>182</v>
      </c>
      <c r="I229" s="10" t="s">
        <v>240</v>
      </c>
      <c r="J229" s="10" t="s">
        <v>123</v>
      </c>
      <c r="K229" s="10" t="s">
        <v>333</v>
      </c>
      <c r="L229" s="10" t="s">
        <v>1013</v>
      </c>
      <c r="M229" s="9">
        <v>45688</v>
      </c>
      <c r="N229" s="9">
        <v>45903</v>
      </c>
      <c r="O229" s="9">
        <v>45767</v>
      </c>
      <c r="P229" s="11"/>
      <c r="Q229" s="12">
        <v>44690695</v>
      </c>
      <c r="R229">
        <v>12169276.248499999</v>
      </c>
      <c r="S229" s="22">
        <v>0.24</v>
      </c>
      <c r="T229" s="22">
        <v>-0.03</v>
      </c>
      <c r="U229" s="12">
        <v>32945980.350000001</v>
      </c>
      <c r="V229" s="24">
        <v>8971190.4493049998</v>
      </c>
      <c r="W229" s="8">
        <v>20593952.760000002</v>
      </c>
      <c r="X229" s="24">
        <v>5607733.3365480006</v>
      </c>
      <c r="Y229" s="22">
        <v>7.0000000000000007E-2</v>
      </c>
      <c r="Z229" s="22">
        <v>0.12</v>
      </c>
      <c r="AA229" s="8" t="s">
        <v>1014</v>
      </c>
      <c r="AB229" s="8">
        <v>4850416.58</v>
      </c>
      <c r="AC229" s="24">
        <v>1320768.4347339999</v>
      </c>
      <c r="AD229" s="8">
        <v>2071802.41</v>
      </c>
      <c r="AE229" s="24">
        <v>564151.79624299996</v>
      </c>
      <c r="AF229" s="8">
        <v>90</v>
      </c>
      <c r="AG229" s="8">
        <v>18</v>
      </c>
      <c r="AH229" s="8" t="s">
        <v>329</v>
      </c>
      <c r="AI229" s="8" t="s">
        <v>336</v>
      </c>
      <c r="AJ229" s="22">
        <v>0.22</v>
      </c>
      <c r="AK229" s="8" t="s">
        <v>153</v>
      </c>
      <c r="AL229" s="22">
        <v>0.1</v>
      </c>
      <c r="AM229" s="22">
        <v>0.03</v>
      </c>
      <c r="AN229" s="8">
        <v>8</v>
      </c>
      <c r="AO229" s="8">
        <v>1558</v>
      </c>
      <c r="AP229" s="8">
        <v>6151981.04</v>
      </c>
      <c r="AQ229" s="24">
        <v>1675184.437192</v>
      </c>
      <c r="AR229" s="8"/>
      <c r="AS229" s="37"/>
      <c r="AT229" s="8" t="s">
        <v>385</v>
      </c>
      <c r="AU229" s="8" t="s">
        <v>386</v>
      </c>
      <c r="AV229" s="8">
        <v>57.1</v>
      </c>
      <c r="AW229" s="8"/>
      <c r="AX229" s="8" t="s">
        <v>392</v>
      </c>
      <c r="AY229" s="8" t="s">
        <v>192</v>
      </c>
      <c r="AZ229" s="8" t="s">
        <v>361</v>
      </c>
      <c r="BA229" s="21">
        <f>IF(OR(tblsales[[#This Row],[Invoice Value USD]]="",tblsales[[#This Row],[Collected Amount USD]]=""),"",tblsales[[#This Row],[Invoice Value USD]]-tblsales[[#This Row],[Collected Amount USD]])</f>
        <v>756616.63849099993</v>
      </c>
      <c r="BB229" s="21">
        <f>IF(OR(tblsales[[#This Row],[Contract Value USD]]="",tblsales[[#This Row],[Cost Estimate USD]]=""),"",tblsales[[#This Row],[Contract Value USD]]-tblsales[[#This Row],[Cost Estimate USD]])</f>
        <v>3363457.1127569992</v>
      </c>
      <c r="BC229" s="21">
        <f>IF(OR(tblsales[[#This Row],[Contract Value USD]]="",tblsales[[#This Row],[Cost Estimate USD]]=""),"",tblsales[[#This Row],[Contract Value USD]]-tblsales[[#This Row],[Cost Estimate USD]])</f>
        <v>3363457.1127569992</v>
      </c>
      <c r="BD229" s="23">
        <f>IF(tblsales[[#This Row],[Invoice Value USD]]="","",tblsales[[#This Row],[Collected Amount USD]]/tblsales[[#This Row],[Invoice Value USD]])</f>
        <v>0.42713906647581185</v>
      </c>
      <c r="BE229" s="11">
        <f>IF(tblsales[[#This Row],[SalesStage]]="Won",1,0)</f>
        <v>0</v>
      </c>
      <c r="BF229" s="21" t="str">
        <f>IF(tblsales[[#This Row],[Win Flag]]=1,"Won","Lost")</f>
        <v>Lost</v>
      </c>
      <c r="BG229" s="8"/>
    </row>
    <row r="230" spans="1:59" x14ac:dyDescent="0.3">
      <c r="A230" s="10" t="s">
        <v>1015</v>
      </c>
      <c r="B230" s="9">
        <v>45858</v>
      </c>
      <c r="C230" s="10" t="s">
        <v>217</v>
      </c>
      <c r="D230" s="10" t="s">
        <v>562</v>
      </c>
      <c r="E230" s="10" t="s">
        <v>113</v>
      </c>
      <c r="F230" s="10" t="s">
        <v>367</v>
      </c>
      <c r="G230" s="10" t="s">
        <v>62</v>
      </c>
      <c r="H230" s="10" t="s">
        <v>236</v>
      </c>
      <c r="I230" s="10" t="s">
        <v>240</v>
      </c>
      <c r="J230" s="10" t="s">
        <v>111</v>
      </c>
      <c r="K230" s="10" t="s">
        <v>223</v>
      </c>
      <c r="L230" s="10" t="s">
        <v>1016</v>
      </c>
      <c r="M230" s="9">
        <v>45801</v>
      </c>
      <c r="N230" s="9"/>
      <c r="O230" s="9"/>
      <c r="P230" s="11">
        <v>27</v>
      </c>
      <c r="Q230" s="12">
        <v>25703673</v>
      </c>
      <c r="R230">
        <v>6999110.1579</v>
      </c>
      <c r="S230" s="22">
        <v>0.06</v>
      </c>
      <c r="T230" s="22">
        <v>0.02</v>
      </c>
      <c r="U230" s="12">
        <v>24644681.670000002</v>
      </c>
      <c r="V230" s="24">
        <v>6710746.8187410003</v>
      </c>
      <c r="W230" s="8"/>
      <c r="X230" s="24"/>
      <c r="Y230" s="22">
        <v>0.19</v>
      </c>
      <c r="Z230" s="22">
        <v>0.14000000000000001</v>
      </c>
      <c r="AA230" s="8" t="s">
        <v>1017</v>
      </c>
      <c r="AB230" s="8">
        <v>2565559.9900000002</v>
      </c>
      <c r="AC230" s="24">
        <v>698601.985277</v>
      </c>
      <c r="AD230" s="8">
        <v>1147242.82</v>
      </c>
      <c r="AE230" s="24">
        <v>312394.21988599998</v>
      </c>
      <c r="AF230" s="8">
        <v>45</v>
      </c>
      <c r="AG230" s="8">
        <v>86</v>
      </c>
      <c r="AH230" s="8" t="s">
        <v>342</v>
      </c>
      <c r="AI230" s="8" t="s">
        <v>406</v>
      </c>
      <c r="AJ230" s="22">
        <v>0.67</v>
      </c>
      <c r="AK230" s="8" t="s">
        <v>153</v>
      </c>
      <c r="AL230" s="22">
        <v>0.1</v>
      </c>
      <c r="AM230" s="22">
        <v>0.01</v>
      </c>
      <c r="AN230" s="8">
        <v>14</v>
      </c>
      <c r="AO230" s="8"/>
      <c r="AP230" s="8">
        <v>3193420.77</v>
      </c>
      <c r="AQ230" s="24">
        <v>869568.47567099996</v>
      </c>
      <c r="AR230" s="8">
        <v>6270146.7199999997</v>
      </c>
      <c r="AS230" s="37">
        <v>1707360.9518559999</v>
      </c>
      <c r="AT230" s="8" t="s">
        <v>321</v>
      </c>
      <c r="AU230" s="8" t="s">
        <v>332</v>
      </c>
      <c r="AV230" s="8">
        <v>81.400000000000006</v>
      </c>
      <c r="AW230" s="8">
        <v>48</v>
      </c>
      <c r="AX230" s="8" t="s">
        <v>332</v>
      </c>
      <c r="AY230" s="8" t="s">
        <v>186</v>
      </c>
      <c r="AZ230" s="8" t="s">
        <v>377</v>
      </c>
      <c r="BA230" s="21">
        <f>IF(OR(tblsales[[#This Row],[Invoice Value USD]]="",tblsales[[#This Row],[Collected Amount USD]]=""),"",tblsales[[#This Row],[Invoice Value USD]]-tblsales[[#This Row],[Collected Amount USD]])</f>
        <v>386207.76539100002</v>
      </c>
      <c r="BB230" s="21" t="str">
        <f>IF(OR(tblsales[[#This Row],[Contract Value USD]]="",tblsales[[#This Row],[Cost Estimate USD]]=""),"",tblsales[[#This Row],[Contract Value USD]]-tblsales[[#This Row],[Cost Estimate USD]])</f>
        <v/>
      </c>
      <c r="BC230" s="21" t="str">
        <f>IF(OR(tblsales[[#This Row],[Contract Value USD]]="",tblsales[[#This Row],[Cost Estimate USD]]=""),"",tblsales[[#This Row],[Contract Value USD]]-tblsales[[#This Row],[Cost Estimate USD]])</f>
        <v/>
      </c>
      <c r="BD230" s="23">
        <f>IF(tblsales[[#This Row],[Invoice Value USD]]="","",tblsales[[#This Row],[Collected Amount USD]]/tblsales[[#This Row],[Invoice Value USD]])</f>
        <v>0.44717052981481831</v>
      </c>
      <c r="BE230" s="11">
        <f>IF(tblsales[[#This Row],[SalesStage]]="Won",1,0)</f>
        <v>0</v>
      </c>
      <c r="BF230" s="21" t="str">
        <f>IF(tblsales[[#This Row],[Win Flag]]=1,"Won","Lost")</f>
        <v>Lost</v>
      </c>
      <c r="BG230" s="8"/>
    </row>
    <row r="231" spans="1:59" x14ac:dyDescent="0.3">
      <c r="A231" s="10" t="s">
        <v>1018</v>
      </c>
      <c r="B231" s="9">
        <v>45983</v>
      </c>
      <c r="C231" s="10" t="s">
        <v>234</v>
      </c>
      <c r="D231" s="10" t="s">
        <v>262</v>
      </c>
      <c r="E231" s="10" t="s">
        <v>36</v>
      </c>
      <c r="F231" s="10" t="s">
        <v>339</v>
      </c>
      <c r="G231" s="10" t="s">
        <v>46</v>
      </c>
      <c r="H231" s="10" t="s">
        <v>332</v>
      </c>
      <c r="I231" s="10" t="s">
        <v>198</v>
      </c>
      <c r="J231" s="10" t="s">
        <v>115</v>
      </c>
      <c r="K231" s="10" t="s">
        <v>326</v>
      </c>
      <c r="L231" s="10" t="s">
        <v>1019</v>
      </c>
      <c r="M231" s="9">
        <v>45915</v>
      </c>
      <c r="N231" s="9" t="s">
        <v>1020</v>
      </c>
      <c r="O231" s="9">
        <v>46024</v>
      </c>
      <c r="P231" s="11">
        <v>36</v>
      </c>
      <c r="Q231" s="12">
        <v>30733478</v>
      </c>
      <c r="R231">
        <v>30733478</v>
      </c>
      <c r="S231" s="22">
        <v>0.17</v>
      </c>
      <c r="T231" s="22">
        <v>0.17</v>
      </c>
      <c r="U231" s="12">
        <v>29845280.489999998</v>
      </c>
      <c r="V231" s="24">
        <v>29845280.489999998</v>
      </c>
      <c r="W231" s="8">
        <v>19849731.739999998</v>
      </c>
      <c r="X231" s="24">
        <v>19849731.739999998</v>
      </c>
      <c r="Y231" s="22">
        <v>0.12</v>
      </c>
      <c r="Z231" s="22">
        <v>0.18</v>
      </c>
      <c r="AA231" s="8" t="s">
        <v>1021</v>
      </c>
      <c r="AB231" s="8">
        <v>13015219.939999999</v>
      </c>
      <c r="AC231" s="24">
        <v>13015219.939999999</v>
      </c>
      <c r="AD231" s="8">
        <v>13061494.890000001</v>
      </c>
      <c r="AE231" s="24">
        <v>13061494.890000001</v>
      </c>
      <c r="AF231" s="8">
        <v>45</v>
      </c>
      <c r="AG231" s="8">
        <v>37</v>
      </c>
      <c r="AH231" s="8" t="s">
        <v>353</v>
      </c>
      <c r="AI231" s="8" t="s">
        <v>336</v>
      </c>
      <c r="AJ231" s="22">
        <v>0.32</v>
      </c>
      <c r="AK231" s="8" t="s">
        <v>152</v>
      </c>
      <c r="AL231" s="22">
        <v>0.15</v>
      </c>
      <c r="AM231" s="22">
        <v>0.03</v>
      </c>
      <c r="AN231" s="8">
        <v>12</v>
      </c>
      <c r="AO231" s="8">
        <v>3354</v>
      </c>
      <c r="AP231" s="8">
        <v>2703587.44</v>
      </c>
      <c r="AQ231" s="24">
        <v>2703587.44</v>
      </c>
      <c r="AR231" s="8">
        <v>8598215.8000000007</v>
      </c>
      <c r="AS231" s="37">
        <v>8598215.8000000007</v>
      </c>
      <c r="AT231" s="8" t="s">
        <v>332</v>
      </c>
      <c r="AU231" s="8" t="s">
        <v>356</v>
      </c>
      <c r="AV231" s="8">
        <v>68.2</v>
      </c>
      <c r="AW231" s="8">
        <v>48</v>
      </c>
      <c r="AX231" s="8" t="s">
        <v>387</v>
      </c>
      <c r="AY231" s="8" t="s">
        <v>186</v>
      </c>
      <c r="AZ231" s="8" t="s">
        <v>332</v>
      </c>
      <c r="BA231" s="21">
        <f>IF(OR(tblsales[[#This Row],[Invoice Value USD]]="",tblsales[[#This Row],[Collected Amount USD]]=""),"",tblsales[[#This Row],[Invoice Value USD]]-tblsales[[#This Row],[Collected Amount USD]])</f>
        <v>-46274.950000001118</v>
      </c>
      <c r="BB231" s="21">
        <f>IF(OR(tblsales[[#This Row],[Contract Value USD]]="",tblsales[[#This Row],[Cost Estimate USD]]=""),"",tblsales[[#This Row],[Contract Value USD]]-tblsales[[#This Row],[Cost Estimate USD]])</f>
        <v>9995548.75</v>
      </c>
      <c r="BC231" s="21">
        <f>IF(OR(tblsales[[#This Row],[Contract Value USD]]="",tblsales[[#This Row],[Cost Estimate USD]]=""),"",tblsales[[#This Row],[Contract Value USD]]-tblsales[[#This Row],[Cost Estimate USD]])</f>
        <v>9995548.75</v>
      </c>
      <c r="BD231" s="23">
        <f>IF(tblsales[[#This Row],[Invoice Value USD]]="","",tblsales[[#This Row],[Collected Amount USD]]/tblsales[[#This Row],[Invoice Value USD]])</f>
        <v>1.0035554489446454</v>
      </c>
      <c r="BE231" s="11">
        <f>IF(tblsales[[#This Row],[SalesStage]]="Won",1,0)</f>
        <v>0</v>
      </c>
      <c r="BF231" s="21" t="str">
        <f>IF(tblsales[[#This Row],[Win Flag]]=1,"Won","Lost")</f>
        <v>Lost</v>
      </c>
      <c r="BG231" s="8"/>
    </row>
    <row r="232" spans="1:59" x14ac:dyDescent="0.3">
      <c r="A232" s="10" t="s">
        <v>1022</v>
      </c>
      <c r="B232" s="9">
        <v>45940</v>
      </c>
      <c r="C232" s="10" t="s">
        <v>283</v>
      </c>
      <c r="D232" s="10" t="s">
        <v>274</v>
      </c>
      <c r="E232" s="10" t="s">
        <v>113</v>
      </c>
      <c r="F232" s="10" t="s">
        <v>367</v>
      </c>
      <c r="G232" s="10" t="s">
        <v>73</v>
      </c>
      <c r="H232" s="10" t="s">
        <v>236</v>
      </c>
      <c r="I232" s="10" t="s">
        <v>203</v>
      </c>
      <c r="J232" s="10" t="s">
        <v>123</v>
      </c>
      <c r="K232" s="10" t="s">
        <v>184</v>
      </c>
      <c r="L232" s="10" t="s">
        <v>1023</v>
      </c>
      <c r="M232" s="9">
        <v>45918</v>
      </c>
      <c r="N232" s="9"/>
      <c r="O232" s="9"/>
      <c r="P232" s="11">
        <v>6</v>
      </c>
      <c r="Q232" s="12">
        <v>10717257</v>
      </c>
      <c r="R232">
        <v>10717257</v>
      </c>
      <c r="S232" s="22">
        <v>0.23</v>
      </c>
      <c r="T232" s="22">
        <v>0.18</v>
      </c>
      <c r="U232" s="12">
        <v>9737699.7100000009</v>
      </c>
      <c r="V232" s="24">
        <v>9737699.7100000009</v>
      </c>
      <c r="W232" s="8">
        <v>6105382.8099999996</v>
      </c>
      <c r="X232" s="24">
        <v>6105382.8099999996</v>
      </c>
      <c r="Y232" s="22">
        <v>0.17</v>
      </c>
      <c r="Z232" s="22">
        <v>0.16</v>
      </c>
      <c r="AA232" s="8" t="s">
        <v>1024</v>
      </c>
      <c r="AB232" s="8">
        <v>4060778.98</v>
      </c>
      <c r="AC232" s="24">
        <v>4060778.98</v>
      </c>
      <c r="AD232" s="8">
        <v>4282332.74</v>
      </c>
      <c r="AE232" s="24">
        <v>4282332.74</v>
      </c>
      <c r="AF232" s="8">
        <v>30</v>
      </c>
      <c r="AG232" s="8">
        <v>178</v>
      </c>
      <c r="AH232" s="8" t="s">
        <v>329</v>
      </c>
      <c r="AI232" s="8" t="s">
        <v>320</v>
      </c>
      <c r="AJ232" s="22">
        <v>0.24</v>
      </c>
      <c r="AK232" s="8" t="s">
        <v>152</v>
      </c>
      <c r="AL232" s="22">
        <v>0.15</v>
      </c>
      <c r="AM232" s="22">
        <v>7.0000000000000007E-2</v>
      </c>
      <c r="AN232" s="8">
        <v>8</v>
      </c>
      <c r="AO232" s="8">
        <v>3668</v>
      </c>
      <c r="AP232" s="8">
        <v>1770593.67</v>
      </c>
      <c r="AQ232" s="24">
        <v>1770593.67</v>
      </c>
      <c r="AR232" s="8">
        <v>1369118.59</v>
      </c>
      <c r="AS232" s="37">
        <v>1369118.59</v>
      </c>
      <c r="AT232" s="8" t="s">
        <v>73</v>
      </c>
      <c r="AU232" s="8" t="s">
        <v>322</v>
      </c>
      <c r="AV232" s="8">
        <v>53.3</v>
      </c>
      <c r="AW232" s="8">
        <v>24</v>
      </c>
      <c r="AX232" s="8" t="s">
        <v>332</v>
      </c>
      <c r="AY232" s="8" t="s">
        <v>206</v>
      </c>
      <c r="AZ232" s="8" t="s">
        <v>377</v>
      </c>
      <c r="BA232" s="21">
        <f>IF(OR(tblsales[[#This Row],[Invoice Value USD]]="",tblsales[[#This Row],[Collected Amount USD]]=""),"",tblsales[[#This Row],[Invoice Value USD]]-tblsales[[#This Row],[Collected Amount USD]])</f>
        <v>-221553.76000000024</v>
      </c>
      <c r="BB232" s="21">
        <f>IF(OR(tblsales[[#This Row],[Contract Value USD]]="",tblsales[[#This Row],[Cost Estimate USD]]=""),"",tblsales[[#This Row],[Contract Value USD]]-tblsales[[#This Row],[Cost Estimate USD]])</f>
        <v>3632316.9000000013</v>
      </c>
      <c r="BC232" s="21">
        <f>IF(OR(tblsales[[#This Row],[Contract Value USD]]="",tblsales[[#This Row],[Cost Estimate USD]]=""),"",tblsales[[#This Row],[Contract Value USD]]-tblsales[[#This Row],[Cost Estimate USD]])</f>
        <v>3632316.9000000013</v>
      </c>
      <c r="BD232" s="23">
        <f>IF(tblsales[[#This Row],[Invoice Value USD]]="","",tblsales[[#This Row],[Collected Amount USD]]/tblsales[[#This Row],[Invoice Value USD]])</f>
        <v>1.0545594234729812</v>
      </c>
      <c r="BE232" s="11">
        <f>IF(tblsales[[#This Row],[SalesStage]]="Won",1,0)</f>
        <v>1</v>
      </c>
      <c r="BF232" s="21" t="str">
        <f>IF(tblsales[[#This Row],[Win Flag]]=1,"Won","Lost")</f>
        <v>Won</v>
      </c>
      <c r="BG232" s="8"/>
    </row>
    <row r="233" spans="1:59" x14ac:dyDescent="0.3">
      <c r="A233" s="10" t="s">
        <v>1025</v>
      </c>
      <c r="B233" s="9">
        <v>45979</v>
      </c>
      <c r="C233" s="10" t="s">
        <v>258</v>
      </c>
      <c r="D233" s="10" t="s">
        <v>190</v>
      </c>
      <c r="E233" s="10" t="s">
        <v>20</v>
      </c>
      <c r="F233" s="10" t="s">
        <v>35</v>
      </c>
      <c r="G233" s="10" t="s">
        <v>66</v>
      </c>
      <c r="H233" s="10" t="s">
        <v>182</v>
      </c>
      <c r="I233" s="10" t="s">
        <v>246</v>
      </c>
      <c r="J233" s="10" t="s">
        <v>136</v>
      </c>
      <c r="K233" s="10" t="s">
        <v>223</v>
      </c>
      <c r="L233" s="10" t="s">
        <v>1026</v>
      </c>
      <c r="M233" s="9">
        <v>45926</v>
      </c>
      <c r="N233" s="9">
        <v>45983</v>
      </c>
      <c r="O233" s="9"/>
      <c r="P233" s="11">
        <v>28</v>
      </c>
      <c r="Q233" s="12">
        <v>31712153</v>
      </c>
      <c r="R233">
        <v>36817809.633000001</v>
      </c>
      <c r="S233" s="22">
        <v>0.25</v>
      </c>
      <c r="T233" s="22">
        <v>0.02</v>
      </c>
      <c r="U233" s="12">
        <v>24259797.050000001</v>
      </c>
      <c r="V233" s="24">
        <v>28165624.375050001</v>
      </c>
      <c r="W233" s="8">
        <v>15363524.35</v>
      </c>
      <c r="X233" s="24">
        <v>17837051.770350002</v>
      </c>
      <c r="Y233" s="22">
        <v>0.39</v>
      </c>
      <c r="Z233" s="22">
        <v>0.08</v>
      </c>
      <c r="AA233" s="8" t="s">
        <v>1027</v>
      </c>
      <c r="AB233" s="8">
        <v>18699342.420000002</v>
      </c>
      <c r="AC233" s="24">
        <v>21709936.549620003</v>
      </c>
      <c r="AD233" s="8">
        <v>9340542.9000000004</v>
      </c>
      <c r="AE233" s="24">
        <v>10844370.3069</v>
      </c>
      <c r="AF233" s="8">
        <v>30</v>
      </c>
      <c r="AG233" s="8">
        <v>170</v>
      </c>
      <c r="AH233" s="8" t="s">
        <v>329</v>
      </c>
      <c r="AI233" s="8" t="s">
        <v>336</v>
      </c>
      <c r="AJ233" s="22">
        <v>0.94</v>
      </c>
      <c r="AK233" s="8" t="s">
        <v>159</v>
      </c>
      <c r="AL233" s="22">
        <v>0.1</v>
      </c>
      <c r="AM233" s="22">
        <v>0.02</v>
      </c>
      <c r="AN233" s="8">
        <v>1</v>
      </c>
      <c r="AO233" s="8">
        <v>4062</v>
      </c>
      <c r="AP233" s="8"/>
      <c r="AQ233" s="24"/>
      <c r="AR233" s="8">
        <v>6479681.7599999998</v>
      </c>
      <c r="AS233" s="37">
        <v>7522910.52336</v>
      </c>
      <c r="AT233" s="8" t="s">
        <v>73</v>
      </c>
      <c r="AU233" s="8" t="s">
        <v>356</v>
      </c>
      <c r="AV233" s="8">
        <v>85.6</v>
      </c>
      <c r="AW233" s="8">
        <v>36</v>
      </c>
      <c r="AX233" s="8" t="s">
        <v>323</v>
      </c>
      <c r="AY233" s="8" t="s">
        <v>192</v>
      </c>
      <c r="AZ233" s="8" t="s">
        <v>377</v>
      </c>
      <c r="BA233" s="21">
        <f>IF(OR(tblsales[[#This Row],[Invoice Value USD]]="",tblsales[[#This Row],[Collected Amount USD]]=""),"",tblsales[[#This Row],[Invoice Value USD]]-tblsales[[#This Row],[Collected Amount USD]])</f>
        <v>10865566.242720002</v>
      </c>
      <c r="BB233" s="21">
        <f>IF(OR(tblsales[[#This Row],[Contract Value USD]]="",tblsales[[#This Row],[Cost Estimate USD]]=""),"",tblsales[[#This Row],[Contract Value USD]]-tblsales[[#This Row],[Cost Estimate USD]])</f>
        <v>10328572.604699999</v>
      </c>
      <c r="BC233" s="21">
        <f>IF(OR(tblsales[[#This Row],[Contract Value USD]]="",tblsales[[#This Row],[Cost Estimate USD]]=""),"",tblsales[[#This Row],[Contract Value USD]]-tblsales[[#This Row],[Cost Estimate USD]])</f>
        <v>10328572.604699999</v>
      </c>
      <c r="BD233" s="23">
        <f>IF(tblsales[[#This Row],[Invoice Value USD]]="","",tblsales[[#This Row],[Collected Amount USD]]/tblsales[[#This Row],[Invoice Value USD]])</f>
        <v>0.49951183791413767</v>
      </c>
      <c r="BE233" s="11">
        <f>IF(tblsales[[#This Row],[SalesStage]]="Won",1,0)</f>
        <v>0</v>
      </c>
      <c r="BF233" s="21" t="str">
        <f>IF(tblsales[[#This Row],[Win Flag]]=1,"Won","Lost")</f>
        <v>Lost</v>
      </c>
      <c r="BG233" s="8"/>
    </row>
    <row r="234" spans="1:59" x14ac:dyDescent="0.3">
      <c r="A234" s="10" t="s">
        <v>1028</v>
      </c>
      <c r="B234" s="9">
        <v>45990</v>
      </c>
      <c r="C234" s="10" t="s">
        <v>252</v>
      </c>
      <c r="D234" s="10" t="s">
        <v>202</v>
      </c>
      <c r="E234" s="10" t="s">
        <v>20</v>
      </c>
      <c r="F234" s="10" t="s">
        <v>196</v>
      </c>
      <c r="G234" s="10" t="s">
        <v>80</v>
      </c>
      <c r="H234" s="10" t="s">
        <v>263</v>
      </c>
      <c r="I234" s="10" t="s">
        <v>198</v>
      </c>
      <c r="J234" s="10" t="s">
        <v>136</v>
      </c>
      <c r="K234" s="10" t="s">
        <v>326</v>
      </c>
      <c r="L234" s="10" t="s">
        <v>1029</v>
      </c>
      <c r="M234" s="9">
        <v>45928</v>
      </c>
      <c r="N234" s="9"/>
      <c r="O234" s="9">
        <v>46053</v>
      </c>
      <c r="P234" s="11">
        <v>20</v>
      </c>
      <c r="Q234" s="12">
        <v>16225860</v>
      </c>
      <c r="R234">
        <v>16225860</v>
      </c>
      <c r="S234" s="22">
        <v>0.25</v>
      </c>
      <c r="T234" s="22">
        <v>0.02</v>
      </c>
      <c r="U234" s="12">
        <v>12412782.9</v>
      </c>
      <c r="V234" s="24">
        <v>12412782.9</v>
      </c>
      <c r="W234" s="8">
        <v>9122927.0500000007</v>
      </c>
      <c r="X234" s="24">
        <v>9122927.0500000007</v>
      </c>
      <c r="Y234" s="22">
        <v>0.33</v>
      </c>
      <c r="Z234" s="22">
        <v>0.19</v>
      </c>
      <c r="AA234" s="8"/>
      <c r="AB234" s="8">
        <v>11130925.26</v>
      </c>
      <c r="AC234" s="24">
        <v>11130925.26</v>
      </c>
      <c r="AD234" s="8">
        <v>6344786.1500000004</v>
      </c>
      <c r="AE234" s="24">
        <v>6344786.1500000004</v>
      </c>
      <c r="AF234" s="8">
        <v>60</v>
      </c>
      <c r="AG234" s="8">
        <v>169</v>
      </c>
      <c r="AH234" s="8" t="s">
        <v>347</v>
      </c>
      <c r="AI234" s="8" t="s">
        <v>226</v>
      </c>
      <c r="AJ234" s="22">
        <v>0.48</v>
      </c>
      <c r="AK234" s="8" t="s">
        <v>152</v>
      </c>
      <c r="AL234" s="22">
        <v>0.05</v>
      </c>
      <c r="AM234" s="22">
        <v>0.04</v>
      </c>
      <c r="AN234" s="8">
        <v>1</v>
      </c>
      <c r="AO234" s="8">
        <v>3068</v>
      </c>
      <c r="AP234" s="8"/>
      <c r="AQ234" s="24"/>
      <c r="AR234" s="8">
        <v>2417738.66</v>
      </c>
      <c r="AS234" s="37">
        <v>2417738.66</v>
      </c>
      <c r="AT234" s="8" t="s">
        <v>343</v>
      </c>
      <c r="AU234" s="8" t="s">
        <v>332</v>
      </c>
      <c r="AV234" s="8">
        <v>55.7</v>
      </c>
      <c r="AW234" s="8"/>
      <c r="AX234" s="8" t="s">
        <v>323</v>
      </c>
      <c r="AY234" s="8" t="s">
        <v>206</v>
      </c>
      <c r="AZ234" s="8" t="s">
        <v>188</v>
      </c>
      <c r="BA234" s="21">
        <f>IF(OR(tblsales[[#This Row],[Invoice Value USD]]="",tblsales[[#This Row],[Collected Amount USD]]=""),"",tblsales[[#This Row],[Invoice Value USD]]-tblsales[[#This Row],[Collected Amount USD]])</f>
        <v>4786139.1099999994</v>
      </c>
      <c r="BB234" s="21">
        <f>IF(OR(tblsales[[#This Row],[Contract Value USD]]="",tblsales[[#This Row],[Cost Estimate USD]]=""),"",tblsales[[#This Row],[Contract Value USD]]-tblsales[[#This Row],[Cost Estimate USD]])</f>
        <v>3289855.8499999996</v>
      </c>
      <c r="BC234" s="21">
        <f>IF(OR(tblsales[[#This Row],[Contract Value USD]]="",tblsales[[#This Row],[Cost Estimate USD]]=""),"",tblsales[[#This Row],[Contract Value USD]]-tblsales[[#This Row],[Cost Estimate USD]])</f>
        <v>3289855.8499999996</v>
      </c>
      <c r="BD234" s="23">
        <f>IF(tblsales[[#This Row],[Invoice Value USD]]="","",tblsales[[#This Row],[Collected Amount USD]]/tblsales[[#This Row],[Invoice Value USD]])</f>
        <v>0.57001426222854723</v>
      </c>
      <c r="BE234" s="11">
        <f>IF(tblsales[[#This Row],[SalesStage]]="Won",1,0)</f>
        <v>0</v>
      </c>
      <c r="BF234" s="21" t="str">
        <f>IF(tblsales[[#This Row],[Win Flag]]=1,"Won","Lost")</f>
        <v>Lost</v>
      </c>
      <c r="BG234" s="8"/>
    </row>
    <row r="235" spans="1:59" x14ac:dyDescent="0.3">
      <c r="A235" s="10" t="s">
        <v>5782</v>
      </c>
      <c r="B235" s="9">
        <v>45694</v>
      </c>
      <c r="C235" s="10" t="s">
        <v>201</v>
      </c>
      <c r="D235" s="10" t="s">
        <v>220</v>
      </c>
      <c r="E235" s="10" t="s">
        <v>20</v>
      </c>
      <c r="F235" s="10" t="s">
        <v>196</v>
      </c>
      <c r="G235" s="10" t="s">
        <v>80</v>
      </c>
      <c r="H235" s="10" t="s">
        <v>263</v>
      </c>
      <c r="I235" s="10" t="s">
        <v>191</v>
      </c>
      <c r="J235" s="10" t="s">
        <v>136</v>
      </c>
      <c r="K235" s="10" t="s">
        <v>333</v>
      </c>
      <c r="L235" s="10" t="s">
        <v>3692</v>
      </c>
      <c r="M235" s="9">
        <v>45607</v>
      </c>
      <c r="N235" s="9">
        <v>45740</v>
      </c>
      <c r="O235" s="9">
        <v>45966</v>
      </c>
      <c r="P235" s="11"/>
      <c r="Q235" s="12">
        <v>10685343</v>
      </c>
      <c r="R235">
        <v>10685343</v>
      </c>
      <c r="S235" s="22">
        <v>0.21</v>
      </c>
      <c r="T235" s="22">
        <v>0.19</v>
      </c>
      <c r="U235" s="12">
        <v>10045290.949999999</v>
      </c>
      <c r="V235" s="24">
        <v>10045290.949999999</v>
      </c>
      <c r="W235" s="8">
        <v>6820536.3700000001</v>
      </c>
      <c r="X235" s="24">
        <v>6820536.3700000001</v>
      </c>
      <c r="Y235" s="22">
        <v>0.25</v>
      </c>
      <c r="Z235" s="22">
        <v>0.08</v>
      </c>
      <c r="AA235" s="8" t="s">
        <v>3694</v>
      </c>
      <c r="AB235" s="8">
        <v>8777005.5800000001</v>
      </c>
      <c r="AC235" s="24">
        <v>8777005.5800000001</v>
      </c>
      <c r="AD235" s="8">
        <v>7063754.5700000003</v>
      </c>
      <c r="AE235" s="24">
        <v>7063754.5700000003</v>
      </c>
      <c r="AF235" s="8">
        <v>60</v>
      </c>
      <c r="AG235" s="8">
        <v>171</v>
      </c>
      <c r="AH235" s="8" t="s">
        <v>342</v>
      </c>
      <c r="AI235" s="8" t="s">
        <v>455</v>
      </c>
      <c r="AJ235" s="22">
        <v>0.15</v>
      </c>
      <c r="AK235" s="8" t="s">
        <v>152</v>
      </c>
      <c r="AL235" s="22">
        <v>0.05</v>
      </c>
      <c r="AM235" s="22">
        <v>0.02</v>
      </c>
      <c r="AN235" s="8">
        <v>4</v>
      </c>
      <c r="AO235" s="8">
        <v>1340</v>
      </c>
      <c r="AP235" s="8">
        <v>2132507.71</v>
      </c>
      <c r="AQ235" s="24">
        <v>2132507.71</v>
      </c>
      <c r="AR235" s="8">
        <v>2661126.1</v>
      </c>
      <c r="AS235" s="37">
        <v>2661126.1</v>
      </c>
      <c r="AT235" s="8" t="s">
        <v>332</v>
      </c>
      <c r="AU235" s="8" t="s">
        <v>321</v>
      </c>
      <c r="AV235" s="8">
        <v>53.8</v>
      </c>
      <c r="AW235" s="8">
        <v>24</v>
      </c>
      <c r="AX235" s="8" t="s">
        <v>332</v>
      </c>
      <c r="AY235" s="8" t="s">
        <v>186</v>
      </c>
      <c r="AZ235" s="8" t="s">
        <v>357</v>
      </c>
      <c r="BA235" s="21">
        <f>IF(OR(tblsales[[#This Row],[Invoice Value USD]]="",tblsales[[#This Row],[Collected Amount USD]]=""),"",tblsales[[#This Row],[Invoice Value USD]]-tblsales[[#This Row],[Collected Amount USD]])</f>
        <v>1713251.0099999998</v>
      </c>
      <c r="BB235" s="21">
        <f>IF(OR(tblsales[[#This Row],[Contract Value USD]]="",tblsales[[#This Row],[Cost Estimate USD]]=""),"",tblsales[[#This Row],[Contract Value USD]]-tblsales[[#This Row],[Cost Estimate USD]])</f>
        <v>3224754.5799999991</v>
      </c>
      <c r="BC235" s="21">
        <f>IF(OR(tblsales[[#This Row],[Contract Value USD]]="",tblsales[[#This Row],[Cost Estimate USD]]=""),"",tblsales[[#This Row],[Contract Value USD]]-tblsales[[#This Row],[Cost Estimate USD]])</f>
        <v>3224754.5799999991</v>
      </c>
      <c r="BD235" s="23">
        <f>IF(tblsales[[#This Row],[Invoice Value USD]]="","",tblsales[[#This Row],[Collected Amount USD]]/tblsales[[#This Row],[Invoice Value USD]])</f>
        <v>0.80480233328050366</v>
      </c>
      <c r="BE235" s="11">
        <f>IF(tblsales[[#This Row],[SalesStage]]="Won",1,0)</f>
        <v>0</v>
      </c>
      <c r="BF235" s="21" t="str">
        <f>IF(tblsales[[#This Row],[Win Flag]]=1,"Won","Lost")</f>
        <v>Lost</v>
      </c>
      <c r="BG235" s="8"/>
    </row>
    <row r="236" spans="1:59" x14ac:dyDescent="0.3">
      <c r="A236" s="10" t="s">
        <v>1030</v>
      </c>
      <c r="B236" s="9">
        <v>45802</v>
      </c>
      <c r="C236" s="10" t="s">
        <v>258</v>
      </c>
      <c r="D236" s="10" t="s">
        <v>215</v>
      </c>
      <c r="E236" s="10" t="s">
        <v>20</v>
      </c>
      <c r="F236" s="10" t="s">
        <v>31</v>
      </c>
      <c r="G236" s="10" t="s">
        <v>80</v>
      </c>
      <c r="H236" s="10" t="s">
        <v>197</v>
      </c>
      <c r="I236" s="10" t="s">
        <v>183</v>
      </c>
      <c r="J236" s="10" t="s">
        <v>136</v>
      </c>
      <c r="K236" s="10" t="s">
        <v>221</v>
      </c>
      <c r="L236" s="10" t="s">
        <v>1031</v>
      </c>
      <c r="M236" s="9">
        <v>45763</v>
      </c>
      <c r="N236" s="9"/>
      <c r="O236" s="9">
        <v>45891</v>
      </c>
      <c r="P236" s="11">
        <v>53</v>
      </c>
      <c r="Q236" s="12">
        <v>11022255</v>
      </c>
      <c r="R236">
        <v>11022255</v>
      </c>
      <c r="S236" s="22">
        <v>0.03</v>
      </c>
      <c r="T236" s="22">
        <v>-0.03</v>
      </c>
      <c r="U236" s="12">
        <v>10370839.73</v>
      </c>
      <c r="V236" s="24">
        <v>10370839.73</v>
      </c>
      <c r="W236" s="8">
        <v>9247499.6099999994</v>
      </c>
      <c r="X236" s="24">
        <v>9247499.6099999994</v>
      </c>
      <c r="Y236" s="22">
        <v>0.36</v>
      </c>
      <c r="Z236" s="22">
        <v>0.12</v>
      </c>
      <c r="AA236" s="8" t="s">
        <v>1032</v>
      </c>
      <c r="AB236" s="8">
        <v>3552943.54</v>
      </c>
      <c r="AC236" s="24">
        <v>3552943.54</v>
      </c>
      <c r="AD236" s="8">
        <v>3149085.22</v>
      </c>
      <c r="AE236" s="24">
        <v>3149085.22</v>
      </c>
      <c r="AF236" s="8">
        <v>120</v>
      </c>
      <c r="AG236" s="8">
        <v>111</v>
      </c>
      <c r="AH236" s="8" t="s">
        <v>329</v>
      </c>
      <c r="AI236" s="8" t="s">
        <v>406</v>
      </c>
      <c r="AJ236" s="22">
        <v>0.13</v>
      </c>
      <c r="AK236" s="8" t="s">
        <v>152</v>
      </c>
      <c r="AL236" s="22">
        <v>0.15</v>
      </c>
      <c r="AM236" s="22">
        <v>0.05</v>
      </c>
      <c r="AN236" s="8">
        <v>2</v>
      </c>
      <c r="AO236" s="8">
        <v>1233</v>
      </c>
      <c r="AP236" s="8">
        <v>240692.03</v>
      </c>
      <c r="AQ236" s="24">
        <v>240692.03</v>
      </c>
      <c r="AR236" s="8">
        <v>3782336.81</v>
      </c>
      <c r="AS236" s="37">
        <v>3782336.81</v>
      </c>
      <c r="AT236" s="8" t="s">
        <v>332</v>
      </c>
      <c r="AU236" s="8" t="s">
        <v>322</v>
      </c>
      <c r="AV236" s="8">
        <v>69.3</v>
      </c>
      <c r="AW236" s="8">
        <v>60</v>
      </c>
      <c r="AX236" s="8" t="s">
        <v>387</v>
      </c>
      <c r="AY236" s="8" t="s">
        <v>186</v>
      </c>
      <c r="AZ236" s="8" t="s">
        <v>377</v>
      </c>
      <c r="BA236" s="21">
        <f>IF(OR(tblsales[[#This Row],[Invoice Value USD]]="",tblsales[[#This Row],[Collected Amount USD]]=""),"",tblsales[[#This Row],[Invoice Value USD]]-tblsales[[#This Row],[Collected Amount USD]])</f>
        <v>403858.31999999983</v>
      </c>
      <c r="BB236" s="21">
        <f>IF(OR(tblsales[[#This Row],[Contract Value USD]]="",tblsales[[#This Row],[Cost Estimate USD]]=""),"",tblsales[[#This Row],[Contract Value USD]]-tblsales[[#This Row],[Cost Estimate USD]])</f>
        <v>1123340.120000001</v>
      </c>
      <c r="BC236" s="21">
        <f>IF(OR(tblsales[[#This Row],[Contract Value USD]]="",tblsales[[#This Row],[Cost Estimate USD]]=""),"",tblsales[[#This Row],[Contract Value USD]]-tblsales[[#This Row],[Cost Estimate USD]])</f>
        <v>1123340.120000001</v>
      </c>
      <c r="BD236" s="23">
        <f>IF(tblsales[[#This Row],[Invoice Value USD]]="","",tblsales[[#This Row],[Collected Amount USD]]/tblsales[[#This Row],[Invoice Value USD]])</f>
        <v>0.88633134316567275</v>
      </c>
      <c r="BE236" s="11">
        <f>IF(tblsales[[#This Row],[SalesStage]]="Won",1,0)</f>
        <v>0</v>
      </c>
      <c r="BF236" s="21" t="str">
        <f>IF(tblsales[[#This Row],[Win Flag]]=1,"Won","Lost")</f>
        <v>Lost</v>
      </c>
      <c r="BG236" s="8"/>
    </row>
    <row r="237" spans="1:59" x14ac:dyDescent="0.3">
      <c r="A237" s="10" t="s">
        <v>1033</v>
      </c>
      <c r="B237" s="9">
        <v>45995</v>
      </c>
      <c r="C237" s="10" t="s">
        <v>280</v>
      </c>
      <c r="D237" s="10" t="s">
        <v>215</v>
      </c>
      <c r="E237" s="10" t="s">
        <v>20</v>
      </c>
      <c r="F237" s="10" t="s">
        <v>31</v>
      </c>
      <c r="G237" s="10" t="s">
        <v>28</v>
      </c>
      <c r="H237" s="10" t="s">
        <v>182</v>
      </c>
      <c r="I237" s="10" t="s">
        <v>203</v>
      </c>
      <c r="J237" s="10" t="s">
        <v>136</v>
      </c>
      <c r="K237" s="10" t="s">
        <v>326</v>
      </c>
      <c r="L237" s="10" t="s">
        <v>1034</v>
      </c>
      <c r="M237" s="9">
        <v>45687</v>
      </c>
      <c r="N237" s="9">
        <v>45799</v>
      </c>
      <c r="O237" s="9">
        <v>45828</v>
      </c>
      <c r="P237" s="11">
        <v>41</v>
      </c>
      <c r="Q237" s="12">
        <v>1654965</v>
      </c>
      <c r="R237">
        <v>450646.96950000001</v>
      </c>
      <c r="S237" s="22">
        <v>0.18</v>
      </c>
      <c r="T237" s="22">
        <v>-0.01</v>
      </c>
      <c r="U237" s="12">
        <v>1343500.59</v>
      </c>
      <c r="V237" s="24">
        <v>365835.21065700002</v>
      </c>
      <c r="W237" s="8">
        <v>919719.04</v>
      </c>
      <c r="X237" s="24">
        <v>250439.494592</v>
      </c>
      <c r="Y237" s="22">
        <v>0.33</v>
      </c>
      <c r="Z237" s="22">
        <v>0.18</v>
      </c>
      <c r="AA237" s="8" t="s">
        <v>1035</v>
      </c>
      <c r="AB237" s="8">
        <v>1014761.36</v>
      </c>
      <c r="AC237" s="24">
        <v>276319.51832799998</v>
      </c>
      <c r="AD237" s="8">
        <v>997562.91</v>
      </c>
      <c r="AE237" s="24">
        <v>271636.38039299997</v>
      </c>
      <c r="AF237" s="8">
        <v>60</v>
      </c>
      <c r="AG237" s="8">
        <v>59</v>
      </c>
      <c r="AH237" s="8" t="s">
        <v>353</v>
      </c>
      <c r="AI237" s="8" t="s">
        <v>336</v>
      </c>
      <c r="AJ237" s="22">
        <v>0.23</v>
      </c>
      <c r="AK237" s="8" t="s">
        <v>153</v>
      </c>
      <c r="AL237" s="22">
        <v>0.15</v>
      </c>
      <c r="AM237" s="22">
        <v>0.08</v>
      </c>
      <c r="AN237" s="8">
        <v>13</v>
      </c>
      <c r="AO237" s="8">
        <v>1725</v>
      </c>
      <c r="AP237" s="8">
        <v>239552.62</v>
      </c>
      <c r="AQ237" s="24">
        <v>65230.178425999999</v>
      </c>
      <c r="AR237" s="8">
        <v>619382.82999999996</v>
      </c>
      <c r="AS237" s="37">
        <v>168657.94460899997</v>
      </c>
      <c r="AT237" s="8" t="s">
        <v>355</v>
      </c>
      <c r="AU237" s="8" t="s">
        <v>386</v>
      </c>
      <c r="AV237" s="8">
        <v>73.7</v>
      </c>
      <c r="AW237" s="8">
        <v>48</v>
      </c>
      <c r="AX237" s="8" t="s">
        <v>337</v>
      </c>
      <c r="AY237" s="8" t="s">
        <v>186</v>
      </c>
      <c r="AZ237" s="8" t="s">
        <v>188</v>
      </c>
      <c r="BA237" s="21">
        <f>IF(OR(tblsales[[#This Row],[Invoice Value USD]]="",tblsales[[#This Row],[Collected Amount USD]]=""),"",tblsales[[#This Row],[Invoice Value USD]]-tblsales[[#This Row],[Collected Amount USD]])</f>
        <v>4683.1379350000061</v>
      </c>
      <c r="BB237" s="21">
        <f>IF(OR(tblsales[[#This Row],[Contract Value USD]]="",tblsales[[#This Row],[Cost Estimate USD]]=""),"",tblsales[[#This Row],[Contract Value USD]]-tblsales[[#This Row],[Cost Estimate USD]])</f>
        <v>115395.71606500002</v>
      </c>
      <c r="BC237" s="21">
        <f>IF(OR(tblsales[[#This Row],[Contract Value USD]]="",tblsales[[#This Row],[Cost Estimate USD]]=""),"",tblsales[[#This Row],[Contract Value USD]]-tblsales[[#This Row],[Cost Estimate USD]])</f>
        <v>115395.71606500002</v>
      </c>
      <c r="BD237" s="23">
        <f>IF(tblsales[[#This Row],[Invoice Value USD]]="","",tblsales[[#This Row],[Collected Amount USD]]/tblsales[[#This Row],[Invoice Value USD]])</f>
        <v>0.98305172952190456</v>
      </c>
      <c r="BE237" s="11">
        <f>IF(tblsales[[#This Row],[SalesStage]]="Won",1,0)</f>
        <v>0</v>
      </c>
      <c r="BF237" s="21" t="str">
        <f>IF(tblsales[[#This Row],[Win Flag]]=1,"Won","Lost")</f>
        <v>Lost</v>
      </c>
      <c r="BG237" s="8"/>
    </row>
    <row r="238" spans="1:59" x14ac:dyDescent="0.3">
      <c r="A238" s="10" t="s">
        <v>1036</v>
      </c>
      <c r="B238" s="9">
        <v>46058</v>
      </c>
      <c r="C238" s="10" t="s">
        <v>208</v>
      </c>
      <c r="D238" s="10" t="s">
        <v>180</v>
      </c>
      <c r="E238" s="10" t="s">
        <v>41</v>
      </c>
      <c r="F238" s="10" t="s">
        <v>350</v>
      </c>
      <c r="G238" s="10" t="s">
        <v>62</v>
      </c>
      <c r="H238" s="10" t="s">
        <v>197</v>
      </c>
      <c r="I238" s="10" t="s">
        <v>203</v>
      </c>
      <c r="J238" s="10" t="s">
        <v>130</v>
      </c>
      <c r="K238" s="10" t="s">
        <v>184</v>
      </c>
      <c r="L238" s="10" t="s">
        <v>1037</v>
      </c>
      <c r="M238" s="9">
        <v>45988</v>
      </c>
      <c r="N238" s="9"/>
      <c r="O238" s="9"/>
      <c r="P238" s="11">
        <v>42</v>
      </c>
      <c r="Q238" s="12">
        <v>42658552</v>
      </c>
      <c r="R238">
        <v>11615923.7096</v>
      </c>
      <c r="S238" s="22">
        <v>0.2</v>
      </c>
      <c r="T238" s="22">
        <v>0.18</v>
      </c>
      <c r="U238" s="12">
        <v>40269673.090000004</v>
      </c>
      <c r="V238" s="24">
        <v>10965431.982407</v>
      </c>
      <c r="W238" s="8">
        <v>25927067.620000001</v>
      </c>
      <c r="X238" s="24">
        <v>7059940.5129260002</v>
      </c>
      <c r="Y238" s="22">
        <v>0.16</v>
      </c>
      <c r="Z238" s="22">
        <v>0.2</v>
      </c>
      <c r="AA238" s="8" t="s">
        <v>1038</v>
      </c>
      <c r="AB238" s="8">
        <v>26251362.989999998</v>
      </c>
      <c r="AC238" s="24">
        <v>7148246.1421769988</v>
      </c>
      <c r="AD238" s="8">
        <v>20673202.809999999</v>
      </c>
      <c r="AE238" s="24">
        <v>5629313.1251629991</v>
      </c>
      <c r="AF238" s="8">
        <v>45</v>
      </c>
      <c r="AG238" s="8">
        <v>126</v>
      </c>
      <c r="AH238" s="8" t="s">
        <v>342</v>
      </c>
      <c r="AI238" s="8" t="s">
        <v>336</v>
      </c>
      <c r="AJ238" s="22">
        <v>0.57999999999999996</v>
      </c>
      <c r="AK238" s="8" t="s">
        <v>153</v>
      </c>
      <c r="AL238" s="22">
        <v>0.05</v>
      </c>
      <c r="AM238" s="22">
        <v>0.04</v>
      </c>
      <c r="AN238" s="8">
        <v>3</v>
      </c>
      <c r="AO238" s="8">
        <v>2431</v>
      </c>
      <c r="AP238" s="8">
        <v>7617565.2999999998</v>
      </c>
      <c r="AQ238" s="24">
        <v>2074263.0311899998</v>
      </c>
      <c r="AR238" s="8">
        <v>16894714.460000001</v>
      </c>
      <c r="AS238" s="37">
        <v>4600430.7474579997</v>
      </c>
      <c r="AT238" s="8" t="s">
        <v>73</v>
      </c>
      <c r="AU238" s="8" t="s">
        <v>348</v>
      </c>
      <c r="AV238" s="8">
        <v>60</v>
      </c>
      <c r="AW238" s="8">
        <v>48</v>
      </c>
      <c r="AX238" s="8" t="s">
        <v>337</v>
      </c>
      <c r="AY238" s="8" t="s">
        <v>186</v>
      </c>
      <c r="AZ238" s="8" t="s">
        <v>361</v>
      </c>
      <c r="BA238" s="21">
        <f>IF(OR(tblsales[[#This Row],[Invoice Value USD]]="",tblsales[[#This Row],[Collected Amount USD]]=""),"",tblsales[[#This Row],[Invoice Value USD]]-tblsales[[#This Row],[Collected Amount USD]])</f>
        <v>1518933.0170139996</v>
      </c>
      <c r="BB238" s="21">
        <f>IF(OR(tblsales[[#This Row],[Contract Value USD]]="",tblsales[[#This Row],[Cost Estimate USD]]=""),"",tblsales[[#This Row],[Contract Value USD]]-tblsales[[#This Row],[Cost Estimate USD]])</f>
        <v>3905491.4694809997</v>
      </c>
      <c r="BC238" s="21">
        <f>IF(OR(tblsales[[#This Row],[Contract Value USD]]="",tblsales[[#This Row],[Cost Estimate USD]]=""),"",tblsales[[#This Row],[Contract Value USD]]-tblsales[[#This Row],[Cost Estimate USD]])</f>
        <v>3905491.4694809997</v>
      </c>
      <c r="BD238" s="23">
        <f>IF(tblsales[[#This Row],[Invoice Value USD]]="","",tblsales[[#This Row],[Collected Amount USD]]/tblsales[[#This Row],[Invoice Value USD]])</f>
        <v>0.78750969303479967</v>
      </c>
      <c r="BE238" s="11">
        <f>IF(tblsales[[#This Row],[SalesStage]]="Won",1,0)</f>
        <v>0</v>
      </c>
      <c r="BF238" s="21" t="str">
        <f>IF(tblsales[[#This Row],[Win Flag]]=1,"Won","Lost")</f>
        <v>Lost</v>
      </c>
      <c r="BG238" s="8"/>
    </row>
    <row r="239" spans="1:59" x14ac:dyDescent="0.3">
      <c r="A239" s="10" t="s">
        <v>1039</v>
      </c>
      <c r="B239" s="9">
        <v>45670</v>
      </c>
      <c r="C239" s="10" t="s">
        <v>271</v>
      </c>
      <c r="D239" s="10" t="s">
        <v>209</v>
      </c>
      <c r="E239" s="10" t="s">
        <v>332</v>
      </c>
      <c r="F239" s="10" t="s">
        <v>332</v>
      </c>
      <c r="G239" s="10" t="s">
        <v>80</v>
      </c>
      <c r="H239" s="10" t="s">
        <v>212</v>
      </c>
      <c r="I239" s="10" t="s">
        <v>246</v>
      </c>
      <c r="J239" s="10" t="s">
        <v>130</v>
      </c>
      <c r="K239" s="10" t="s">
        <v>223</v>
      </c>
      <c r="L239" s="10" t="s">
        <v>1040</v>
      </c>
      <c r="M239" s="9">
        <v>45642</v>
      </c>
      <c r="N239" s="9">
        <v>45810</v>
      </c>
      <c r="O239" s="9">
        <v>45782</v>
      </c>
      <c r="P239" s="11">
        <v>23</v>
      </c>
      <c r="Q239" s="12">
        <v>2134160</v>
      </c>
      <c r="R239">
        <v>586253.75199999998</v>
      </c>
      <c r="S239" s="22">
        <v>0.23</v>
      </c>
      <c r="T239" s="22">
        <v>0.14000000000000001</v>
      </c>
      <c r="U239" s="12">
        <v>1873365.65</v>
      </c>
      <c r="V239" s="24">
        <v>514613.54405499995</v>
      </c>
      <c r="W239" s="8">
        <v>1551445.47</v>
      </c>
      <c r="X239" s="24">
        <v>426182.07060899999</v>
      </c>
      <c r="Y239" s="22">
        <v>0.16</v>
      </c>
      <c r="Z239" s="22">
        <v>0.16</v>
      </c>
      <c r="AA239" s="8" t="s">
        <v>1041</v>
      </c>
      <c r="AB239" s="8">
        <v>219002.48</v>
      </c>
      <c r="AC239" s="24">
        <v>60159.981256000006</v>
      </c>
      <c r="AD239" s="8">
        <v>147159.06</v>
      </c>
      <c r="AE239" s="24">
        <v>40424.593781999996</v>
      </c>
      <c r="AF239" s="8">
        <v>45</v>
      </c>
      <c r="AG239" s="8">
        <v>115</v>
      </c>
      <c r="AH239" s="8" t="s">
        <v>353</v>
      </c>
      <c r="AI239" s="8" t="s">
        <v>226</v>
      </c>
      <c r="AJ239" s="22">
        <v>0.64</v>
      </c>
      <c r="AK239" s="8" t="s">
        <v>155</v>
      </c>
      <c r="AL239" s="22">
        <v>0.15</v>
      </c>
      <c r="AM239" s="22">
        <v>0.02</v>
      </c>
      <c r="AN239" s="8">
        <v>14</v>
      </c>
      <c r="AO239" s="8">
        <v>566</v>
      </c>
      <c r="AP239" s="8">
        <v>81525.58</v>
      </c>
      <c r="AQ239" s="24">
        <v>22395.076826</v>
      </c>
      <c r="AR239" s="8">
        <v>722260.24</v>
      </c>
      <c r="AS239" s="37">
        <v>198404.88792800001</v>
      </c>
      <c r="AT239" s="8" t="s">
        <v>391</v>
      </c>
      <c r="AU239" s="8" t="s">
        <v>321</v>
      </c>
      <c r="AV239" s="8">
        <v>52.8</v>
      </c>
      <c r="AW239" s="8"/>
      <c r="AX239" s="8" t="s">
        <v>323</v>
      </c>
      <c r="AY239" s="8" t="s">
        <v>192</v>
      </c>
      <c r="AZ239" s="8" t="s">
        <v>377</v>
      </c>
      <c r="BA239" s="21">
        <f>IF(OR(tblsales[[#This Row],[Invoice Value USD]]="",tblsales[[#This Row],[Collected Amount USD]]=""),"",tblsales[[#This Row],[Invoice Value USD]]-tblsales[[#This Row],[Collected Amount USD]])</f>
        <v>19735.38747400001</v>
      </c>
      <c r="BB239" s="21">
        <f>IF(OR(tblsales[[#This Row],[Contract Value USD]]="",tblsales[[#This Row],[Cost Estimate USD]]=""),"",tblsales[[#This Row],[Contract Value USD]]-tblsales[[#This Row],[Cost Estimate USD]])</f>
        <v>88431.47344599996</v>
      </c>
      <c r="BC239" s="21">
        <f>IF(OR(tblsales[[#This Row],[Contract Value USD]]="",tblsales[[#This Row],[Cost Estimate USD]]=""),"",tblsales[[#This Row],[Contract Value USD]]-tblsales[[#This Row],[Cost Estimate USD]])</f>
        <v>88431.47344599996</v>
      </c>
      <c r="BD239" s="23">
        <f>IF(tblsales[[#This Row],[Invoice Value USD]]="","",tblsales[[#This Row],[Collected Amount USD]]/tblsales[[#This Row],[Invoice Value USD]])</f>
        <v>0.67195156876762296</v>
      </c>
      <c r="BE239" s="11">
        <f>IF(tblsales[[#This Row],[SalesStage]]="Won",1,0)</f>
        <v>0</v>
      </c>
      <c r="BF239" s="21" t="str">
        <f>IF(tblsales[[#This Row],[Win Flag]]=1,"Won","Lost")</f>
        <v>Lost</v>
      </c>
      <c r="BG239" s="8"/>
    </row>
    <row r="240" spans="1:59" x14ac:dyDescent="0.3">
      <c r="A240" s="10" t="s">
        <v>1042</v>
      </c>
      <c r="B240" s="9">
        <v>45910</v>
      </c>
      <c r="C240" s="10" t="s">
        <v>261</v>
      </c>
      <c r="D240" s="10" t="s">
        <v>274</v>
      </c>
      <c r="E240" s="10" t="s">
        <v>332</v>
      </c>
      <c r="F240" s="10" t="s">
        <v>367</v>
      </c>
      <c r="G240" s="10" t="s">
        <v>38</v>
      </c>
      <c r="H240" s="10" t="s">
        <v>216</v>
      </c>
      <c r="I240" s="10" t="s">
        <v>183</v>
      </c>
      <c r="J240" s="10" t="s">
        <v>130</v>
      </c>
      <c r="K240" s="10" t="s">
        <v>223</v>
      </c>
      <c r="L240" s="10" t="s">
        <v>1043</v>
      </c>
      <c r="M240" s="9">
        <v>45859</v>
      </c>
      <c r="N240" s="9">
        <v>45952</v>
      </c>
      <c r="O240" s="9"/>
      <c r="P240" s="11">
        <v>34</v>
      </c>
      <c r="Q240" s="12">
        <v>27081118</v>
      </c>
      <c r="R240">
        <v>7374188.4313999992</v>
      </c>
      <c r="S240" s="22">
        <v>0.2</v>
      </c>
      <c r="T240" s="22">
        <v>0.08</v>
      </c>
      <c r="U240" s="12">
        <v>23398085.949999999</v>
      </c>
      <c r="V240" s="24">
        <v>6371298.8041849993</v>
      </c>
      <c r="W240" s="8"/>
      <c r="X240" s="24"/>
      <c r="Y240" s="22">
        <v>0.2</v>
      </c>
      <c r="Z240" s="22">
        <v>0.06</v>
      </c>
      <c r="AA240" s="8" t="s">
        <v>1044</v>
      </c>
      <c r="AB240" s="8">
        <v>13934634.199999999</v>
      </c>
      <c r="AC240" s="24">
        <v>3794400.8926599994</v>
      </c>
      <c r="AD240" s="8">
        <v>8594772.7699999996</v>
      </c>
      <c r="AE240" s="24">
        <v>2340356.625271</v>
      </c>
      <c r="AF240" s="8">
        <v>45</v>
      </c>
      <c r="AG240" s="8">
        <v>141</v>
      </c>
      <c r="AH240" s="8" t="s">
        <v>347</v>
      </c>
      <c r="AI240" s="8" t="s">
        <v>406</v>
      </c>
      <c r="AJ240" s="22">
        <v>0.82</v>
      </c>
      <c r="AK240" s="8" t="s">
        <v>153</v>
      </c>
      <c r="AL240" s="22">
        <v>0.05</v>
      </c>
      <c r="AM240" s="22">
        <v>0.05</v>
      </c>
      <c r="AN240" s="8">
        <v>3</v>
      </c>
      <c r="AO240" s="8">
        <v>670</v>
      </c>
      <c r="AP240" s="8">
        <v>2449011.98</v>
      </c>
      <c r="AQ240" s="24">
        <v>666865.96215399995</v>
      </c>
      <c r="AR240" s="8">
        <v>3876400.01</v>
      </c>
      <c r="AS240" s="37">
        <v>1055543.722723</v>
      </c>
      <c r="AT240" s="8" t="s">
        <v>321</v>
      </c>
      <c r="AU240" s="8" t="s">
        <v>322</v>
      </c>
      <c r="AV240" s="8">
        <v>60.4</v>
      </c>
      <c r="AW240" s="8">
        <v>60</v>
      </c>
      <c r="AX240" s="8" t="s">
        <v>337</v>
      </c>
      <c r="AY240" s="8" t="s">
        <v>206</v>
      </c>
      <c r="AZ240" s="8" t="s">
        <v>361</v>
      </c>
      <c r="BA240" s="21">
        <f>IF(OR(tblsales[[#This Row],[Invoice Value USD]]="",tblsales[[#This Row],[Collected Amount USD]]=""),"",tblsales[[#This Row],[Invoice Value USD]]-tblsales[[#This Row],[Collected Amount USD]])</f>
        <v>1454044.2673889995</v>
      </c>
      <c r="BB240" s="21" t="str">
        <f>IF(OR(tblsales[[#This Row],[Contract Value USD]]="",tblsales[[#This Row],[Cost Estimate USD]]=""),"",tblsales[[#This Row],[Contract Value USD]]-tblsales[[#This Row],[Cost Estimate USD]])</f>
        <v/>
      </c>
      <c r="BC240" s="21" t="str">
        <f>IF(OR(tblsales[[#This Row],[Contract Value USD]]="",tblsales[[#This Row],[Cost Estimate USD]]=""),"",tblsales[[#This Row],[Contract Value USD]]-tblsales[[#This Row],[Cost Estimate USD]])</f>
        <v/>
      </c>
      <c r="BD240" s="23">
        <f>IF(tblsales[[#This Row],[Invoice Value USD]]="","",tblsales[[#This Row],[Collected Amount USD]]/tblsales[[#This Row],[Invoice Value USD]])</f>
        <v>0.61679213437838221</v>
      </c>
      <c r="BE240" s="11">
        <f>IF(tblsales[[#This Row],[SalesStage]]="Won",1,0)</f>
        <v>0</v>
      </c>
      <c r="BF240" s="21" t="str">
        <f>IF(tblsales[[#This Row],[Win Flag]]=1,"Won","Lost")</f>
        <v>Lost</v>
      </c>
      <c r="BG240" s="8"/>
    </row>
    <row r="241" spans="1:59" x14ac:dyDescent="0.3">
      <c r="A241" s="10" t="s">
        <v>1045</v>
      </c>
      <c r="B241" s="9">
        <v>45856</v>
      </c>
      <c r="C241" s="10" t="s">
        <v>283</v>
      </c>
      <c r="D241" s="10" t="s">
        <v>255</v>
      </c>
      <c r="E241" s="10" t="s">
        <v>52</v>
      </c>
      <c r="F241" s="10" t="s">
        <v>75</v>
      </c>
      <c r="G241" s="10" t="s">
        <v>66</v>
      </c>
      <c r="H241" s="10" t="s">
        <v>236</v>
      </c>
      <c r="I241" s="10" t="s">
        <v>240</v>
      </c>
      <c r="J241" s="10" t="s">
        <v>119</v>
      </c>
      <c r="K241" s="10" t="s">
        <v>221</v>
      </c>
      <c r="L241" s="10" t="s">
        <v>1046</v>
      </c>
      <c r="M241" s="9">
        <v>45771</v>
      </c>
      <c r="N241" s="9">
        <v>45859</v>
      </c>
      <c r="O241" s="9">
        <v>45918</v>
      </c>
      <c r="P241" s="11">
        <v>22</v>
      </c>
      <c r="Q241" s="12">
        <v>10928245</v>
      </c>
      <c r="R241">
        <v>10928245</v>
      </c>
      <c r="S241" s="22">
        <v>0.28999999999999998</v>
      </c>
      <c r="T241" s="22">
        <v>0.14000000000000001</v>
      </c>
      <c r="U241" s="12">
        <v>8845321.5</v>
      </c>
      <c r="V241" s="24">
        <v>8845321.5</v>
      </c>
      <c r="W241" s="8"/>
      <c r="X241" s="24"/>
      <c r="Y241" s="22">
        <v>0.35</v>
      </c>
      <c r="Z241" s="22">
        <v>0.08</v>
      </c>
      <c r="AA241" s="8" t="s">
        <v>1047</v>
      </c>
      <c r="AB241" s="8">
        <v>2369099.89</v>
      </c>
      <c r="AC241" s="24">
        <v>2369099.89</v>
      </c>
      <c r="AD241" s="8">
        <v>1081773.53</v>
      </c>
      <c r="AE241" s="24">
        <v>1081773.53</v>
      </c>
      <c r="AF241" s="8">
        <v>60</v>
      </c>
      <c r="AG241" s="8">
        <v>101</v>
      </c>
      <c r="AH241" s="8" t="s">
        <v>376</v>
      </c>
      <c r="AI241" s="8" t="s">
        <v>226</v>
      </c>
      <c r="AJ241" s="22">
        <v>0.16</v>
      </c>
      <c r="AK241" s="8" t="s">
        <v>152</v>
      </c>
      <c r="AL241" s="22">
        <v>0.1</v>
      </c>
      <c r="AM241" s="22">
        <v>0.05</v>
      </c>
      <c r="AN241" s="8">
        <v>14</v>
      </c>
      <c r="AO241" s="8">
        <v>4037</v>
      </c>
      <c r="AP241" s="8">
        <v>1390929.34</v>
      </c>
      <c r="AQ241" s="24">
        <v>1390929.34</v>
      </c>
      <c r="AR241" s="8">
        <v>3244549.95</v>
      </c>
      <c r="AS241" s="37">
        <v>3244549.95</v>
      </c>
      <c r="AT241" s="8" t="s">
        <v>332</v>
      </c>
      <c r="AU241" s="8" t="s">
        <v>356</v>
      </c>
      <c r="AV241" s="8">
        <v>66.400000000000006</v>
      </c>
      <c r="AW241" s="8">
        <v>12</v>
      </c>
      <c r="AX241" s="8" t="s">
        <v>323</v>
      </c>
      <c r="AY241" s="8" t="s">
        <v>192</v>
      </c>
      <c r="AZ241" s="8" t="s">
        <v>324</v>
      </c>
      <c r="BA241" s="21">
        <f>IF(OR(tblsales[[#This Row],[Invoice Value USD]]="",tblsales[[#This Row],[Collected Amount USD]]=""),"",tblsales[[#This Row],[Invoice Value USD]]-tblsales[[#This Row],[Collected Amount USD]])</f>
        <v>1287326.3600000001</v>
      </c>
      <c r="BB241" s="21" t="str">
        <f>IF(OR(tblsales[[#This Row],[Contract Value USD]]="",tblsales[[#This Row],[Cost Estimate USD]]=""),"",tblsales[[#This Row],[Contract Value USD]]-tblsales[[#This Row],[Cost Estimate USD]])</f>
        <v/>
      </c>
      <c r="BC241" s="21" t="str">
        <f>IF(OR(tblsales[[#This Row],[Contract Value USD]]="",tblsales[[#This Row],[Cost Estimate USD]]=""),"",tblsales[[#This Row],[Contract Value USD]]-tblsales[[#This Row],[Cost Estimate USD]])</f>
        <v/>
      </c>
      <c r="BD241" s="23">
        <f>IF(tblsales[[#This Row],[Invoice Value USD]]="","",tblsales[[#This Row],[Collected Amount USD]]/tblsales[[#This Row],[Invoice Value USD]])</f>
        <v>0.45661794784009718</v>
      </c>
      <c r="BE241" s="11">
        <f>IF(tblsales[[#This Row],[SalesStage]]="Won",1,0)</f>
        <v>0</v>
      </c>
      <c r="BF241" s="21" t="str">
        <f>IF(tblsales[[#This Row],[Win Flag]]=1,"Won","Lost")</f>
        <v>Lost</v>
      </c>
      <c r="BG241" s="8"/>
    </row>
    <row r="242" spans="1:59" x14ac:dyDescent="0.3">
      <c r="A242" s="10" t="s">
        <v>1048</v>
      </c>
      <c r="B242" s="9">
        <v>45798</v>
      </c>
      <c r="C242" s="10" t="s">
        <v>217</v>
      </c>
      <c r="D242" s="10" t="s">
        <v>220</v>
      </c>
      <c r="E242" s="10" t="s">
        <v>36</v>
      </c>
      <c r="F242" s="10" t="s">
        <v>339</v>
      </c>
      <c r="G242" s="10" t="s">
        <v>66</v>
      </c>
      <c r="H242" s="10" t="s">
        <v>182</v>
      </c>
      <c r="I242" s="10" t="s">
        <v>240</v>
      </c>
      <c r="J242" s="10" t="s">
        <v>115</v>
      </c>
      <c r="K242" s="10" t="s">
        <v>333</v>
      </c>
      <c r="L242" s="10" t="s">
        <v>1049</v>
      </c>
      <c r="M242" s="9">
        <v>45766</v>
      </c>
      <c r="N242" s="9"/>
      <c r="O242" s="9">
        <v>45886</v>
      </c>
      <c r="P242" s="11">
        <v>47</v>
      </c>
      <c r="Q242" s="12">
        <v>200636</v>
      </c>
      <c r="R242">
        <v>54633.182799999995</v>
      </c>
      <c r="S242" s="22">
        <v>0.11</v>
      </c>
      <c r="T242" s="22">
        <v>0.05</v>
      </c>
      <c r="U242" s="12">
        <v>187494.34</v>
      </c>
      <c r="V242" s="24">
        <v>51054.708781999994</v>
      </c>
      <c r="W242" s="8">
        <v>116056.21</v>
      </c>
      <c r="X242" s="24">
        <v>31602.105983000001</v>
      </c>
      <c r="Y242" s="22">
        <v>0.13</v>
      </c>
      <c r="Z242" s="22">
        <v>0.11</v>
      </c>
      <c r="AA242" s="8" t="s">
        <v>1050</v>
      </c>
      <c r="AB242" s="8">
        <v>99914.66</v>
      </c>
      <c r="AC242" s="24">
        <v>27206.761918</v>
      </c>
      <c r="AD242" s="8">
        <v>42722.49</v>
      </c>
      <c r="AE242" s="24">
        <v>11633.334026999999</v>
      </c>
      <c r="AF242" s="8">
        <v>30</v>
      </c>
      <c r="AG242" s="8">
        <v>95</v>
      </c>
      <c r="AH242" s="8" t="s">
        <v>353</v>
      </c>
      <c r="AI242" s="8" t="s">
        <v>455</v>
      </c>
      <c r="AJ242" s="22">
        <v>0.25</v>
      </c>
      <c r="AK242" s="8" t="s">
        <v>153</v>
      </c>
      <c r="AL242" s="22">
        <v>0.05</v>
      </c>
      <c r="AM242" s="22">
        <v>0.1</v>
      </c>
      <c r="AN242" s="8">
        <v>11</v>
      </c>
      <c r="AO242" s="8">
        <v>1443</v>
      </c>
      <c r="AP242" s="8">
        <v>28621.94</v>
      </c>
      <c r="AQ242" s="24">
        <v>7793.7542619999995</v>
      </c>
      <c r="AR242" s="8"/>
      <c r="AS242" s="37"/>
      <c r="AT242" s="8" t="s">
        <v>332</v>
      </c>
      <c r="AU242" s="8" t="s">
        <v>330</v>
      </c>
      <c r="AV242" s="8"/>
      <c r="AW242" s="8"/>
      <c r="AX242" s="8" t="s">
        <v>392</v>
      </c>
      <c r="AY242" s="8" t="s">
        <v>186</v>
      </c>
      <c r="AZ242" s="8" t="s">
        <v>332</v>
      </c>
      <c r="BA242" s="21">
        <f>IF(OR(tblsales[[#This Row],[Invoice Value USD]]="",tblsales[[#This Row],[Collected Amount USD]]=""),"",tblsales[[#This Row],[Invoice Value USD]]-tblsales[[#This Row],[Collected Amount USD]])</f>
        <v>15573.427891000001</v>
      </c>
      <c r="BB242" s="21">
        <f>IF(OR(tblsales[[#This Row],[Contract Value USD]]="",tblsales[[#This Row],[Cost Estimate USD]]=""),"",tblsales[[#This Row],[Contract Value USD]]-tblsales[[#This Row],[Cost Estimate USD]])</f>
        <v>19452.602798999993</v>
      </c>
      <c r="BC242" s="21">
        <f>IF(OR(tblsales[[#This Row],[Contract Value USD]]="",tblsales[[#This Row],[Cost Estimate USD]]=""),"",tblsales[[#This Row],[Contract Value USD]]-tblsales[[#This Row],[Cost Estimate USD]])</f>
        <v>19452.602798999993</v>
      </c>
      <c r="BD242" s="23">
        <f>IF(tblsales[[#This Row],[Invoice Value USD]]="","",tblsales[[#This Row],[Collected Amount USD]]/tblsales[[#This Row],[Invoice Value USD]])</f>
        <v>0.42758980513970618</v>
      </c>
      <c r="BE242" s="11">
        <f>IF(tblsales[[#This Row],[SalesStage]]="Won",1,0)</f>
        <v>0</v>
      </c>
      <c r="BF242" s="21" t="str">
        <f>IF(tblsales[[#This Row],[Win Flag]]=1,"Won","Lost")</f>
        <v>Lost</v>
      </c>
      <c r="BG242" s="8"/>
    </row>
    <row r="243" spans="1:59" x14ac:dyDescent="0.3">
      <c r="A243" s="10" t="s">
        <v>1051</v>
      </c>
      <c r="B243" s="9">
        <v>45842</v>
      </c>
      <c r="C243" s="10" t="s">
        <v>251</v>
      </c>
      <c r="D243" s="10" t="s">
        <v>209</v>
      </c>
      <c r="E243" s="10" t="s">
        <v>36</v>
      </c>
      <c r="F243" s="10" t="s">
        <v>19</v>
      </c>
      <c r="G243" s="10" t="s">
        <v>16</v>
      </c>
      <c r="H243" s="10" t="s">
        <v>212</v>
      </c>
      <c r="I243" s="10" t="s">
        <v>213</v>
      </c>
      <c r="J243" s="10" t="s">
        <v>115</v>
      </c>
      <c r="K243" s="10" t="s">
        <v>223</v>
      </c>
      <c r="L243" s="10" t="s">
        <v>1052</v>
      </c>
      <c r="M243" s="9">
        <v>45749</v>
      </c>
      <c r="N243" s="9" t="s">
        <v>1053</v>
      </c>
      <c r="O243" s="9">
        <v>45821</v>
      </c>
      <c r="P243" s="11">
        <v>51</v>
      </c>
      <c r="Q243" s="12">
        <v>15958402</v>
      </c>
      <c r="R243">
        <v>15958402</v>
      </c>
      <c r="S243" s="22">
        <v>0.24</v>
      </c>
      <c r="T243" s="22">
        <v>0.15</v>
      </c>
      <c r="U243" s="12">
        <v>13947643.35</v>
      </c>
      <c r="V243" s="24">
        <v>13947643.35</v>
      </c>
      <c r="W243" s="8">
        <v>11195957.550000001</v>
      </c>
      <c r="X243" s="24">
        <v>11195957.550000001</v>
      </c>
      <c r="Y243" s="22">
        <v>0.39</v>
      </c>
      <c r="Z243" s="22">
        <v>0.06</v>
      </c>
      <c r="AA243" s="8" t="s">
        <v>1054</v>
      </c>
      <c r="AB243" s="8">
        <v>12503529.970000001</v>
      </c>
      <c r="AC243" s="24">
        <v>12503529.970000001</v>
      </c>
      <c r="AD243" s="8">
        <v>4192414.64</v>
      </c>
      <c r="AE243" s="24">
        <v>4192414.64</v>
      </c>
      <c r="AF243" s="8">
        <v>120</v>
      </c>
      <c r="AG243" s="8">
        <v>112</v>
      </c>
      <c r="AH243" s="8" t="s">
        <v>376</v>
      </c>
      <c r="AI243" s="8" t="s">
        <v>336</v>
      </c>
      <c r="AJ243" s="22">
        <v>0.57999999999999996</v>
      </c>
      <c r="AK243" s="8" t="s">
        <v>152</v>
      </c>
      <c r="AL243" s="22">
        <v>0.15</v>
      </c>
      <c r="AM243" s="22">
        <v>0.05</v>
      </c>
      <c r="AN243" s="8">
        <v>7</v>
      </c>
      <c r="AO243" s="8">
        <v>4427</v>
      </c>
      <c r="AP243" s="8">
        <v>805943.86</v>
      </c>
      <c r="AQ243" s="24">
        <v>805943.86</v>
      </c>
      <c r="AR243" s="8"/>
      <c r="AS243" s="37"/>
      <c r="AT243" s="8" t="s">
        <v>391</v>
      </c>
      <c r="AU243" s="8" t="s">
        <v>386</v>
      </c>
      <c r="AV243" s="8">
        <v>66.599999999999994</v>
      </c>
      <c r="AW243" s="8">
        <v>24</v>
      </c>
      <c r="AX243" s="8" t="s">
        <v>332</v>
      </c>
      <c r="AY243" s="8" t="s">
        <v>224</v>
      </c>
      <c r="AZ243" s="8" t="s">
        <v>357</v>
      </c>
      <c r="BA243" s="21">
        <f>IF(OR(tblsales[[#This Row],[Invoice Value USD]]="",tblsales[[#This Row],[Collected Amount USD]]=""),"",tblsales[[#This Row],[Invoice Value USD]]-tblsales[[#This Row],[Collected Amount USD]])</f>
        <v>8311115.3300000001</v>
      </c>
      <c r="BB243" s="21">
        <f>IF(OR(tblsales[[#This Row],[Contract Value USD]]="",tblsales[[#This Row],[Cost Estimate USD]]=""),"",tblsales[[#This Row],[Contract Value USD]]-tblsales[[#This Row],[Cost Estimate USD]])</f>
        <v>2751685.7999999989</v>
      </c>
      <c r="BC243" s="21">
        <f>IF(OR(tblsales[[#This Row],[Contract Value USD]]="",tblsales[[#This Row],[Cost Estimate USD]]=""),"",tblsales[[#This Row],[Contract Value USD]]-tblsales[[#This Row],[Cost Estimate USD]])</f>
        <v>2751685.7999999989</v>
      </c>
      <c r="BD243" s="23">
        <f>IF(tblsales[[#This Row],[Invoice Value USD]]="","",tblsales[[#This Row],[Collected Amount USD]]/tblsales[[#This Row],[Invoice Value USD]])</f>
        <v>0.33529848371291582</v>
      </c>
      <c r="BE243" s="11">
        <f>IF(tblsales[[#This Row],[SalesStage]]="Won",1,0)</f>
        <v>0</v>
      </c>
      <c r="BF243" s="21" t="str">
        <f>IF(tblsales[[#This Row],[Win Flag]]=1,"Won","Lost")</f>
        <v>Lost</v>
      </c>
      <c r="BG243" s="8"/>
    </row>
    <row r="244" spans="1:59" x14ac:dyDescent="0.3">
      <c r="A244" s="10" t="s">
        <v>1055</v>
      </c>
      <c r="B244" s="9">
        <v>46080</v>
      </c>
      <c r="C244" s="10" t="s">
        <v>269</v>
      </c>
      <c r="D244" s="10" t="s">
        <v>190</v>
      </c>
      <c r="E244" s="10" t="s">
        <v>41</v>
      </c>
      <c r="F244" s="10" t="s">
        <v>363</v>
      </c>
      <c r="G244" s="10" t="s">
        <v>70</v>
      </c>
      <c r="H244" s="10" t="s">
        <v>332</v>
      </c>
      <c r="I244" s="10" t="s">
        <v>213</v>
      </c>
      <c r="J244" s="10" t="s">
        <v>105</v>
      </c>
      <c r="K244" s="10" t="s">
        <v>326</v>
      </c>
      <c r="L244" s="10" t="s">
        <v>1056</v>
      </c>
      <c r="M244" s="9">
        <v>46057</v>
      </c>
      <c r="N244" s="9">
        <v>46109</v>
      </c>
      <c r="O244" s="9">
        <v>46134</v>
      </c>
      <c r="P244" s="11">
        <v>35</v>
      </c>
      <c r="Q244" s="12">
        <v>46720858</v>
      </c>
      <c r="R244">
        <v>54242916.138000004</v>
      </c>
      <c r="S244" s="22">
        <v>0.14000000000000001</v>
      </c>
      <c r="T244" s="22">
        <v>0.16</v>
      </c>
      <c r="U244" s="12">
        <v>46608727.939999998</v>
      </c>
      <c r="V244" s="24">
        <v>54112733.138339996</v>
      </c>
      <c r="W244" s="8">
        <v>34889470.149999999</v>
      </c>
      <c r="X244" s="24">
        <v>40506674.844149999</v>
      </c>
      <c r="Y244" s="22">
        <v>0.28999999999999998</v>
      </c>
      <c r="Z244" s="22">
        <v>0.1</v>
      </c>
      <c r="AA244" s="8" t="s">
        <v>1057</v>
      </c>
      <c r="AB244" s="8">
        <v>37222408.899999999</v>
      </c>
      <c r="AC244" s="24">
        <v>43215216.732900001</v>
      </c>
      <c r="AD244" s="8">
        <v>40661876.609999999</v>
      </c>
      <c r="AE244" s="24">
        <v>47208438.744209997</v>
      </c>
      <c r="AF244" s="8">
        <v>120</v>
      </c>
      <c r="AG244" s="8">
        <v>11</v>
      </c>
      <c r="AH244" s="8" t="s">
        <v>332</v>
      </c>
      <c r="AI244" s="8" t="s">
        <v>406</v>
      </c>
      <c r="AJ244" s="22">
        <v>0.54</v>
      </c>
      <c r="AK244" s="8" t="s">
        <v>159</v>
      </c>
      <c r="AL244" s="22">
        <v>0.15</v>
      </c>
      <c r="AM244" s="22">
        <v>0.01</v>
      </c>
      <c r="AN244" s="8">
        <v>5</v>
      </c>
      <c r="AO244" s="8">
        <v>1574</v>
      </c>
      <c r="AP244" s="8"/>
      <c r="AQ244" s="24"/>
      <c r="AR244" s="8"/>
      <c r="AS244" s="37"/>
      <c r="AT244" s="8" t="s">
        <v>321</v>
      </c>
      <c r="AU244" s="8" t="s">
        <v>332</v>
      </c>
      <c r="AV244" s="8">
        <v>91.3</v>
      </c>
      <c r="AW244" s="8">
        <v>24</v>
      </c>
      <c r="AX244" s="8" t="s">
        <v>387</v>
      </c>
      <c r="AY244" s="8" t="s">
        <v>229</v>
      </c>
      <c r="AZ244" s="8" t="s">
        <v>332</v>
      </c>
      <c r="BA244" s="21">
        <f>IF(OR(tblsales[[#This Row],[Invoice Value USD]]="",tblsales[[#This Row],[Collected Amount USD]]=""),"",tblsales[[#This Row],[Invoice Value USD]]-tblsales[[#This Row],[Collected Amount USD]])</f>
        <v>-3993222.0113099962</v>
      </c>
      <c r="BB244" s="21">
        <f>IF(OR(tblsales[[#This Row],[Contract Value USD]]="",tblsales[[#This Row],[Cost Estimate USD]]=""),"",tblsales[[#This Row],[Contract Value USD]]-tblsales[[#This Row],[Cost Estimate USD]])</f>
        <v>13606058.294189997</v>
      </c>
      <c r="BC244" s="21">
        <f>IF(OR(tblsales[[#This Row],[Contract Value USD]]="",tblsales[[#This Row],[Cost Estimate USD]]=""),"",tblsales[[#This Row],[Contract Value USD]]-tblsales[[#This Row],[Cost Estimate USD]])</f>
        <v>13606058.294189997</v>
      </c>
      <c r="BD244" s="23">
        <f>IF(tblsales[[#This Row],[Invoice Value USD]]="","",tblsales[[#This Row],[Collected Amount USD]]/tblsales[[#This Row],[Invoice Value USD]])</f>
        <v>1.0924031466969348</v>
      </c>
      <c r="BE244" s="11">
        <f>IF(tblsales[[#This Row],[SalesStage]]="Won",1,0)</f>
        <v>0</v>
      </c>
      <c r="BF244" s="21" t="str">
        <f>IF(tblsales[[#This Row],[Win Flag]]=1,"Won","Lost")</f>
        <v>Lost</v>
      </c>
      <c r="BG244" s="8"/>
    </row>
    <row r="245" spans="1:59" x14ac:dyDescent="0.3">
      <c r="A245" s="10" t="s">
        <v>1058</v>
      </c>
      <c r="B245" s="9">
        <v>45663</v>
      </c>
      <c r="C245" s="10" t="s">
        <v>284</v>
      </c>
      <c r="D245" s="10" t="s">
        <v>245</v>
      </c>
      <c r="E245" s="10" t="s">
        <v>36</v>
      </c>
      <c r="F245" s="10" t="s">
        <v>339</v>
      </c>
      <c r="G245" s="10" t="s">
        <v>16</v>
      </c>
      <c r="H245" s="10" t="s">
        <v>182</v>
      </c>
      <c r="I245" s="10" t="s">
        <v>213</v>
      </c>
      <c r="J245" s="10" t="s">
        <v>115</v>
      </c>
      <c r="K245" s="10" t="s">
        <v>333</v>
      </c>
      <c r="L245" s="10" t="s">
        <v>1059</v>
      </c>
      <c r="M245" s="9">
        <v>45650</v>
      </c>
      <c r="N245" s="9"/>
      <c r="O245" s="9">
        <v>45704</v>
      </c>
      <c r="P245" s="11">
        <v>8</v>
      </c>
      <c r="Q245" s="12">
        <v>47029807</v>
      </c>
      <c r="R245">
        <v>12806216.4461</v>
      </c>
      <c r="S245" s="22">
        <v>0.21</v>
      </c>
      <c r="T245" s="22">
        <v>0.04</v>
      </c>
      <c r="U245" s="12">
        <v>38639689.43</v>
      </c>
      <c r="V245" s="24">
        <v>10521587.431789</v>
      </c>
      <c r="W245" s="8">
        <v>31579584.109999999</v>
      </c>
      <c r="X245" s="24">
        <v>8599120.753153</v>
      </c>
      <c r="Y245" s="22">
        <v>0.37</v>
      </c>
      <c r="Z245" s="22">
        <v>0.12</v>
      </c>
      <c r="AA245" s="8" t="s">
        <v>1060</v>
      </c>
      <c r="AB245" s="8">
        <v>14245624.52</v>
      </c>
      <c r="AC245" s="24">
        <v>3879083.5567959999</v>
      </c>
      <c r="AD245" s="8">
        <v>7735791.3300000001</v>
      </c>
      <c r="AE245" s="24">
        <v>2106455.9791589999</v>
      </c>
      <c r="AF245" s="8">
        <v>120</v>
      </c>
      <c r="AG245" s="8">
        <v>151</v>
      </c>
      <c r="AH245" s="8" t="s">
        <v>376</v>
      </c>
      <c r="AI245" s="8" t="s">
        <v>381</v>
      </c>
      <c r="AJ245" s="22">
        <v>0.91</v>
      </c>
      <c r="AK245" s="8" t="s">
        <v>153</v>
      </c>
      <c r="AL245" s="22">
        <v>0.15</v>
      </c>
      <c r="AM245" s="22">
        <v>7.0000000000000007E-2</v>
      </c>
      <c r="AN245" s="8">
        <v>1</v>
      </c>
      <c r="AO245" s="8">
        <v>3706</v>
      </c>
      <c r="AP245" s="8">
        <v>4421911.8099999996</v>
      </c>
      <c r="AQ245" s="24">
        <v>1204086.5858629998</v>
      </c>
      <c r="AR245" s="8"/>
      <c r="AS245" s="37"/>
      <c r="AT245" s="8" t="s">
        <v>355</v>
      </c>
      <c r="AU245" s="8" t="s">
        <v>356</v>
      </c>
      <c r="AV245" s="8">
        <v>80.2</v>
      </c>
      <c r="AW245" s="8">
        <v>12</v>
      </c>
      <c r="AX245" s="8" t="s">
        <v>392</v>
      </c>
      <c r="AY245" s="8" t="s">
        <v>206</v>
      </c>
      <c r="AZ245" s="8" t="s">
        <v>377</v>
      </c>
      <c r="BA245" s="21">
        <f>IF(OR(tblsales[[#This Row],[Invoice Value USD]]="",tblsales[[#This Row],[Collected Amount USD]]=""),"",tblsales[[#This Row],[Invoice Value USD]]-tblsales[[#This Row],[Collected Amount USD]])</f>
        <v>1772627.577637</v>
      </c>
      <c r="BB245" s="21">
        <f>IF(OR(tblsales[[#This Row],[Contract Value USD]]="",tblsales[[#This Row],[Cost Estimate USD]]=""),"",tblsales[[#This Row],[Contract Value USD]]-tblsales[[#This Row],[Cost Estimate USD]])</f>
        <v>1922466.6786359996</v>
      </c>
      <c r="BC245" s="21">
        <f>IF(OR(tblsales[[#This Row],[Contract Value USD]]="",tblsales[[#This Row],[Cost Estimate USD]]=""),"",tblsales[[#This Row],[Contract Value USD]]-tblsales[[#This Row],[Cost Estimate USD]])</f>
        <v>1922466.6786359996</v>
      </c>
      <c r="BD245" s="23">
        <f>IF(tblsales[[#This Row],[Invoice Value USD]]="","",tblsales[[#This Row],[Collected Amount USD]]/tblsales[[#This Row],[Invoice Value USD]])</f>
        <v>0.54302928728322253</v>
      </c>
      <c r="BE245" s="11">
        <f>IF(tblsales[[#This Row],[SalesStage]]="Won",1,0)</f>
        <v>0</v>
      </c>
      <c r="BF245" s="21" t="str">
        <f>IF(tblsales[[#This Row],[Win Flag]]=1,"Won","Lost")</f>
        <v>Lost</v>
      </c>
      <c r="BG245" s="8"/>
    </row>
    <row r="246" spans="1:59" x14ac:dyDescent="0.3">
      <c r="A246" s="10" t="s">
        <v>1061</v>
      </c>
      <c r="B246" s="9">
        <v>45856</v>
      </c>
      <c r="C246" s="10" t="s">
        <v>252</v>
      </c>
      <c r="D246" s="10" t="s">
        <v>265</v>
      </c>
      <c r="E246" s="10" t="s">
        <v>41</v>
      </c>
      <c r="F246" s="10" t="s">
        <v>363</v>
      </c>
      <c r="G246" s="10" t="s">
        <v>50</v>
      </c>
      <c r="H246" s="10" t="s">
        <v>263</v>
      </c>
      <c r="I246" s="10" t="s">
        <v>203</v>
      </c>
      <c r="J246" s="10" t="s">
        <v>130</v>
      </c>
      <c r="K246" s="10" t="s">
        <v>204</v>
      </c>
      <c r="L246" s="10" t="s">
        <v>1062</v>
      </c>
      <c r="M246" s="9">
        <v>45818</v>
      </c>
      <c r="N246" s="9" t="s">
        <v>1063</v>
      </c>
      <c r="O246" s="9">
        <v>46001</v>
      </c>
      <c r="P246" s="11">
        <v>11</v>
      </c>
      <c r="Q246" s="12">
        <v>36147730</v>
      </c>
      <c r="R246">
        <v>41967514.530000001</v>
      </c>
      <c r="S246" s="22">
        <v>0.23</v>
      </c>
      <c r="T246" s="22">
        <v>-0.04</v>
      </c>
      <c r="U246" s="12">
        <v>26720402.02</v>
      </c>
      <c r="V246" s="24">
        <v>31022386.745220002</v>
      </c>
      <c r="W246" s="8">
        <v>23878395.5</v>
      </c>
      <c r="X246" s="24">
        <v>27722817.175500002</v>
      </c>
      <c r="Y246" s="22">
        <v>0.06</v>
      </c>
      <c r="Z246" s="22">
        <v>0.12</v>
      </c>
      <c r="AA246" s="8" t="s">
        <v>1064</v>
      </c>
      <c r="AB246" s="8">
        <v>14637754.27</v>
      </c>
      <c r="AC246" s="24">
        <v>16994432.70747</v>
      </c>
      <c r="AD246" s="8">
        <v>12567584.24</v>
      </c>
      <c r="AE246" s="24">
        <v>14590965.30264</v>
      </c>
      <c r="AF246" s="8">
        <v>90</v>
      </c>
      <c r="AG246" s="8">
        <v>45</v>
      </c>
      <c r="AH246" s="8" t="s">
        <v>353</v>
      </c>
      <c r="AI246" s="8" t="s">
        <v>320</v>
      </c>
      <c r="AJ246" s="22">
        <v>0.9</v>
      </c>
      <c r="AK246" s="8" t="s">
        <v>159</v>
      </c>
      <c r="AL246" s="22">
        <v>0.1</v>
      </c>
      <c r="AM246" s="22">
        <v>0.09</v>
      </c>
      <c r="AN246" s="8">
        <v>1</v>
      </c>
      <c r="AO246" s="8">
        <v>3439</v>
      </c>
      <c r="AP246" s="8">
        <v>2248455.23</v>
      </c>
      <c r="AQ246" s="24">
        <v>2610456.5220300001</v>
      </c>
      <c r="AR246" s="8">
        <v>7185172.04</v>
      </c>
      <c r="AS246" s="37">
        <v>8341984.7384400005</v>
      </c>
      <c r="AT246" s="8" t="s">
        <v>385</v>
      </c>
      <c r="AU246" s="8" t="s">
        <v>332</v>
      </c>
      <c r="AV246" s="8">
        <v>51</v>
      </c>
      <c r="AW246" s="8"/>
      <c r="AX246" s="8" t="s">
        <v>337</v>
      </c>
      <c r="AY246" s="8" t="s">
        <v>224</v>
      </c>
      <c r="AZ246" s="8" t="s">
        <v>377</v>
      </c>
      <c r="BA246" s="21">
        <f>IF(OR(tblsales[[#This Row],[Invoice Value USD]]="",tblsales[[#This Row],[Collected Amount USD]]=""),"",tblsales[[#This Row],[Invoice Value USD]]-tblsales[[#This Row],[Collected Amount USD]])</f>
        <v>2403467.4048299994</v>
      </c>
      <c r="BB246" s="21">
        <f>IF(OR(tblsales[[#This Row],[Contract Value USD]]="",tblsales[[#This Row],[Cost Estimate USD]]=""),"",tblsales[[#This Row],[Contract Value USD]]-tblsales[[#This Row],[Cost Estimate USD]])</f>
        <v>3299569.56972</v>
      </c>
      <c r="BC246" s="21">
        <f>IF(OR(tblsales[[#This Row],[Contract Value USD]]="",tblsales[[#This Row],[Cost Estimate USD]]=""),"",tblsales[[#This Row],[Contract Value USD]]-tblsales[[#This Row],[Cost Estimate USD]])</f>
        <v>3299569.56972</v>
      </c>
      <c r="BD246" s="23">
        <f>IF(tblsales[[#This Row],[Invoice Value USD]]="","",tblsales[[#This Row],[Collected Amount USD]]/tblsales[[#This Row],[Invoice Value USD]])</f>
        <v>0.8585732488867639</v>
      </c>
      <c r="BE246" s="11">
        <f>IF(tblsales[[#This Row],[SalesStage]]="Won",1,0)</f>
        <v>1</v>
      </c>
      <c r="BF246" s="21" t="str">
        <f>IF(tblsales[[#This Row],[Win Flag]]=1,"Won","Lost")</f>
        <v>Won</v>
      </c>
      <c r="BG246" s="8"/>
    </row>
    <row r="247" spans="1:59" x14ac:dyDescent="0.3">
      <c r="A247" s="10" t="s">
        <v>1065</v>
      </c>
      <c r="B247" s="9">
        <v>45728</v>
      </c>
      <c r="C247" s="10" t="s">
        <v>179</v>
      </c>
      <c r="D247" s="10" t="s">
        <v>245</v>
      </c>
      <c r="E247" s="10" t="s">
        <v>20</v>
      </c>
      <c r="F247" s="10" t="s">
        <v>196</v>
      </c>
      <c r="G247" s="10" t="s">
        <v>57</v>
      </c>
      <c r="H247" s="10" t="s">
        <v>182</v>
      </c>
      <c r="I247" s="10" t="s">
        <v>183</v>
      </c>
      <c r="J247" s="10" t="s">
        <v>136</v>
      </c>
      <c r="K247" s="10" t="s">
        <v>184</v>
      </c>
      <c r="L247" s="10" t="s">
        <v>1066</v>
      </c>
      <c r="M247" s="9">
        <v>45680</v>
      </c>
      <c r="N247" s="9" t="s">
        <v>1067</v>
      </c>
      <c r="O247" s="9">
        <v>45782</v>
      </c>
      <c r="P247" s="11">
        <v>16</v>
      </c>
      <c r="Q247" s="12">
        <v>8320902</v>
      </c>
      <c r="R247">
        <v>2219184.5633999999</v>
      </c>
      <c r="S247" s="22">
        <v>0.02</v>
      </c>
      <c r="T247" s="22">
        <v>-0.03</v>
      </c>
      <c r="U247" s="12">
        <v>7909849.4400000004</v>
      </c>
      <c r="V247" s="24">
        <v>2109556.845648</v>
      </c>
      <c r="W247" s="8">
        <v>5666278.0800000001</v>
      </c>
      <c r="X247" s="24">
        <v>1511196.363936</v>
      </c>
      <c r="Y247" s="22">
        <v>0.24</v>
      </c>
      <c r="Z247" s="22">
        <v>0.17</v>
      </c>
      <c r="AA247" s="8" t="s">
        <v>1068</v>
      </c>
      <c r="AB247" s="8">
        <v>1651355.95</v>
      </c>
      <c r="AC247" s="24">
        <v>440416.631865</v>
      </c>
      <c r="AD247" s="8"/>
      <c r="AE247" s="24"/>
      <c r="AF247" s="8">
        <v>120</v>
      </c>
      <c r="AG247" s="8">
        <v>96</v>
      </c>
      <c r="AH247" s="8" t="s">
        <v>353</v>
      </c>
      <c r="AI247" s="8" t="s">
        <v>226</v>
      </c>
      <c r="AJ247" s="22">
        <v>0.56999999999999995</v>
      </c>
      <c r="AK247" s="8" t="s">
        <v>162</v>
      </c>
      <c r="AL247" s="22">
        <v>0.1</v>
      </c>
      <c r="AM247" s="22">
        <v>0.02</v>
      </c>
      <c r="AN247" s="8">
        <v>5</v>
      </c>
      <c r="AO247" s="8">
        <v>604</v>
      </c>
      <c r="AP247" s="8">
        <v>607678.92000000004</v>
      </c>
      <c r="AQ247" s="24">
        <v>162067.96796400001</v>
      </c>
      <c r="AR247" s="8">
        <v>3447969.65</v>
      </c>
      <c r="AS247" s="37">
        <v>919573.50565499999</v>
      </c>
      <c r="AT247" s="8" t="s">
        <v>391</v>
      </c>
      <c r="AU247" s="8" t="s">
        <v>322</v>
      </c>
      <c r="AV247" s="8">
        <v>92.9</v>
      </c>
      <c r="AW247" s="8">
        <v>24</v>
      </c>
      <c r="AX247" s="8" t="s">
        <v>323</v>
      </c>
      <c r="AY247" s="8" t="s">
        <v>229</v>
      </c>
      <c r="AZ247" s="8" t="s">
        <v>332</v>
      </c>
      <c r="BA247" s="21" t="str">
        <f>IF(OR(tblsales[[#This Row],[Invoice Value USD]]="",tblsales[[#This Row],[Collected Amount USD]]=""),"",tblsales[[#This Row],[Invoice Value USD]]-tblsales[[#This Row],[Collected Amount USD]])</f>
        <v/>
      </c>
      <c r="BB247" s="21">
        <f>IF(OR(tblsales[[#This Row],[Contract Value USD]]="",tblsales[[#This Row],[Cost Estimate USD]]=""),"",tblsales[[#This Row],[Contract Value USD]]-tblsales[[#This Row],[Cost Estimate USD]])</f>
        <v>598360.48171199998</v>
      </c>
      <c r="BC247" s="21">
        <f>IF(OR(tblsales[[#This Row],[Contract Value USD]]="",tblsales[[#This Row],[Cost Estimate USD]]=""),"",tblsales[[#This Row],[Contract Value USD]]-tblsales[[#This Row],[Cost Estimate USD]])</f>
        <v>598360.48171199998</v>
      </c>
      <c r="BD247" s="23">
        <f>IF(tblsales[[#This Row],[Invoice Value USD]]="","",tblsales[[#This Row],[Collected Amount USD]]/tblsales[[#This Row],[Invoice Value USD]])</f>
        <v>0</v>
      </c>
      <c r="BE247" s="11">
        <f>IF(tblsales[[#This Row],[SalesStage]]="Won",1,0)</f>
        <v>0</v>
      </c>
      <c r="BF247" s="21" t="str">
        <f>IF(tblsales[[#This Row],[Win Flag]]=1,"Won","Lost")</f>
        <v>Lost</v>
      </c>
      <c r="BG247" s="8"/>
    </row>
    <row r="248" spans="1:59" x14ac:dyDescent="0.3">
      <c r="A248" s="10" t="s">
        <v>1069</v>
      </c>
      <c r="B248" s="9">
        <v>45672</v>
      </c>
      <c r="C248" s="10" t="s">
        <v>211</v>
      </c>
      <c r="D248" s="10" t="s">
        <v>262</v>
      </c>
      <c r="E248" s="10" t="s">
        <v>20</v>
      </c>
      <c r="F248" s="10" t="s">
        <v>35</v>
      </c>
      <c r="G248" s="10" t="s">
        <v>38</v>
      </c>
      <c r="H248" s="10" t="s">
        <v>182</v>
      </c>
      <c r="I248" s="10" t="s">
        <v>240</v>
      </c>
      <c r="J248" s="10" t="s">
        <v>136</v>
      </c>
      <c r="K248" s="10" t="s">
        <v>199</v>
      </c>
      <c r="L248" s="10" t="s">
        <v>1070</v>
      </c>
      <c r="M248" s="9">
        <v>45603</v>
      </c>
      <c r="N248" s="9">
        <v>45706</v>
      </c>
      <c r="O248" s="9">
        <v>45762</v>
      </c>
      <c r="P248" s="11">
        <v>58</v>
      </c>
      <c r="Q248" s="12">
        <v>13125549</v>
      </c>
      <c r="R248">
        <v>13125549</v>
      </c>
      <c r="S248" s="22">
        <v>0.24</v>
      </c>
      <c r="T248" s="22">
        <v>0.18</v>
      </c>
      <c r="U248" s="12">
        <v>11770992.34</v>
      </c>
      <c r="V248" s="24">
        <v>11770992.34</v>
      </c>
      <c r="W248" s="8">
        <v>9144511.1699999999</v>
      </c>
      <c r="X248" s="24">
        <v>9144511.1699999999</v>
      </c>
      <c r="Y248" s="22">
        <v>0.28999999999999998</v>
      </c>
      <c r="Z248" s="22">
        <v>0.14000000000000001</v>
      </c>
      <c r="AA248" s="8" t="s">
        <v>1071</v>
      </c>
      <c r="AB248" s="8">
        <v>4498400</v>
      </c>
      <c r="AC248" s="24">
        <v>4498400</v>
      </c>
      <c r="AD248" s="8">
        <v>3531915.2</v>
      </c>
      <c r="AE248" s="24">
        <v>3531915.2</v>
      </c>
      <c r="AF248" s="8">
        <v>45</v>
      </c>
      <c r="AG248" s="8">
        <v>33</v>
      </c>
      <c r="AH248" s="8" t="s">
        <v>353</v>
      </c>
      <c r="AI248" s="8" t="s">
        <v>336</v>
      </c>
      <c r="AJ248" s="22">
        <v>0.5</v>
      </c>
      <c r="AK248" s="8" t="s">
        <v>152</v>
      </c>
      <c r="AL248" s="22">
        <v>0.15</v>
      </c>
      <c r="AM248" s="22">
        <v>0.09</v>
      </c>
      <c r="AN248" s="8">
        <v>5</v>
      </c>
      <c r="AO248" s="8">
        <v>525</v>
      </c>
      <c r="AP248" s="8">
        <v>961556.75</v>
      </c>
      <c r="AQ248" s="24">
        <v>961556.75</v>
      </c>
      <c r="AR248" s="8">
        <v>2537576.2200000002</v>
      </c>
      <c r="AS248" s="37">
        <v>2537576.2200000002</v>
      </c>
      <c r="AT248" s="8" t="s">
        <v>355</v>
      </c>
      <c r="AU248" s="8" t="s">
        <v>332</v>
      </c>
      <c r="AV248" s="8">
        <v>73.5</v>
      </c>
      <c r="AW248" s="8">
        <v>36</v>
      </c>
      <c r="AX248" s="8" t="s">
        <v>392</v>
      </c>
      <c r="AY248" s="8" t="s">
        <v>186</v>
      </c>
      <c r="AZ248" s="8" t="s">
        <v>361</v>
      </c>
      <c r="BA248" s="21">
        <f>IF(OR(tblsales[[#This Row],[Invoice Value USD]]="",tblsales[[#This Row],[Collected Amount USD]]=""),"",tblsales[[#This Row],[Invoice Value USD]]-tblsales[[#This Row],[Collected Amount USD]])</f>
        <v>966484.79999999981</v>
      </c>
      <c r="BB248" s="21">
        <f>IF(OR(tblsales[[#This Row],[Contract Value USD]]="",tblsales[[#This Row],[Cost Estimate USD]]=""),"",tblsales[[#This Row],[Contract Value USD]]-tblsales[[#This Row],[Cost Estimate USD]])</f>
        <v>2626481.17</v>
      </c>
      <c r="BC248" s="21">
        <f>IF(OR(tblsales[[#This Row],[Contract Value USD]]="",tblsales[[#This Row],[Cost Estimate USD]]=""),"",tblsales[[#This Row],[Contract Value USD]]-tblsales[[#This Row],[Cost Estimate USD]])</f>
        <v>2626481.17</v>
      </c>
      <c r="BD248" s="23">
        <f>IF(tblsales[[#This Row],[Invoice Value USD]]="","",tblsales[[#This Row],[Collected Amount USD]]/tblsales[[#This Row],[Invoice Value USD]])</f>
        <v>0.78514920860750492</v>
      </c>
      <c r="BE248" s="11">
        <f>IF(tblsales[[#This Row],[SalesStage]]="Won",1,0)</f>
        <v>0</v>
      </c>
      <c r="BF248" s="21" t="str">
        <f>IF(tblsales[[#This Row],[Win Flag]]=1,"Won","Lost")</f>
        <v>Lost</v>
      </c>
      <c r="BG248" s="8"/>
    </row>
    <row r="249" spans="1:59" x14ac:dyDescent="0.3">
      <c r="A249" s="10" t="s">
        <v>1072</v>
      </c>
      <c r="B249" s="9">
        <v>45923</v>
      </c>
      <c r="C249" s="10" t="s">
        <v>275</v>
      </c>
      <c r="D249" s="10" t="s">
        <v>232</v>
      </c>
      <c r="E249" s="10" t="s">
        <v>36</v>
      </c>
      <c r="F249" s="10" t="s">
        <v>339</v>
      </c>
      <c r="G249" s="10" t="s">
        <v>46</v>
      </c>
      <c r="H249" s="10" t="s">
        <v>216</v>
      </c>
      <c r="I249" s="10" t="s">
        <v>240</v>
      </c>
      <c r="J249" s="10" t="s">
        <v>115</v>
      </c>
      <c r="K249" s="10" t="s">
        <v>333</v>
      </c>
      <c r="L249" s="10" t="s">
        <v>1073</v>
      </c>
      <c r="M249" s="9">
        <v>45866</v>
      </c>
      <c r="N249" s="9">
        <v>45849</v>
      </c>
      <c r="O249" s="9">
        <v>46011</v>
      </c>
      <c r="P249" s="11">
        <v>41</v>
      </c>
      <c r="Q249" s="12">
        <v>45572310</v>
      </c>
      <c r="R249">
        <v>52909451.910000004</v>
      </c>
      <c r="S249" s="22">
        <v>0.15</v>
      </c>
      <c r="T249" s="22">
        <v>0.02</v>
      </c>
      <c r="U249" s="12">
        <v>39511192.770000003</v>
      </c>
      <c r="V249" s="24">
        <v>45872494.805970006</v>
      </c>
      <c r="W249" s="8">
        <v>25181620.420000002</v>
      </c>
      <c r="X249" s="24">
        <v>29235861.307620004</v>
      </c>
      <c r="Y249" s="22">
        <v>0.24</v>
      </c>
      <c r="Z249" s="22">
        <v>0.11</v>
      </c>
      <c r="AA249" s="8" t="s">
        <v>1074</v>
      </c>
      <c r="AB249" s="8">
        <v>16210292.439999999</v>
      </c>
      <c r="AC249" s="24">
        <v>18820149.522840001</v>
      </c>
      <c r="AD249" s="8">
        <v>13410595.050000001</v>
      </c>
      <c r="AE249" s="24">
        <v>15569700.853050001</v>
      </c>
      <c r="AF249" s="8">
        <v>120</v>
      </c>
      <c r="AG249" s="8">
        <v>36</v>
      </c>
      <c r="AH249" s="8" t="s">
        <v>376</v>
      </c>
      <c r="AI249" s="8" t="s">
        <v>336</v>
      </c>
      <c r="AJ249" s="22">
        <v>0.8</v>
      </c>
      <c r="AK249" s="8" t="s">
        <v>159</v>
      </c>
      <c r="AL249" s="22">
        <v>0.15</v>
      </c>
      <c r="AM249" s="22">
        <v>0.04</v>
      </c>
      <c r="AN249" s="8">
        <v>11</v>
      </c>
      <c r="AO249" s="8">
        <v>2279</v>
      </c>
      <c r="AP249" s="8">
        <v>4611487.0199999996</v>
      </c>
      <c r="AQ249" s="24">
        <v>5353936.4302199995</v>
      </c>
      <c r="AR249" s="8">
        <v>19464440.59</v>
      </c>
      <c r="AS249" s="37">
        <v>22598215.52499</v>
      </c>
      <c r="AT249" s="8" t="s">
        <v>73</v>
      </c>
      <c r="AU249" s="8" t="s">
        <v>321</v>
      </c>
      <c r="AV249" s="8">
        <v>96.7</v>
      </c>
      <c r="AW249" s="8">
        <v>48</v>
      </c>
      <c r="AX249" s="8" t="s">
        <v>387</v>
      </c>
      <c r="AY249" s="8" t="s">
        <v>224</v>
      </c>
      <c r="AZ249" s="8" t="s">
        <v>361</v>
      </c>
      <c r="BA249" s="21">
        <f>IF(OR(tblsales[[#This Row],[Invoice Value USD]]="",tblsales[[#This Row],[Collected Amount USD]]=""),"",tblsales[[#This Row],[Invoice Value USD]]-tblsales[[#This Row],[Collected Amount USD]])</f>
        <v>3250448.6697899997</v>
      </c>
      <c r="BB249" s="21">
        <f>IF(OR(tblsales[[#This Row],[Contract Value USD]]="",tblsales[[#This Row],[Cost Estimate USD]]=""),"",tblsales[[#This Row],[Contract Value USD]]-tblsales[[#This Row],[Cost Estimate USD]])</f>
        <v>16636633.498350002</v>
      </c>
      <c r="BC249" s="21">
        <f>IF(OR(tblsales[[#This Row],[Contract Value USD]]="",tblsales[[#This Row],[Cost Estimate USD]]=""),"",tblsales[[#This Row],[Contract Value USD]]-tblsales[[#This Row],[Cost Estimate USD]])</f>
        <v>16636633.498350002</v>
      </c>
      <c r="BD249" s="23">
        <f>IF(tblsales[[#This Row],[Invoice Value USD]]="","",tblsales[[#This Row],[Collected Amount USD]]/tblsales[[#This Row],[Invoice Value USD]])</f>
        <v>0.82728890300019786</v>
      </c>
      <c r="BE249" s="11">
        <f>IF(tblsales[[#This Row],[SalesStage]]="Won",1,0)</f>
        <v>0</v>
      </c>
      <c r="BF249" s="21" t="str">
        <f>IF(tblsales[[#This Row],[Win Flag]]=1,"Won","Lost")</f>
        <v>Lost</v>
      </c>
      <c r="BG249" s="8"/>
    </row>
    <row r="250" spans="1:59" x14ac:dyDescent="0.3">
      <c r="A250" s="10" t="s">
        <v>1075</v>
      </c>
      <c r="B250" s="9">
        <v>45720</v>
      </c>
      <c r="C250" s="10" t="s">
        <v>241</v>
      </c>
      <c r="D250" s="10" t="s">
        <v>180</v>
      </c>
      <c r="E250" s="10" t="s">
        <v>113</v>
      </c>
      <c r="F250" s="10" t="s">
        <v>181</v>
      </c>
      <c r="G250" s="10" t="s">
        <v>332</v>
      </c>
      <c r="H250" s="10" t="s">
        <v>216</v>
      </c>
      <c r="I250" s="10" t="s">
        <v>191</v>
      </c>
      <c r="J250" s="10" t="s">
        <v>127</v>
      </c>
      <c r="K250" s="10" t="s">
        <v>223</v>
      </c>
      <c r="L250" s="10" t="s">
        <v>1076</v>
      </c>
      <c r="M250" s="9">
        <v>45680</v>
      </c>
      <c r="N250" s="9"/>
      <c r="O250" s="9">
        <v>45662</v>
      </c>
      <c r="P250" s="11">
        <v>55</v>
      </c>
      <c r="Q250" s="12">
        <v>24448776</v>
      </c>
      <c r="R250">
        <v>6657401.7047999995</v>
      </c>
      <c r="S250" s="22">
        <v>0.27</v>
      </c>
      <c r="T250" s="22">
        <v>0.2</v>
      </c>
      <c r="U250" s="12">
        <v>21417127.780000001</v>
      </c>
      <c r="V250" s="24">
        <v>5831883.8944939999</v>
      </c>
      <c r="W250" s="8">
        <v>16330846.550000001</v>
      </c>
      <c r="X250" s="24">
        <v>4446889.5155649995</v>
      </c>
      <c r="Y250" s="22"/>
      <c r="Z250" s="22">
        <v>7.0000000000000007E-2</v>
      </c>
      <c r="AA250" s="8" t="s">
        <v>1077</v>
      </c>
      <c r="AB250" s="8">
        <v>1817873.45</v>
      </c>
      <c r="AC250" s="24">
        <v>495006.94043499994</v>
      </c>
      <c r="AD250" s="8">
        <v>647570.12</v>
      </c>
      <c r="AE250" s="24">
        <v>176333.34367599999</v>
      </c>
      <c r="AF250" s="8">
        <v>30</v>
      </c>
      <c r="AG250" s="8">
        <v>141</v>
      </c>
      <c r="AH250" s="8" t="s">
        <v>347</v>
      </c>
      <c r="AI250" s="8" t="s">
        <v>226</v>
      </c>
      <c r="AJ250" s="22">
        <v>0.55000000000000004</v>
      </c>
      <c r="AK250" s="8" t="s">
        <v>153</v>
      </c>
      <c r="AL250" s="22">
        <v>0.05</v>
      </c>
      <c r="AM250" s="22">
        <v>0.08</v>
      </c>
      <c r="AN250" s="8">
        <v>13</v>
      </c>
      <c r="AO250" s="8">
        <v>3339</v>
      </c>
      <c r="AP250" s="8">
        <v>2691844.28</v>
      </c>
      <c r="AQ250" s="24">
        <v>732989.19744399993</v>
      </c>
      <c r="AR250" s="8">
        <v>3628430.76</v>
      </c>
      <c r="AS250" s="37">
        <v>988021.69594799983</v>
      </c>
      <c r="AT250" s="8" t="s">
        <v>321</v>
      </c>
      <c r="AU250" s="8" t="s">
        <v>348</v>
      </c>
      <c r="AV250" s="8">
        <v>98.9</v>
      </c>
      <c r="AW250" s="8">
        <v>12</v>
      </c>
      <c r="AX250" s="8" t="s">
        <v>387</v>
      </c>
      <c r="AY250" s="8" t="s">
        <v>229</v>
      </c>
      <c r="AZ250" s="8" t="s">
        <v>324</v>
      </c>
      <c r="BA250" s="21">
        <f>IF(OR(tblsales[[#This Row],[Invoice Value USD]]="",tblsales[[#This Row],[Collected Amount USD]]=""),"",tblsales[[#This Row],[Invoice Value USD]]-tblsales[[#This Row],[Collected Amount USD]])</f>
        <v>318673.59675899998</v>
      </c>
      <c r="BB250" s="21">
        <f>IF(OR(tblsales[[#This Row],[Contract Value USD]]="",tblsales[[#This Row],[Cost Estimate USD]]=""),"",tblsales[[#This Row],[Contract Value USD]]-tblsales[[#This Row],[Cost Estimate USD]])</f>
        <v>1384994.3789290003</v>
      </c>
      <c r="BC250" s="21">
        <f>IF(OR(tblsales[[#This Row],[Contract Value USD]]="",tblsales[[#This Row],[Cost Estimate USD]]=""),"",tblsales[[#This Row],[Contract Value USD]]-tblsales[[#This Row],[Cost Estimate USD]])</f>
        <v>1384994.3789290003</v>
      </c>
      <c r="BD250" s="23">
        <f>IF(tblsales[[#This Row],[Invoice Value USD]]="","",tblsales[[#This Row],[Collected Amount USD]]/tblsales[[#This Row],[Invoice Value USD]])</f>
        <v>0.35622398247798825</v>
      </c>
      <c r="BE250" s="11">
        <f>IF(tblsales[[#This Row],[SalesStage]]="Won",1,0)</f>
        <v>0</v>
      </c>
      <c r="BF250" s="21" t="str">
        <f>IF(tblsales[[#This Row],[Win Flag]]=1,"Won","Lost")</f>
        <v>Lost</v>
      </c>
      <c r="BG250" s="8"/>
    </row>
    <row r="251" spans="1:59" x14ac:dyDescent="0.3">
      <c r="A251" s="10" t="s">
        <v>1078</v>
      </c>
      <c r="B251" s="9">
        <v>45886</v>
      </c>
      <c r="C251" s="10" t="s">
        <v>252</v>
      </c>
      <c r="D251" s="10" t="s">
        <v>250</v>
      </c>
      <c r="E251" s="10" t="s">
        <v>36</v>
      </c>
      <c r="F251" s="10" t="s">
        <v>339</v>
      </c>
      <c r="G251" s="10" t="s">
        <v>66</v>
      </c>
      <c r="H251" s="10" t="s">
        <v>182</v>
      </c>
      <c r="I251" s="10" t="s">
        <v>240</v>
      </c>
      <c r="J251" s="10" t="s">
        <v>115</v>
      </c>
      <c r="K251" s="10" t="s">
        <v>326</v>
      </c>
      <c r="L251" s="10" t="s">
        <v>1079</v>
      </c>
      <c r="M251" s="9">
        <v>45855</v>
      </c>
      <c r="N251" s="9"/>
      <c r="O251" s="9">
        <v>45819</v>
      </c>
      <c r="P251" s="11">
        <v>21</v>
      </c>
      <c r="Q251" s="12">
        <v>14520213</v>
      </c>
      <c r="R251">
        <v>3953853.9998999997</v>
      </c>
      <c r="S251" s="22">
        <v>0.09</v>
      </c>
      <c r="T251" s="22">
        <v>0.16</v>
      </c>
      <c r="U251" s="12">
        <v>15327536.84</v>
      </c>
      <c r="V251" s="24">
        <v>4173688.2815319998</v>
      </c>
      <c r="W251" s="8">
        <v>10941304.949999999</v>
      </c>
      <c r="X251" s="24">
        <v>2979317.3378849998</v>
      </c>
      <c r="Y251" s="22">
        <v>0.39</v>
      </c>
      <c r="Z251" s="22">
        <v>0.15</v>
      </c>
      <c r="AA251" s="8" t="s">
        <v>1080</v>
      </c>
      <c r="AB251" s="8">
        <v>6088931.79</v>
      </c>
      <c r="AC251" s="24">
        <v>1658016.1264169998</v>
      </c>
      <c r="AD251" s="8">
        <v>3990116.31</v>
      </c>
      <c r="AE251" s="24">
        <v>1086508.6712129998</v>
      </c>
      <c r="AF251" s="8">
        <v>45</v>
      </c>
      <c r="AG251" s="8">
        <v>99</v>
      </c>
      <c r="AH251" s="8" t="s">
        <v>353</v>
      </c>
      <c r="AI251" s="8" t="s">
        <v>336</v>
      </c>
      <c r="AJ251" s="22">
        <v>0.85</v>
      </c>
      <c r="AK251" s="8" t="s">
        <v>153</v>
      </c>
      <c r="AL251" s="22">
        <v>0.1</v>
      </c>
      <c r="AM251" s="22">
        <v>0.01</v>
      </c>
      <c r="AN251" s="8">
        <v>8</v>
      </c>
      <c r="AO251" s="8">
        <v>2955</v>
      </c>
      <c r="AP251" s="8">
        <v>2037339.55</v>
      </c>
      <c r="AQ251" s="24">
        <v>554767.55946499994</v>
      </c>
      <c r="AR251" s="8">
        <v>7106998.9299999997</v>
      </c>
      <c r="AS251" s="37">
        <v>1935235.8086389999</v>
      </c>
      <c r="AT251" s="8" t="s">
        <v>391</v>
      </c>
      <c r="AU251" s="8" t="s">
        <v>348</v>
      </c>
      <c r="AV251" s="8">
        <v>84.9</v>
      </c>
      <c r="AW251" s="8"/>
      <c r="AX251" s="8" t="s">
        <v>337</v>
      </c>
      <c r="AY251" s="8" t="s">
        <v>224</v>
      </c>
      <c r="AZ251" s="8" t="s">
        <v>361</v>
      </c>
      <c r="BA251" s="21">
        <f>IF(OR(tblsales[[#This Row],[Invoice Value USD]]="",tblsales[[#This Row],[Collected Amount USD]]=""),"",tblsales[[#This Row],[Invoice Value USD]]-tblsales[[#This Row],[Collected Amount USD]])</f>
        <v>571507.455204</v>
      </c>
      <c r="BB251" s="21">
        <f>IF(OR(tblsales[[#This Row],[Contract Value USD]]="",tblsales[[#This Row],[Cost Estimate USD]]=""),"",tblsales[[#This Row],[Contract Value USD]]-tblsales[[#This Row],[Cost Estimate USD]])</f>
        <v>1194370.943647</v>
      </c>
      <c r="BC251" s="21">
        <f>IF(OR(tblsales[[#This Row],[Contract Value USD]]="",tblsales[[#This Row],[Cost Estimate USD]]=""),"",tblsales[[#This Row],[Contract Value USD]]-tblsales[[#This Row],[Cost Estimate USD]])</f>
        <v>1194370.943647</v>
      </c>
      <c r="BD251" s="23">
        <f>IF(tblsales[[#This Row],[Invoice Value USD]]="","",tblsales[[#This Row],[Collected Amount USD]]/tblsales[[#This Row],[Invoice Value USD]])</f>
        <v>0.65530645565008039</v>
      </c>
      <c r="BE251" s="11">
        <f>IF(tblsales[[#This Row],[SalesStage]]="Won",1,0)</f>
        <v>0</v>
      </c>
      <c r="BF251" s="21" t="str">
        <f>IF(tblsales[[#This Row],[Win Flag]]=1,"Won","Lost")</f>
        <v>Lost</v>
      </c>
      <c r="BG251" s="8"/>
    </row>
    <row r="252" spans="1:59" x14ac:dyDescent="0.3">
      <c r="A252" s="10" t="s">
        <v>1081</v>
      </c>
      <c r="B252" s="9">
        <v>45770</v>
      </c>
      <c r="C252" s="10" t="s">
        <v>239</v>
      </c>
      <c r="D252" s="10" t="s">
        <v>248</v>
      </c>
      <c r="E252" s="10" t="s">
        <v>20</v>
      </c>
      <c r="F252" s="10" t="s">
        <v>196</v>
      </c>
      <c r="G252" s="10" t="s">
        <v>57</v>
      </c>
      <c r="H252" s="10" t="s">
        <v>182</v>
      </c>
      <c r="I252" s="10" t="s">
        <v>240</v>
      </c>
      <c r="J252" s="10" t="s">
        <v>136</v>
      </c>
      <c r="K252" s="10" t="s">
        <v>210</v>
      </c>
      <c r="L252" s="10" t="s">
        <v>1082</v>
      </c>
      <c r="M252" s="9">
        <v>45681</v>
      </c>
      <c r="N252" s="9">
        <v>45997</v>
      </c>
      <c r="O252" s="9">
        <v>45860</v>
      </c>
      <c r="P252" s="11">
        <v>18</v>
      </c>
      <c r="Q252" s="12">
        <v>39491876</v>
      </c>
      <c r="R252">
        <v>39491876</v>
      </c>
      <c r="S252" s="22">
        <v>0.23</v>
      </c>
      <c r="T252" s="22">
        <v>0.1</v>
      </c>
      <c r="U252" s="12">
        <v>33449618.969999999</v>
      </c>
      <c r="V252" s="24">
        <v>33449618.969999999</v>
      </c>
      <c r="W252" s="8"/>
      <c r="X252" s="24"/>
      <c r="Y252" s="22">
        <v>0.26</v>
      </c>
      <c r="Z252" s="22">
        <v>0.06</v>
      </c>
      <c r="AA252" s="8" t="s">
        <v>1083</v>
      </c>
      <c r="AB252" s="8">
        <v>24706585.34</v>
      </c>
      <c r="AC252" s="24">
        <v>24706585.34</v>
      </c>
      <c r="AD252" s="8">
        <v>24131466.390000001</v>
      </c>
      <c r="AE252" s="24">
        <v>24131466.390000001</v>
      </c>
      <c r="AF252" s="8">
        <v>90</v>
      </c>
      <c r="AG252" s="8">
        <v>94</v>
      </c>
      <c r="AH252" s="8" t="s">
        <v>353</v>
      </c>
      <c r="AI252" s="8" t="s">
        <v>320</v>
      </c>
      <c r="AJ252" s="22">
        <v>0.1</v>
      </c>
      <c r="AK252" s="8" t="s">
        <v>152</v>
      </c>
      <c r="AL252" s="22">
        <v>0.05</v>
      </c>
      <c r="AM252" s="22">
        <v>0.02</v>
      </c>
      <c r="AN252" s="8">
        <v>5</v>
      </c>
      <c r="AO252" s="8">
        <v>4543</v>
      </c>
      <c r="AP252" s="8">
        <v>6232933.5599999996</v>
      </c>
      <c r="AQ252" s="24">
        <v>6232933.5599999996</v>
      </c>
      <c r="AR252" s="8">
        <v>15816988.220000001</v>
      </c>
      <c r="AS252" s="37">
        <v>15816988.220000001</v>
      </c>
      <c r="AT252" s="8" t="s">
        <v>321</v>
      </c>
      <c r="AU252" s="8" t="s">
        <v>332</v>
      </c>
      <c r="AV252" s="8">
        <v>90.9</v>
      </c>
      <c r="AW252" s="8">
        <v>12</v>
      </c>
      <c r="AX252" s="8" t="s">
        <v>332</v>
      </c>
      <c r="AY252" s="8" t="s">
        <v>206</v>
      </c>
      <c r="AZ252" s="8" t="s">
        <v>332</v>
      </c>
      <c r="BA252" s="21">
        <f>IF(OR(tblsales[[#This Row],[Invoice Value USD]]="",tblsales[[#This Row],[Collected Amount USD]]=""),"",tblsales[[#This Row],[Invoice Value USD]]-tblsales[[#This Row],[Collected Amount USD]])</f>
        <v>575118.94999999925</v>
      </c>
      <c r="BB252" s="21" t="str">
        <f>IF(OR(tblsales[[#This Row],[Contract Value USD]]="",tblsales[[#This Row],[Cost Estimate USD]]=""),"",tblsales[[#This Row],[Contract Value USD]]-tblsales[[#This Row],[Cost Estimate USD]])</f>
        <v/>
      </c>
      <c r="BC252" s="21" t="str">
        <f>IF(OR(tblsales[[#This Row],[Contract Value USD]]="",tblsales[[#This Row],[Cost Estimate USD]]=""),"",tblsales[[#This Row],[Contract Value USD]]-tblsales[[#This Row],[Cost Estimate USD]])</f>
        <v/>
      </c>
      <c r="BD252" s="23">
        <f>IF(tblsales[[#This Row],[Invoice Value USD]]="","",tblsales[[#This Row],[Collected Amount USD]]/tblsales[[#This Row],[Invoice Value USD]])</f>
        <v>0.97672203819000103</v>
      </c>
      <c r="BE252" s="11">
        <f>IF(tblsales[[#This Row],[SalesStage]]="Won",1,0)</f>
        <v>1</v>
      </c>
      <c r="BF252" s="21" t="str">
        <f>IF(tblsales[[#This Row],[Win Flag]]=1,"Won","Lost")</f>
        <v>Won</v>
      </c>
      <c r="BG252" s="8"/>
    </row>
    <row r="253" spans="1:59" x14ac:dyDescent="0.3">
      <c r="A253" s="10" t="s">
        <v>1084</v>
      </c>
      <c r="B253" s="9">
        <v>45687</v>
      </c>
      <c r="C253" s="10" t="s">
        <v>241</v>
      </c>
      <c r="D253" s="10" t="s">
        <v>265</v>
      </c>
      <c r="E253" s="10" t="s">
        <v>113</v>
      </c>
      <c r="F253" s="10" t="s">
        <v>181</v>
      </c>
      <c r="G253" s="10" t="s">
        <v>70</v>
      </c>
      <c r="H253" s="10" t="s">
        <v>216</v>
      </c>
      <c r="I253" s="10" t="s">
        <v>191</v>
      </c>
      <c r="J253" s="10" t="s">
        <v>111</v>
      </c>
      <c r="K253" s="10" t="s">
        <v>326</v>
      </c>
      <c r="L253" s="10" t="s">
        <v>1085</v>
      </c>
      <c r="M253" s="9">
        <v>45610</v>
      </c>
      <c r="N253" s="9">
        <v>45747</v>
      </c>
      <c r="O253" s="9">
        <v>45790</v>
      </c>
      <c r="P253" s="11">
        <v>36</v>
      </c>
      <c r="Q253" s="12">
        <v>26627851</v>
      </c>
      <c r="R253">
        <v>26627851</v>
      </c>
      <c r="S253" s="22">
        <v>0.06</v>
      </c>
      <c r="T253" s="22">
        <v>-0.04</v>
      </c>
      <c r="U253" s="12">
        <v>24028972.739999998</v>
      </c>
      <c r="V253" s="24">
        <v>24028972.739999998</v>
      </c>
      <c r="W253" s="8">
        <v>15620482.07</v>
      </c>
      <c r="X253" s="24">
        <v>15620482.07</v>
      </c>
      <c r="Y253" s="22">
        <v>0.09</v>
      </c>
      <c r="Z253" s="22">
        <v>0.06</v>
      </c>
      <c r="AA253" s="8" t="s">
        <v>1086</v>
      </c>
      <c r="AB253" s="8">
        <v>4385840.16</v>
      </c>
      <c r="AC253" s="24">
        <v>4385840.16</v>
      </c>
      <c r="AD253" s="8">
        <v>1779917.73</v>
      </c>
      <c r="AE253" s="24">
        <v>1779917.73</v>
      </c>
      <c r="AF253" s="8">
        <v>120</v>
      </c>
      <c r="AG253" s="8">
        <v>95</v>
      </c>
      <c r="AH253" s="8" t="s">
        <v>342</v>
      </c>
      <c r="AI253" s="8" t="s">
        <v>226</v>
      </c>
      <c r="AJ253" s="22">
        <v>0.59</v>
      </c>
      <c r="AK253" s="8" t="s">
        <v>152</v>
      </c>
      <c r="AL253" s="22">
        <v>0.1</v>
      </c>
      <c r="AM253" s="22">
        <v>0.05</v>
      </c>
      <c r="AN253" s="8">
        <v>14</v>
      </c>
      <c r="AO253" s="8">
        <v>3144</v>
      </c>
      <c r="AP253" s="8">
        <v>2545470.44</v>
      </c>
      <c r="AQ253" s="24">
        <v>2545470.44</v>
      </c>
      <c r="AR253" s="8">
        <v>4312747.4000000004</v>
      </c>
      <c r="AS253" s="37">
        <v>4312747.4000000004</v>
      </c>
      <c r="AT253" s="8" t="s">
        <v>73</v>
      </c>
      <c r="AU253" s="8" t="s">
        <v>321</v>
      </c>
      <c r="AV253" s="8">
        <v>68.400000000000006</v>
      </c>
      <c r="AW253" s="8"/>
      <c r="AX253" s="8" t="s">
        <v>387</v>
      </c>
      <c r="AY253" s="8" t="s">
        <v>224</v>
      </c>
      <c r="AZ253" s="8" t="s">
        <v>332</v>
      </c>
      <c r="BA253" s="21">
        <f>IF(OR(tblsales[[#This Row],[Invoice Value USD]]="",tblsales[[#This Row],[Collected Amount USD]]=""),"",tblsales[[#This Row],[Invoice Value USD]]-tblsales[[#This Row],[Collected Amount USD]])</f>
        <v>2605922.4300000002</v>
      </c>
      <c r="BB253" s="21">
        <f>IF(OR(tblsales[[#This Row],[Contract Value USD]]="",tblsales[[#This Row],[Cost Estimate USD]]=""),"",tblsales[[#This Row],[Contract Value USD]]-tblsales[[#This Row],[Cost Estimate USD]])</f>
        <v>8408490.6699999981</v>
      </c>
      <c r="BC253" s="21">
        <f>IF(OR(tblsales[[#This Row],[Contract Value USD]]="",tblsales[[#This Row],[Cost Estimate USD]]=""),"",tblsales[[#This Row],[Contract Value USD]]-tblsales[[#This Row],[Cost Estimate USD]])</f>
        <v>8408490.6699999981</v>
      </c>
      <c r="BD253" s="23">
        <f>IF(tblsales[[#This Row],[Invoice Value USD]]="","",tblsales[[#This Row],[Collected Amount USD]]/tblsales[[#This Row],[Invoice Value USD]])</f>
        <v>0.40583278575295822</v>
      </c>
      <c r="BE253" s="11">
        <f>IF(tblsales[[#This Row],[SalesStage]]="Won",1,0)</f>
        <v>0</v>
      </c>
      <c r="BF253" s="21" t="str">
        <f>IF(tblsales[[#This Row],[Win Flag]]=1,"Won","Lost")</f>
        <v>Lost</v>
      </c>
      <c r="BG253" s="8"/>
    </row>
    <row r="254" spans="1:59" x14ac:dyDescent="0.3">
      <c r="A254" s="10" t="s">
        <v>1087</v>
      </c>
      <c r="B254" s="9">
        <v>45990</v>
      </c>
      <c r="C254" s="10" t="s">
        <v>252</v>
      </c>
      <c r="D254" s="10" t="s">
        <v>242</v>
      </c>
      <c r="E254" s="10" t="s">
        <v>52</v>
      </c>
      <c r="F254" s="10" t="s">
        <v>75</v>
      </c>
      <c r="G254" s="10" t="s">
        <v>16</v>
      </c>
      <c r="H254" s="10" t="s">
        <v>216</v>
      </c>
      <c r="I254" s="10" t="s">
        <v>191</v>
      </c>
      <c r="J254" s="10" t="s">
        <v>119</v>
      </c>
      <c r="K254" s="10" t="s">
        <v>333</v>
      </c>
      <c r="L254" s="10" t="s">
        <v>1088</v>
      </c>
      <c r="M254" s="9">
        <v>45975</v>
      </c>
      <c r="N254" s="9"/>
      <c r="O254" s="9">
        <v>46175</v>
      </c>
      <c r="P254" s="11"/>
      <c r="Q254" s="12">
        <v>20465007</v>
      </c>
      <c r="R254">
        <v>20465007</v>
      </c>
      <c r="S254" s="22">
        <v>0.14000000000000001</v>
      </c>
      <c r="T254" s="22">
        <v>-0.01</v>
      </c>
      <c r="U254" s="12">
        <v>17423906.960000001</v>
      </c>
      <c r="V254" s="24">
        <v>17423906.960000001</v>
      </c>
      <c r="W254" s="8">
        <v>14345125.49</v>
      </c>
      <c r="X254" s="24">
        <v>14345125.49</v>
      </c>
      <c r="Y254" s="22">
        <v>7.0000000000000007E-2</v>
      </c>
      <c r="Z254" s="22">
        <v>0.13</v>
      </c>
      <c r="AA254" s="8" t="s">
        <v>1089</v>
      </c>
      <c r="AB254" s="8">
        <v>14207942.32</v>
      </c>
      <c r="AC254" s="24">
        <v>14207942.32</v>
      </c>
      <c r="AD254" s="8">
        <v>14533743.800000001</v>
      </c>
      <c r="AE254" s="24">
        <v>14533743.800000001</v>
      </c>
      <c r="AF254" s="8">
        <v>60</v>
      </c>
      <c r="AG254" s="8">
        <v>125</v>
      </c>
      <c r="AH254" s="8" t="s">
        <v>342</v>
      </c>
      <c r="AI254" s="8" t="s">
        <v>381</v>
      </c>
      <c r="AJ254" s="22">
        <v>0.43</v>
      </c>
      <c r="AK254" s="8" t="s">
        <v>152</v>
      </c>
      <c r="AL254" s="22">
        <v>0.15</v>
      </c>
      <c r="AM254" s="22">
        <v>0.05</v>
      </c>
      <c r="AN254" s="8">
        <v>6</v>
      </c>
      <c r="AO254" s="8">
        <v>2852</v>
      </c>
      <c r="AP254" s="8">
        <v>1490323.37</v>
      </c>
      <c r="AQ254" s="24">
        <v>1490323.37</v>
      </c>
      <c r="AR254" s="8"/>
      <c r="AS254" s="37"/>
      <c r="AT254" s="8" t="s">
        <v>332</v>
      </c>
      <c r="AU254" s="8" t="s">
        <v>356</v>
      </c>
      <c r="AV254" s="8">
        <v>51.2</v>
      </c>
      <c r="AW254" s="8">
        <v>12</v>
      </c>
      <c r="AX254" s="8" t="s">
        <v>332</v>
      </c>
      <c r="AY254" s="8" t="s">
        <v>206</v>
      </c>
      <c r="AZ254" s="8" t="s">
        <v>332</v>
      </c>
      <c r="BA254" s="21">
        <f>IF(OR(tblsales[[#This Row],[Invoice Value USD]]="",tblsales[[#This Row],[Collected Amount USD]]=""),"",tblsales[[#This Row],[Invoice Value USD]]-tblsales[[#This Row],[Collected Amount USD]])</f>
        <v>-325801.48000000045</v>
      </c>
      <c r="BB254" s="21">
        <f>IF(OR(tblsales[[#This Row],[Contract Value USD]]="",tblsales[[#This Row],[Cost Estimate USD]]=""),"",tblsales[[#This Row],[Contract Value USD]]-tblsales[[#This Row],[Cost Estimate USD]])</f>
        <v>3078781.4700000007</v>
      </c>
      <c r="BC254" s="21">
        <f>IF(OR(tblsales[[#This Row],[Contract Value USD]]="",tblsales[[#This Row],[Cost Estimate USD]]=""),"",tblsales[[#This Row],[Contract Value USD]]-tblsales[[#This Row],[Cost Estimate USD]])</f>
        <v>3078781.4700000007</v>
      </c>
      <c r="BD254" s="23">
        <f>IF(tblsales[[#This Row],[Invoice Value USD]]="","",tblsales[[#This Row],[Collected Amount USD]]/tblsales[[#This Row],[Invoice Value USD]])</f>
        <v>1.0229309405022979</v>
      </c>
      <c r="BE254" s="11">
        <f>IF(tblsales[[#This Row],[SalesStage]]="Won",1,0)</f>
        <v>0</v>
      </c>
      <c r="BF254" s="21" t="str">
        <f>IF(tblsales[[#This Row],[Win Flag]]=1,"Won","Lost")</f>
        <v>Lost</v>
      </c>
      <c r="BG254" s="8"/>
    </row>
    <row r="255" spans="1:59" x14ac:dyDescent="0.3">
      <c r="A255" s="10" t="s">
        <v>1090</v>
      </c>
      <c r="B255" s="9">
        <v>45917</v>
      </c>
      <c r="C255" s="10" t="s">
        <v>256</v>
      </c>
      <c r="D255" s="10" t="s">
        <v>220</v>
      </c>
      <c r="E255" s="10" t="s">
        <v>36</v>
      </c>
      <c r="F255" s="10" t="s">
        <v>339</v>
      </c>
      <c r="G255" s="10" t="s">
        <v>38</v>
      </c>
      <c r="H255" s="10" t="s">
        <v>182</v>
      </c>
      <c r="I255" s="10" t="s">
        <v>183</v>
      </c>
      <c r="J255" s="10" t="s">
        <v>115</v>
      </c>
      <c r="K255" s="10" t="s">
        <v>199</v>
      </c>
      <c r="L255" s="10" t="s">
        <v>1091</v>
      </c>
      <c r="M255" s="9">
        <v>45999</v>
      </c>
      <c r="N255" s="9">
        <v>45927</v>
      </c>
      <c r="O255" s="9">
        <v>46008</v>
      </c>
      <c r="P255" s="11">
        <v>13</v>
      </c>
      <c r="Q255" s="12">
        <v>4715700</v>
      </c>
      <c r="R255">
        <v>1284085.1099999999</v>
      </c>
      <c r="S255" s="22">
        <v>0.35</v>
      </c>
      <c r="T255" s="22">
        <v>-0.01</v>
      </c>
      <c r="U255" s="12">
        <v>3034552.95</v>
      </c>
      <c r="V255" s="24">
        <v>826308.768285</v>
      </c>
      <c r="W255" s="8">
        <v>2269981.16</v>
      </c>
      <c r="X255" s="24">
        <v>618115.86986800004</v>
      </c>
      <c r="Y255" s="22">
        <v>0.21</v>
      </c>
      <c r="Z255" s="22">
        <v>0.18</v>
      </c>
      <c r="AA255" s="8" t="s">
        <v>1092</v>
      </c>
      <c r="AB255" s="8">
        <v>2278967.5499999998</v>
      </c>
      <c r="AC255" s="24">
        <v>620562.86386499996</v>
      </c>
      <c r="AD255" s="8">
        <v>1285614.93</v>
      </c>
      <c r="AE255" s="24">
        <v>350072.94543899997</v>
      </c>
      <c r="AF255" s="8">
        <v>90</v>
      </c>
      <c r="AG255" s="8">
        <v>163</v>
      </c>
      <c r="AH255" s="8" t="s">
        <v>332</v>
      </c>
      <c r="AI255" s="8" t="s">
        <v>354</v>
      </c>
      <c r="AJ255" s="22">
        <v>0.3</v>
      </c>
      <c r="AK255" s="8" t="s">
        <v>153</v>
      </c>
      <c r="AL255" s="22">
        <v>0.05</v>
      </c>
      <c r="AM255" s="22">
        <v>0.08</v>
      </c>
      <c r="AN255" s="8">
        <v>6</v>
      </c>
      <c r="AO255" s="8">
        <v>2718</v>
      </c>
      <c r="AP255" s="8">
        <v>288593.89</v>
      </c>
      <c r="AQ255" s="24">
        <v>78584.116246999998</v>
      </c>
      <c r="AR255" s="8">
        <v>1131229.5</v>
      </c>
      <c r="AS255" s="37">
        <v>308033.79284999997</v>
      </c>
      <c r="AT255" s="8" t="s">
        <v>73</v>
      </c>
      <c r="AU255" s="8" t="s">
        <v>348</v>
      </c>
      <c r="AV255" s="8">
        <v>68.599999999999994</v>
      </c>
      <c r="AW255" s="8">
        <v>60</v>
      </c>
      <c r="AX255" s="8" t="s">
        <v>392</v>
      </c>
      <c r="AY255" s="8" t="s">
        <v>229</v>
      </c>
      <c r="AZ255" s="8" t="s">
        <v>357</v>
      </c>
      <c r="BA255" s="21">
        <f>IF(OR(tblsales[[#This Row],[Invoice Value USD]]="",tblsales[[#This Row],[Collected Amount USD]]=""),"",tblsales[[#This Row],[Invoice Value USD]]-tblsales[[#This Row],[Collected Amount USD]])</f>
        <v>270489.91842599999</v>
      </c>
      <c r="BB255" s="21">
        <f>IF(OR(tblsales[[#This Row],[Contract Value USD]]="",tblsales[[#This Row],[Cost Estimate USD]]=""),"",tblsales[[#This Row],[Contract Value USD]]-tblsales[[#This Row],[Cost Estimate USD]])</f>
        <v>208192.89841699996</v>
      </c>
      <c r="BC255" s="21">
        <f>IF(OR(tblsales[[#This Row],[Contract Value USD]]="",tblsales[[#This Row],[Cost Estimate USD]]=""),"",tblsales[[#This Row],[Contract Value USD]]-tblsales[[#This Row],[Cost Estimate USD]])</f>
        <v>208192.89841699996</v>
      </c>
      <c r="BD255" s="23">
        <f>IF(tblsales[[#This Row],[Invoice Value USD]]="","",tblsales[[#This Row],[Collected Amount USD]]/tblsales[[#This Row],[Invoice Value USD]])</f>
        <v>0.56412164798046383</v>
      </c>
      <c r="BE255" s="11">
        <f>IF(tblsales[[#This Row],[SalesStage]]="Won",1,0)</f>
        <v>0</v>
      </c>
      <c r="BF255" s="21" t="str">
        <f>IF(tblsales[[#This Row],[Win Flag]]=1,"Won","Lost")</f>
        <v>Lost</v>
      </c>
      <c r="BG255" s="8"/>
    </row>
    <row r="256" spans="1:59" x14ac:dyDescent="0.3">
      <c r="A256" s="10" t="s">
        <v>1093</v>
      </c>
      <c r="B256" s="9">
        <v>45797</v>
      </c>
      <c r="C256" s="10" t="s">
        <v>251</v>
      </c>
      <c r="D256" s="10" t="s">
        <v>253</v>
      </c>
      <c r="E256" s="10" t="s">
        <v>41</v>
      </c>
      <c r="F256" s="10" t="s">
        <v>228</v>
      </c>
      <c r="G256" s="10" t="s">
        <v>73</v>
      </c>
      <c r="H256" s="10" t="s">
        <v>216</v>
      </c>
      <c r="I256" s="10" t="s">
        <v>183</v>
      </c>
      <c r="J256" s="10" t="s">
        <v>105</v>
      </c>
      <c r="K256" s="10" t="s">
        <v>333</v>
      </c>
      <c r="L256" s="10" t="s">
        <v>1094</v>
      </c>
      <c r="M256" s="9">
        <v>45779</v>
      </c>
      <c r="N256" s="9">
        <v>45800</v>
      </c>
      <c r="O256" s="9">
        <v>45882</v>
      </c>
      <c r="P256" s="11">
        <v>4</v>
      </c>
      <c r="Q256" s="12">
        <v>22222016</v>
      </c>
      <c r="R256">
        <v>25799760.576000001</v>
      </c>
      <c r="S256" s="22">
        <v>0.33</v>
      </c>
      <c r="T256" s="22">
        <v>0.03</v>
      </c>
      <c r="U256" s="12">
        <v>15335413.24</v>
      </c>
      <c r="V256" s="24">
        <v>17804414.771639999</v>
      </c>
      <c r="W256" s="8">
        <v>10905227.5</v>
      </c>
      <c r="X256" s="24">
        <v>12660969.127499999</v>
      </c>
      <c r="Y256" s="22">
        <v>0.22</v>
      </c>
      <c r="Z256" s="22">
        <v>0.2</v>
      </c>
      <c r="AA256" s="8"/>
      <c r="AB256" s="8">
        <v>13446810.68</v>
      </c>
      <c r="AC256" s="24">
        <v>15611747.199480001</v>
      </c>
      <c r="AD256" s="8">
        <v>14698040.74</v>
      </c>
      <c r="AE256" s="24">
        <v>17064425.299140003</v>
      </c>
      <c r="AF256" s="8">
        <v>30</v>
      </c>
      <c r="AG256" s="8">
        <v>152</v>
      </c>
      <c r="AH256" s="8" t="s">
        <v>332</v>
      </c>
      <c r="AI256" s="8" t="s">
        <v>455</v>
      </c>
      <c r="AJ256" s="22">
        <v>0.33</v>
      </c>
      <c r="AK256" s="8" t="s">
        <v>159</v>
      </c>
      <c r="AL256" s="22">
        <v>0.1</v>
      </c>
      <c r="AM256" s="22">
        <v>0.02</v>
      </c>
      <c r="AN256" s="8">
        <v>4</v>
      </c>
      <c r="AO256" s="8">
        <v>1360</v>
      </c>
      <c r="AP256" s="8">
        <v>2415878.09</v>
      </c>
      <c r="AQ256" s="24">
        <v>2804834.4624899998</v>
      </c>
      <c r="AR256" s="8">
        <v>6767202.5</v>
      </c>
      <c r="AS256" s="37">
        <v>7856722.1025</v>
      </c>
      <c r="AT256" s="8" t="s">
        <v>343</v>
      </c>
      <c r="AU256" s="8" t="s">
        <v>330</v>
      </c>
      <c r="AV256" s="8">
        <v>70.3</v>
      </c>
      <c r="AW256" s="8">
        <v>12</v>
      </c>
      <c r="AX256" s="8" t="s">
        <v>332</v>
      </c>
      <c r="AY256" s="8" t="s">
        <v>224</v>
      </c>
      <c r="AZ256" s="8" t="s">
        <v>377</v>
      </c>
      <c r="BA256" s="21">
        <f>IF(OR(tblsales[[#This Row],[Invoice Value USD]]="",tblsales[[#This Row],[Collected Amount USD]]=""),"",tblsales[[#This Row],[Invoice Value USD]]-tblsales[[#This Row],[Collected Amount USD]])</f>
        <v>-1452678.0996600017</v>
      </c>
      <c r="BB256" s="21">
        <f>IF(OR(tblsales[[#This Row],[Contract Value USD]]="",tblsales[[#This Row],[Cost Estimate USD]]=""),"",tblsales[[#This Row],[Contract Value USD]]-tblsales[[#This Row],[Cost Estimate USD]])</f>
        <v>5143445.6441399995</v>
      </c>
      <c r="BC256" s="21">
        <f>IF(OR(tblsales[[#This Row],[Contract Value USD]]="",tblsales[[#This Row],[Cost Estimate USD]]=""),"",tblsales[[#This Row],[Contract Value USD]]-tblsales[[#This Row],[Cost Estimate USD]])</f>
        <v>5143445.6441399995</v>
      </c>
      <c r="BD256" s="23">
        <f>IF(tblsales[[#This Row],[Invoice Value USD]]="","",tblsales[[#This Row],[Collected Amount USD]]/tblsales[[#This Row],[Invoice Value USD]])</f>
        <v>1.0930503217287806</v>
      </c>
      <c r="BE256" s="11">
        <f>IF(tblsales[[#This Row],[SalesStage]]="Won",1,0)</f>
        <v>0</v>
      </c>
      <c r="BF256" s="21" t="str">
        <f>IF(tblsales[[#This Row],[Win Flag]]=1,"Won","Lost")</f>
        <v>Lost</v>
      </c>
      <c r="BG256" s="8"/>
    </row>
    <row r="257" spans="1:61" x14ac:dyDescent="0.3">
      <c r="A257" s="10" t="s">
        <v>1095</v>
      </c>
      <c r="B257" s="9">
        <v>45684</v>
      </c>
      <c r="C257" s="10" t="s">
        <v>254</v>
      </c>
      <c r="D257" s="10" t="s">
        <v>209</v>
      </c>
      <c r="E257" s="10" t="s">
        <v>36</v>
      </c>
      <c r="F257" s="10" t="s">
        <v>339</v>
      </c>
      <c r="G257" s="10" t="s">
        <v>62</v>
      </c>
      <c r="H257" s="10" t="s">
        <v>263</v>
      </c>
      <c r="I257" s="10" t="s">
        <v>198</v>
      </c>
      <c r="J257" s="10" t="s">
        <v>115</v>
      </c>
      <c r="K257" s="10" t="s">
        <v>210</v>
      </c>
      <c r="L257" s="10" t="s">
        <v>1096</v>
      </c>
      <c r="M257" s="9">
        <v>45596</v>
      </c>
      <c r="N257" s="9"/>
      <c r="O257" s="9">
        <v>45747</v>
      </c>
      <c r="P257" s="11">
        <v>47</v>
      </c>
      <c r="Q257" s="12">
        <v>340073</v>
      </c>
      <c r="R257">
        <v>92601.877899999992</v>
      </c>
      <c r="S257" s="22">
        <v>0.17</v>
      </c>
      <c r="T257" s="22">
        <v>-0.04</v>
      </c>
      <c r="U257" s="12">
        <v>270970.17</v>
      </c>
      <c r="V257" s="24">
        <v>73785.177290999985</v>
      </c>
      <c r="W257" s="8">
        <v>202936.24</v>
      </c>
      <c r="X257" s="24">
        <v>55259.538151999994</v>
      </c>
      <c r="Y257" s="22">
        <v>0.15</v>
      </c>
      <c r="Z257" s="22">
        <v>0.11</v>
      </c>
      <c r="AA257" s="8" t="s">
        <v>1097</v>
      </c>
      <c r="AB257" s="8">
        <v>80670.41</v>
      </c>
      <c r="AC257" s="24">
        <v>21966.552642999999</v>
      </c>
      <c r="AD257" s="8">
        <v>78642.66</v>
      </c>
      <c r="AE257" s="24">
        <v>21414.396317999999</v>
      </c>
      <c r="AF257" s="8">
        <v>60</v>
      </c>
      <c r="AG257" s="8">
        <v>171</v>
      </c>
      <c r="AH257" s="8" t="s">
        <v>329</v>
      </c>
      <c r="AI257" s="8" t="s">
        <v>320</v>
      </c>
      <c r="AJ257" s="22">
        <v>0.59</v>
      </c>
      <c r="AK257" s="8" t="s">
        <v>153</v>
      </c>
      <c r="AL257" s="22">
        <v>0.05</v>
      </c>
      <c r="AM257" s="22">
        <v>0.02</v>
      </c>
      <c r="AN257" s="8">
        <v>9</v>
      </c>
      <c r="AO257" s="8">
        <v>3295</v>
      </c>
      <c r="AP257" s="8">
        <v>63410.9</v>
      </c>
      <c r="AQ257" s="24">
        <v>17266.788069999999</v>
      </c>
      <c r="AR257" s="8">
        <v>118915.03</v>
      </c>
      <c r="AS257" s="37">
        <v>32380.562668999999</v>
      </c>
      <c r="AT257" s="8" t="s">
        <v>73</v>
      </c>
      <c r="AU257" s="8" t="s">
        <v>386</v>
      </c>
      <c r="AV257" s="8">
        <v>84.7</v>
      </c>
      <c r="AW257" s="8">
        <v>24</v>
      </c>
      <c r="AX257" s="8" t="s">
        <v>323</v>
      </c>
      <c r="AY257" s="8" t="s">
        <v>192</v>
      </c>
      <c r="AZ257" s="8" t="s">
        <v>332</v>
      </c>
      <c r="BA257" s="21">
        <f>IF(OR(tblsales[[#This Row],[Invoice Value USD]]="",tblsales[[#This Row],[Collected Amount USD]]=""),"",tblsales[[#This Row],[Invoice Value USD]]-tblsales[[#This Row],[Collected Amount USD]])</f>
        <v>552.15632499999992</v>
      </c>
      <c r="BB257" s="21">
        <f>IF(OR(tblsales[[#This Row],[Contract Value USD]]="",tblsales[[#This Row],[Cost Estimate USD]]=""),"",tblsales[[#This Row],[Contract Value USD]]-tblsales[[#This Row],[Cost Estimate USD]])</f>
        <v>18525.639138999992</v>
      </c>
      <c r="BC257" s="21">
        <f>IF(OR(tblsales[[#This Row],[Contract Value USD]]="",tblsales[[#This Row],[Cost Estimate USD]]=""),"",tblsales[[#This Row],[Contract Value USD]]-tblsales[[#This Row],[Cost Estimate USD]])</f>
        <v>18525.639138999992</v>
      </c>
      <c r="BD257" s="23">
        <f>IF(tblsales[[#This Row],[Invoice Value USD]]="","",tblsales[[#This Row],[Collected Amount USD]]/tblsales[[#This Row],[Invoice Value USD]])</f>
        <v>0.97486376975151112</v>
      </c>
      <c r="BE257" s="11">
        <f>IF(tblsales[[#This Row],[SalesStage]]="Won",1,0)</f>
        <v>1</v>
      </c>
      <c r="BF257" s="21" t="str">
        <f>IF(tblsales[[#This Row],[Win Flag]]=1,"Won","Lost")</f>
        <v>Won</v>
      </c>
      <c r="BG257" s="8"/>
    </row>
    <row r="258" spans="1:61" x14ac:dyDescent="0.3">
      <c r="A258" s="10" t="s">
        <v>1098</v>
      </c>
      <c r="B258" s="9">
        <v>45733</v>
      </c>
      <c r="C258" s="10" t="s">
        <v>276</v>
      </c>
      <c r="D258" s="10" t="s">
        <v>202</v>
      </c>
      <c r="E258" s="10" t="s">
        <v>20</v>
      </c>
      <c r="F258" s="10" t="s">
        <v>196</v>
      </c>
      <c r="G258" s="10" t="s">
        <v>66</v>
      </c>
      <c r="H258" s="10" t="s">
        <v>216</v>
      </c>
      <c r="I258" s="10" t="s">
        <v>203</v>
      </c>
      <c r="J258" s="10" t="s">
        <v>136</v>
      </c>
      <c r="K258" s="10" t="s">
        <v>199</v>
      </c>
      <c r="L258" s="10" t="s">
        <v>1099</v>
      </c>
      <c r="M258" s="9">
        <v>45674</v>
      </c>
      <c r="N258" s="9">
        <v>45762</v>
      </c>
      <c r="O258" s="9">
        <v>45804</v>
      </c>
      <c r="P258" s="11">
        <v>23</v>
      </c>
      <c r="Q258" s="12">
        <v>7425912</v>
      </c>
      <c r="R258">
        <v>2022075.8376</v>
      </c>
      <c r="S258" s="22">
        <v>0.35</v>
      </c>
      <c r="T258" s="22">
        <v>-0.02</v>
      </c>
      <c r="U258" s="12">
        <v>4730305.9400000004</v>
      </c>
      <c r="V258" s="24">
        <v>1288062.3074620001</v>
      </c>
      <c r="W258" s="8">
        <v>3842027.15</v>
      </c>
      <c r="X258" s="24">
        <v>1046183.9929449999</v>
      </c>
      <c r="Y258" s="22">
        <v>0.39</v>
      </c>
      <c r="Z258" s="22">
        <v>0.16</v>
      </c>
      <c r="AA258" s="8" t="s">
        <v>1100</v>
      </c>
      <c r="AB258" s="8">
        <v>3142598.95</v>
      </c>
      <c r="AC258" s="24">
        <v>855729.69408499997</v>
      </c>
      <c r="AD258" s="8">
        <v>1652944.85</v>
      </c>
      <c r="AE258" s="24">
        <v>450096.88265500002</v>
      </c>
      <c r="AF258" s="8">
        <v>60</v>
      </c>
      <c r="AG258" s="8">
        <v>177</v>
      </c>
      <c r="AH258" s="8" t="s">
        <v>332</v>
      </c>
      <c r="AI258" s="8" t="s">
        <v>381</v>
      </c>
      <c r="AJ258" s="22">
        <v>0.35</v>
      </c>
      <c r="AK258" s="8" t="s">
        <v>153</v>
      </c>
      <c r="AL258" s="22">
        <v>0.05</v>
      </c>
      <c r="AM258" s="22">
        <v>7.0000000000000007E-2</v>
      </c>
      <c r="AN258" s="8">
        <v>13</v>
      </c>
      <c r="AO258" s="8">
        <v>2750</v>
      </c>
      <c r="AP258" s="8">
        <v>1056610.33</v>
      </c>
      <c r="AQ258" s="24">
        <v>287714.99285899999</v>
      </c>
      <c r="AR258" s="8">
        <v>1615724.61</v>
      </c>
      <c r="AS258" s="37">
        <v>439961.81130300002</v>
      </c>
      <c r="AT258" s="8" t="s">
        <v>391</v>
      </c>
      <c r="AU258" s="8" t="s">
        <v>332</v>
      </c>
      <c r="AV258" s="8">
        <v>50.4</v>
      </c>
      <c r="AW258" s="8">
        <v>24</v>
      </c>
      <c r="AX258" s="8" t="s">
        <v>323</v>
      </c>
      <c r="AY258" s="8" t="s">
        <v>186</v>
      </c>
      <c r="AZ258" s="8" t="s">
        <v>188</v>
      </c>
      <c r="BA258" s="21">
        <f>IF(OR(tblsales[[#This Row],[Invoice Value USD]]="",tblsales[[#This Row],[Collected Amount USD]]=""),"",tblsales[[#This Row],[Invoice Value USD]]-tblsales[[#This Row],[Collected Amount USD]])</f>
        <v>405632.81142999994</v>
      </c>
      <c r="BB258" s="21">
        <f>IF(OR(tblsales[[#This Row],[Contract Value USD]]="",tblsales[[#This Row],[Cost Estimate USD]]=""),"",tblsales[[#This Row],[Contract Value USD]]-tblsales[[#This Row],[Cost Estimate USD]])</f>
        <v>241878.31451700011</v>
      </c>
      <c r="BC258" s="21">
        <f>IF(OR(tblsales[[#This Row],[Contract Value USD]]="",tblsales[[#This Row],[Cost Estimate USD]]=""),"",tblsales[[#This Row],[Contract Value USD]]-tblsales[[#This Row],[Cost Estimate USD]])</f>
        <v>241878.31451700011</v>
      </c>
      <c r="BD258" s="23">
        <f>IF(tblsales[[#This Row],[Invoice Value USD]]="","",tblsales[[#This Row],[Collected Amount USD]]/tblsales[[#This Row],[Invoice Value USD]])</f>
        <v>0.5259802081967857</v>
      </c>
      <c r="BE258" s="11">
        <f>IF(tblsales[[#This Row],[SalesStage]]="Won",1,0)</f>
        <v>0</v>
      </c>
      <c r="BF258" s="21" t="str">
        <f>IF(tblsales[[#This Row],[Win Flag]]=1,"Won","Lost")</f>
        <v>Lost</v>
      </c>
      <c r="BG258" s="8"/>
    </row>
    <row r="259" spans="1:61" x14ac:dyDescent="0.3">
      <c r="A259" s="10" t="s">
        <v>1101</v>
      </c>
      <c r="B259" s="9">
        <v>46067</v>
      </c>
      <c r="C259" s="10" t="s">
        <v>260</v>
      </c>
      <c r="D259" s="10" t="s">
        <v>562</v>
      </c>
      <c r="E259" s="10" t="s">
        <v>41</v>
      </c>
      <c r="F259" s="10" t="s">
        <v>350</v>
      </c>
      <c r="G259" s="10" t="s">
        <v>57</v>
      </c>
      <c r="H259" s="10" t="s">
        <v>263</v>
      </c>
      <c r="I259" s="10" t="s">
        <v>191</v>
      </c>
      <c r="J259" s="10" t="s">
        <v>130</v>
      </c>
      <c r="K259" s="10" t="s">
        <v>199</v>
      </c>
      <c r="L259" s="10" t="s">
        <v>1102</v>
      </c>
      <c r="M259" s="9">
        <v>46015</v>
      </c>
      <c r="N259" s="9">
        <v>46107</v>
      </c>
      <c r="O259" s="9">
        <v>46239</v>
      </c>
      <c r="P259" s="11">
        <v>41</v>
      </c>
      <c r="Q259" s="12">
        <v>41463692</v>
      </c>
      <c r="R259">
        <v>11290563.331599999</v>
      </c>
      <c r="S259" s="22">
        <v>0.14000000000000001</v>
      </c>
      <c r="T259" s="22">
        <v>-0.05</v>
      </c>
      <c r="U259" s="12">
        <v>33875836.359999999</v>
      </c>
      <c r="V259" s="24">
        <v>9224390.240828</v>
      </c>
      <c r="W259" s="8">
        <v>29706630.609999999</v>
      </c>
      <c r="X259" s="24">
        <v>8089115.5151029993</v>
      </c>
      <c r="Y259" s="22">
        <v>0.13</v>
      </c>
      <c r="Z259" s="22">
        <v>0.09</v>
      </c>
      <c r="AA259" s="8" t="s">
        <v>1103</v>
      </c>
      <c r="AB259" s="8">
        <v>15595710.49</v>
      </c>
      <c r="AC259" s="24">
        <v>4246711.9664270002</v>
      </c>
      <c r="AD259" s="8">
        <v>14963448.43</v>
      </c>
      <c r="AE259" s="24">
        <v>4074547.0074889995</v>
      </c>
      <c r="AF259" s="8">
        <v>120</v>
      </c>
      <c r="AG259" s="8">
        <v>52</v>
      </c>
      <c r="AH259" s="8" t="s">
        <v>347</v>
      </c>
      <c r="AI259" s="8" t="s">
        <v>354</v>
      </c>
      <c r="AJ259" s="22">
        <v>0.25</v>
      </c>
      <c r="AK259" s="8" t="s">
        <v>153</v>
      </c>
      <c r="AL259" s="22">
        <v>0.1</v>
      </c>
      <c r="AM259" s="22">
        <v>7.0000000000000007E-2</v>
      </c>
      <c r="AN259" s="8">
        <v>8</v>
      </c>
      <c r="AO259" s="8">
        <v>45</v>
      </c>
      <c r="AP259" s="8">
        <v>993414.11</v>
      </c>
      <c r="AQ259" s="24">
        <v>270506.66215299995</v>
      </c>
      <c r="AR259" s="8">
        <v>9475070.5099999998</v>
      </c>
      <c r="AS259" s="37">
        <v>2580061.6998729999</v>
      </c>
      <c r="AT259" s="8" t="s">
        <v>355</v>
      </c>
      <c r="AU259" s="8" t="s">
        <v>356</v>
      </c>
      <c r="AV259" s="8">
        <v>90.8</v>
      </c>
      <c r="AW259" s="8">
        <v>48</v>
      </c>
      <c r="AX259" s="8" t="s">
        <v>332</v>
      </c>
      <c r="AY259" s="8" t="s">
        <v>192</v>
      </c>
      <c r="AZ259" s="8" t="s">
        <v>332</v>
      </c>
      <c r="BA259" s="21">
        <f>IF(OR(tblsales[[#This Row],[Invoice Value USD]]="",tblsales[[#This Row],[Collected Amount USD]]=""),"",tblsales[[#This Row],[Invoice Value USD]]-tblsales[[#This Row],[Collected Amount USD]])</f>
        <v>172164.95893800072</v>
      </c>
      <c r="BB259" s="21">
        <f>IF(OR(tblsales[[#This Row],[Contract Value USD]]="",tblsales[[#This Row],[Cost Estimate USD]]=""),"",tblsales[[#This Row],[Contract Value USD]]-tblsales[[#This Row],[Cost Estimate USD]])</f>
        <v>1135274.7257250007</v>
      </c>
      <c r="BC259" s="21">
        <f>IF(OR(tblsales[[#This Row],[Contract Value USD]]="",tblsales[[#This Row],[Cost Estimate USD]]=""),"",tblsales[[#This Row],[Contract Value USD]]-tblsales[[#This Row],[Cost Estimate USD]])</f>
        <v>1135274.7257250007</v>
      </c>
      <c r="BD259" s="23">
        <f>IF(tblsales[[#This Row],[Invoice Value USD]]="","",tblsales[[#This Row],[Collected Amount USD]]/tblsales[[#This Row],[Invoice Value USD]])</f>
        <v>0.95945923333179273</v>
      </c>
      <c r="BE259" s="11">
        <f>IF(tblsales[[#This Row],[SalesStage]]="Won",1,0)</f>
        <v>0</v>
      </c>
      <c r="BF259" s="21" t="str">
        <f>IF(tblsales[[#This Row],[Win Flag]]=1,"Won","Lost")</f>
        <v>Lost</v>
      </c>
      <c r="BG259" s="8"/>
    </row>
    <row r="260" spans="1:61" x14ac:dyDescent="0.3">
      <c r="A260" s="10" t="s">
        <v>1104</v>
      </c>
      <c r="B260" s="9">
        <v>45914</v>
      </c>
      <c r="C260" s="10" t="s">
        <v>278</v>
      </c>
      <c r="D260" s="10" t="s">
        <v>265</v>
      </c>
      <c r="E260" s="10" t="s">
        <v>332</v>
      </c>
      <c r="F260" s="10" t="s">
        <v>31</v>
      </c>
      <c r="G260" s="10" t="s">
        <v>33</v>
      </c>
      <c r="H260" s="10" t="s">
        <v>182</v>
      </c>
      <c r="I260" s="10" t="s">
        <v>198</v>
      </c>
      <c r="J260" s="10" t="s">
        <v>130</v>
      </c>
      <c r="K260" s="10" t="s">
        <v>199</v>
      </c>
      <c r="L260" s="10" t="s">
        <v>1105</v>
      </c>
      <c r="M260" s="9">
        <v>45883</v>
      </c>
      <c r="N260" s="9">
        <v>45940</v>
      </c>
      <c r="O260" s="9">
        <v>45911</v>
      </c>
      <c r="P260" s="11">
        <v>51</v>
      </c>
      <c r="Q260" s="12">
        <v>49374026</v>
      </c>
      <c r="R260">
        <v>49374026</v>
      </c>
      <c r="S260" s="22">
        <v>0.28000000000000003</v>
      </c>
      <c r="T260" s="22">
        <v>0.11</v>
      </c>
      <c r="U260" s="12">
        <v>39459721.579999998</v>
      </c>
      <c r="V260" s="24">
        <v>39459721.579999998</v>
      </c>
      <c r="W260" s="8">
        <v>27339578.41</v>
      </c>
      <c r="X260" s="24">
        <v>27339578.41</v>
      </c>
      <c r="Y260" s="22">
        <v>0.24</v>
      </c>
      <c r="Z260" s="22">
        <v>0.06</v>
      </c>
      <c r="AA260" s="8" t="s">
        <v>1106</v>
      </c>
      <c r="AB260" s="8">
        <v>12243306.119999999</v>
      </c>
      <c r="AC260" s="24">
        <v>12243306.119999999</v>
      </c>
      <c r="AD260" s="8">
        <v>9552178.2100000009</v>
      </c>
      <c r="AE260" s="24">
        <v>9552178.2100000009</v>
      </c>
      <c r="AF260" s="8">
        <v>30</v>
      </c>
      <c r="AG260" s="8">
        <v>128</v>
      </c>
      <c r="AH260" s="8" t="s">
        <v>342</v>
      </c>
      <c r="AI260" s="8" t="s">
        <v>226</v>
      </c>
      <c r="AJ260" s="22">
        <v>0.98</v>
      </c>
      <c r="AK260" s="8" t="s">
        <v>152</v>
      </c>
      <c r="AL260" s="22">
        <v>0.05</v>
      </c>
      <c r="AM260" s="22">
        <v>0.06</v>
      </c>
      <c r="AN260" s="8">
        <v>9</v>
      </c>
      <c r="AO260" s="8">
        <v>2222</v>
      </c>
      <c r="AP260" s="8">
        <v>1818117.51</v>
      </c>
      <c r="AQ260" s="24">
        <v>1818117.51</v>
      </c>
      <c r="AR260" s="8">
        <v>5862752.5</v>
      </c>
      <c r="AS260" s="37">
        <v>5862752.5</v>
      </c>
      <c r="AT260" s="8" t="s">
        <v>321</v>
      </c>
      <c r="AU260" s="8" t="s">
        <v>322</v>
      </c>
      <c r="AV260" s="8">
        <v>92.7</v>
      </c>
      <c r="AW260" s="8">
        <v>60</v>
      </c>
      <c r="AX260" s="8" t="s">
        <v>332</v>
      </c>
      <c r="AY260" s="8" t="s">
        <v>192</v>
      </c>
      <c r="AZ260" s="8" t="s">
        <v>324</v>
      </c>
      <c r="BA260" s="21">
        <f>IF(OR(tblsales[[#This Row],[Invoice Value USD]]="",tblsales[[#This Row],[Collected Amount USD]]=""),"",tblsales[[#This Row],[Invoice Value USD]]-tblsales[[#This Row],[Collected Amount USD]])</f>
        <v>2691127.9099999983</v>
      </c>
      <c r="BB260" s="21">
        <f>IF(OR(tblsales[[#This Row],[Contract Value USD]]="",tblsales[[#This Row],[Cost Estimate USD]]=""),"",tblsales[[#This Row],[Contract Value USD]]-tblsales[[#This Row],[Cost Estimate USD]])</f>
        <v>12120143.169999998</v>
      </c>
      <c r="BC260" s="21">
        <f>IF(OR(tblsales[[#This Row],[Contract Value USD]]="",tblsales[[#This Row],[Cost Estimate USD]]=""),"",tblsales[[#This Row],[Contract Value USD]]-tblsales[[#This Row],[Cost Estimate USD]])</f>
        <v>12120143.169999998</v>
      </c>
      <c r="BD260" s="23">
        <f>IF(tblsales[[#This Row],[Invoice Value USD]]="","",tblsales[[#This Row],[Collected Amount USD]]/tblsales[[#This Row],[Invoice Value USD]])</f>
        <v>0.78019597945003449</v>
      </c>
      <c r="BE260" s="11">
        <f>IF(tblsales[[#This Row],[SalesStage]]="Won",1,0)</f>
        <v>0</v>
      </c>
      <c r="BF260" s="21" t="str">
        <f>IF(tblsales[[#This Row],[Win Flag]]=1,"Won","Lost")</f>
        <v>Lost</v>
      </c>
      <c r="BG260" s="8"/>
    </row>
    <row r="261" spans="1:61" x14ac:dyDescent="0.3">
      <c r="A261" s="10" t="s">
        <v>1107</v>
      </c>
      <c r="B261" s="9">
        <v>45695</v>
      </c>
      <c r="C261" s="10" t="s">
        <v>189</v>
      </c>
      <c r="D261" s="10" t="s">
        <v>190</v>
      </c>
      <c r="E261" s="10" t="s">
        <v>20</v>
      </c>
      <c r="F261" s="10" t="s">
        <v>31</v>
      </c>
      <c r="G261" s="10" t="s">
        <v>57</v>
      </c>
      <c r="H261" s="10" t="s">
        <v>212</v>
      </c>
      <c r="I261" s="10" t="s">
        <v>183</v>
      </c>
      <c r="J261" s="10" t="s">
        <v>136</v>
      </c>
      <c r="K261" s="10" t="s">
        <v>326</v>
      </c>
      <c r="L261" s="10" t="s">
        <v>1108</v>
      </c>
      <c r="M261" s="9">
        <v>45803</v>
      </c>
      <c r="N261" s="9"/>
      <c r="O261" s="9">
        <v>45945</v>
      </c>
      <c r="P261" s="11">
        <v>50</v>
      </c>
      <c r="Q261" s="12">
        <v>6376035</v>
      </c>
      <c r="R261">
        <v>1736194.3304999999</v>
      </c>
      <c r="S261" s="22">
        <v>0.13</v>
      </c>
      <c r="T261" s="22">
        <v>0.05</v>
      </c>
      <c r="U261" s="12">
        <v>5824507.9699999997</v>
      </c>
      <c r="V261" s="24">
        <v>1586013.5202309999</v>
      </c>
      <c r="W261" s="8">
        <v>4642760.24</v>
      </c>
      <c r="X261" s="24">
        <v>1264223.613352</v>
      </c>
      <c r="Y261" s="22">
        <v>0.22</v>
      </c>
      <c r="Z261" s="22">
        <v>0.17</v>
      </c>
      <c r="AA261" s="8" t="s">
        <v>1109</v>
      </c>
      <c r="AB261" s="8">
        <v>1228418.6499999999</v>
      </c>
      <c r="AC261" s="24">
        <v>334498.39839499997</v>
      </c>
      <c r="AD261" s="8">
        <v>1297151.8400000001</v>
      </c>
      <c r="AE261" s="24">
        <v>353214.44603200001</v>
      </c>
      <c r="AF261" s="8">
        <v>30</v>
      </c>
      <c r="AG261" s="8">
        <v>159</v>
      </c>
      <c r="AH261" s="8" t="s">
        <v>353</v>
      </c>
      <c r="AI261" s="8" t="s">
        <v>320</v>
      </c>
      <c r="AJ261" s="22">
        <v>0.81</v>
      </c>
      <c r="AK261" s="8" t="s">
        <v>153</v>
      </c>
      <c r="AL261" s="22">
        <v>0.05</v>
      </c>
      <c r="AM261" s="22">
        <v>0.1</v>
      </c>
      <c r="AN261" s="8">
        <v>5</v>
      </c>
      <c r="AO261" s="8">
        <v>4687</v>
      </c>
      <c r="AP261" s="8">
        <v>1439599.08</v>
      </c>
      <c r="AQ261" s="24">
        <v>392002.82948399999</v>
      </c>
      <c r="AR261" s="8">
        <v>2093833.32</v>
      </c>
      <c r="AS261" s="37">
        <v>570150.81303600001</v>
      </c>
      <c r="AT261" s="8" t="s">
        <v>391</v>
      </c>
      <c r="AU261" s="8" t="s">
        <v>330</v>
      </c>
      <c r="AV261" s="8">
        <v>68.400000000000006</v>
      </c>
      <c r="AW261" s="8">
        <v>12</v>
      </c>
      <c r="AX261" s="8" t="s">
        <v>392</v>
      </c>
      <c r="AY261" s="8" t="s">
        <v>206</v>
      </c>
      <c r="AZ261" s="8" t="s">
        <v>332</v>
      </c>
      <c r="BA261" s="21">
        <f>IF(OR(tblsales[[#This Row],[Invoice Value USD]]="",tblsales[[#This Row],[Collected Amount USD]]=""),"",tblsales[[#This Row],[Invoice Value USD]]-tblsales[[#This Row],[Collected Amount USD]])</f>
        <v>-18716.04763700004</v>
      </c>
      <c r="BB261" s="21">
        <f>IF(OR(tblsales[[#This Row],[Contract Value USD]]="",tblsales[[#This Row],[Cost Estimate USD]]=""),"",tblsales[[#This Row],[Contract Value USD]]-tblsales[[#This Row],[Cost Estimate USD]])</f>
        <v>321789.9068789999</v>
      </c>
      <c r="BC261" s="21">
        <f>IF(OR(tblsales[[#This Row],[Contract Value USD]]="",tblsales[[#This Row],[Cost Estimate USD]]=""),"",tblsales[[#This Row],[Contract Value USD]]-tblsales[[#This Row],[Cost Estimate USD]])</f>
        <v>321789.9068789999</v>
      </c>
      <c r="BD261" s="23">
        <f>IF(tblsales[[#This Row],[Invoice Value USD]]="","",tblsales[[#This Row],[Collected Amount USD]]/tblsales[[#This Row],[Invoice Value USD]])</f>
        <v>1.0559525777307273</v>
      </c>
      <c r="BE261" s="11">
        <f>IF(tblsales[[#This Row],[SalesStage]]="Won",1,0)</f>
        <v>1</v>
      </c>
      <c r="BF261" s="21" t="str">
        <f>IF(tblsales[[#This Row],[Win Flag]]=1,"Won","Lost")</f>
        <v>Won</v>
      </c>
      <c r="BG261" s="8"/>
    </row>
    <row r="262" spans="1:61" x14ac:dyDescent="0.3">
      <c r="A262" s="10" t="s">
        <v>1110</v>
      </c>
      <c r="B262" s="9">
        <v>45945</v>
      </c>
      <c r="C262" s="10" t="s">
        <v>279</v>
      </c>
      <c r="D262" s="10" t="s">
        <v>281</v>
      </c>
      <c r="E262" s="10" t="s">
        <v>20</v>
      </c>
      <c r="F262" s="10" t="s">
        <v>35</v>
      </c>
      <c r="G262" s="10" t="s">
        <v>78</v>
      </c>
      <c r="H262" s="10" t="s">
        <v>182</v>
      </c>
      <c r="I262" s="10" t="s">
        <v>240</v>
      </c>
      <c r="J262" s="10" t="s">
        <v>136</v>
      </c>
      <c r="K262" s="10" t="s">
        <v>210</v>
      </c>
      <c r="L262" s="10" t="s">
        <v>1111</v>
      </c>
      <c r="M262" s="9">
        <v>45868</v>
      </c>
      <c r="N262" s="9"/>
      <c r="O262" s="9">
        <v>46013</v>
      </c>
      <c r="P262" s="11"/>
      <c r="Q262" s="12">
        <v>8017772</v>
      </c>
      <c r="R262">
        <v>2183239.3155999999</v>
      </c>
      <c r="S262" s="22">
        <v>0.21</v>
      </c>
      <c r="T262" s="22">
        <v>7.0000000000000007E-2</v>
      </c>
      <c r="U262" s="12">
        <v>6777422.6699999999</v>
      </c>
      <c r="V262" s="24">
        <v>1845492.1930409998</v>
      </c>
      <c r="W262" s="8">
        <v>4732851.5</v>
      </c>
      <c r="X262" s="24">
        <v>1288755.4634499999</v>
      </c>
      <c r="Y262" s="22">
        <v>0.35</v>
      </c>
      <c r="Z262" s="22">
        <v>0.19</v>
      </c>
      <c r="AA262" s="8" t="s">
        <v>1112</v>
      </c>
      <c r="AB262" s="8">
        <v>3527969.12</v>
      </c>
      <c r="AC262" s="24">
        <v>960665.99137599999</v>
      </c>
      <c r="AD262" s="8">
        <v>2615225.86</v>
      </c>
      <c r="AE262" s="24">
        <v>712126.00167799997</v>
      </c>
      <c r="AF262" s="8">
        <v>60</v>
      </c>
      <c r="AG262" s="8">
        <v>31</v>
      </c>
      <c r="AH262" s="8" t="s">
        <v>353</v>
      </c>
      <c r="AI262" s="8" t="s">
        <v>226</v>
      </c>
      <c r="AJ262" s="22">
        <v>0.64</v>
      </c>
      <c r="AK262" s="8" t="s">
        <v>153</v>
      </c>
      <c r="AL262" s="22">
        <v>0.05</v>
      </c>
      <c r="AM262" s="22">
        <v>0.08</v>
      </c>
      <c r="AN262" s="8">
        <v>10</v>
      </c>
      <c r="AO262" s="8">
        <v>2617</v>
      </c>
      <c r="AP262" s="8">
        <v>420216.2</v>
      </c>
      <c r="AQ262" s="24">
        <v>114424.87126</v>
      </c>
      <c r="AR262" s="8">
        <v>2847524.88</v>
      </c>
      <c r="AS262" s="37">
        <v>775381.02482399996</v>
      </c>
      <c r="AT262" s="8" t="s">
        <v>355</v>
      </c>
      <c r="AU262" s="8" t="s">
        <v>348</v>
      </c>
      <c r="AV262" s="8">
        <v>55</v>
      </c>
      <c r="AW262" s="8">
        <v>36</v>
      </c>
      <c r="AX262" s="8" t="s">
        <v>332</v>
      </c>
      <c r="AY262" s="8" t="s">
        <v>206</v>
      </c>
      <c r="AZ262" s="8" t="s">
        <v>332</v>
      </c>
      <c r="BA262" s="21">
        <f>IF(OR(tblsales[[#This Row],[Invoice Value USD]]="",tblsales[[#This Row],[Collected Amount USD]]=""),"",tblsales[[#This Row],[Invoice Value USD]]-tblsales[[#This Row],[Collected Amount USD]])</f>
        <v>248539.98969800002</v>
      </c>
      <c r="BB262" s="21">
        <f>IF(OR(tblsales[[#This Row],[Contract Value USD]]="",tblsales[[#This Row],[Cost Estimate USD]]=""),"",tblsales[[#This Row],[Contract Value USD]]-tblsales[[#This Row],[Cost Estimate USD]])</f>
        <v>556736.72959099989</v>
      </c>
      <c r="BC262" s="21">
        <f>IF(OR(tblsales[[#This Row],[Contract Value USD]]="",tblsales[[#This Row],[Cost Estimate USD]]=""),"",tblsales[[#This Row],[Contract Value USD]]-tblsales[[#This Row],[Cost Estimate USD]])</f>
        <v>556736.72959099989</v>
      </c>
      <c r="BD262" s="23">
        <f>IF(tblsales[[#This Row],[Invoice Value USD]]="","",tblsales[[#This Row],[Collected Amount USD]]/tblsales[[#This Row],[Invoice Value USD]])</f>
        <v>0.7412836595349791</v>
      </c>
      <c r="BE262" s="11">
        <f>IF(tblsales[[#This Row],[SalesStage]]="Won",1,0)</f>
        <v>0</v>
      </c>
      <c r="BF262" s="21" t="str">
        <f>IF(tblsales[[#This Row],[Win Flag]]=1,"Won","Lost")</f>
        <v>Lost</v>
      </c>
      <c r="BG262" s="8"/>
    </row>
    <row r="263" spans="1:61" x14ac:dyDescent="0.3">
      <c r="A263" s="10" t="s">
        <v>1113</v>
      </c>
      <c r="B263" s="9">
        <v>45953</v>
      </c>
      <c r="C263" s="10" t="s">
        <v>251</v>
      </c>
      <c r="D263" s="10" t="s">
        <v>202</v>
      </c>
      <c r="E263" s="10" t="s">
        <v>20</v>
      </c>
      <c r="F263" s="10" t="s">
        <v>31</v>
      </c>
      <c r="G263" s="10" t="s">
        <v>28</v>
      </c>
      <c r="H263" s="10" t="s">
        <v>263</v>
      </c>
      <c r="I263" s="10" t="s">
        <v>203</v>
      </c>
      <c r="J263" s="10" t="s">
        <v>136</v>
      </c>
      <c r="K263" s="10" t="s">
        <v>221</v>
      </c>
      <c r="L263" s="10" t="s">
        <v>1114</v>
      </c>
      <c r="M263" s="9">
        <v>45933</v>
      </c>
      <c r="N263" s="9"/>
      <c r="O263" s="9">
        <v>46055</v>
      </c>
      <c r="P263" s="11">
        <v>4</v>
      </c>
      <c r="Q263" s="12">
        <v>46537477</v>
      </c>
      <c r="R263">
        <v>12672154.9871</v>
      </c>
      <c r="S263" s="22">
        <v>0.2</v>
      </c>
      <c r="T263" s="22">
        <v>0.18</v>
      </c>
      <c r="U263" s="12">
        <v>43931378.289999999</v>
      </c>
      <c r="V263" s="24">
        <v>11962514.308366999</v>
      </c>
      <c r="W263" s="8">
        <v>35963306.82</v>
      </c>
      <c r="X263" s="24">
        <v>9792808.447085999</v>
      </c>
      <c r="Y263" s="22">
        <v>0.31</v>
      </c>
      <c r="Z263" s="22">
        <v>0.17</v>
      </c>
      <c r="AA263" s="8" t="s">
        <v>1115</v>
      </c>
      <c r="AB263" s="8">
        <v>26763643.789999999</v>
      </c>
      <c r="AC263" s="24">
        <v>7287740.2040169993</v>
      </c>
      <c r="AD263" s="8">
        <v>10179513.76</v>
      </c>
      <c r="AE263" s="24">
        <v>2771881.5968479998</v>
      </c>
      <c r="AF263" s="8">
        <v>90</v>
      </c>
      <c r="AG263" s="8">
        <v>11</v>
      </c>
      <c r="AH263" s="8" t="s">
        <v>329</v>
      </c>
      <c r="AI263" s="8" t="s">
        <v>406</v>
      </c>
      <c r="AJ263" s="22">
        <v>0.34</v>
      </c>
      <c r="AK263" s="8" t="s">
        <v>153</v>
      </c>
      <c r="AL263" s="22">
        <v>0.1</v>
      </c>
      <c r="AM263" s="22">
        <v>0.02</v>
      </c>
      <c r="AN263" s="8">
        <v>10</v>
      </c>
      <c r="AO263" s="8">
        <v>4734</v>
      </c>
      <c r="AP263" s="8">
        <v>8722150.4199999999</v>
      </c>
      <c r="AQ263" s="24">
        <v>2375041.5593659999</v>
      </c>
      <c r="AR263" s="8">
        <v>14015230.289999999</v>
      </c>
      <c r="AS263" s="37">
        <v>3816347.2079669996</v>
      </c>
      <c r="AT263" s="8" t="s">
        <v>73</v>
      </c>
      <c r="AU263" s="8" t="s">
        <v>356</v>
      </c>
      <c r="AV263" s="8">
        <v>99.5</v>
      </c>
      <c r="AW263" s="8"/>
      <c r="AX263" s="8" t="s">
        <v>392</v>
      </c>
      <c r="AY263" s="8" t="s">
        <v>186</v>
      </c>
      <c r="AZ263" s="8" t="s">
        <v>332</v>
      </c>
      <c r="BA263" s="21">
        <f>IF(OR(tblsales[[#This Row],[Invoice Value USD]]="",tblsales[[#This Row],[Collected Amount USD]]=""),"",tblsales[[#This Row],[Invoice Value USD]]-tblsales[[#This Row],[Collected Amount USD]])</f>
        <v>4515858.6071689995</v>
      </c>
      <c r="BB263" s="21">
        <f>IF(OR(tblsales[[#This Row],[Contract Value USD]]="",tblsales[[#This Row],[Cost Estimate USD]]=""),"",tblsales[[#This Row],[Contract Value USD]]-tblsales[[#This Row],[Cost Estimate USD]])</f>
        <v>2169705.8612810001</v>
      </c>
      <c r="BC263" s="21">
        <f>IF(OR(tblsales[[#This Row],[Contract Value USD]]="",tblsales[[#This Row],[Cost Estimate USD]]=""),"",tblsales[[#This Row],[Contract Value USD]]-tblsales[[#This Row],[Cost Estimate USD]])</f>
        <v>2169705.8612810001</v>
      </c>
      <c r="BD263" s="23">
        <f>IF(tblsales[[#This Row],[Invoice Value USD]]="","",tblsales[[#This Row],[Collected Amount USD]]/tblsales[[#This Row],[Invoice Value USD]])</f>
        <v>0.38034857435232666</v>
      </c>
      <c r="BE263" s="11">
        <f>IF(tblsales[[#This Row],[SalesStage]]="Won",1,0)</f>
        <v>0</v>
      </c>
      <c r="BF263" s="21" t="str">
        <f>IF(tblsales[[#This Row],[Win Flag]]=1,"Won","Lost")</f>
        <v>Lost</v>
      </c>
      <c r="BG263" s="8"/>
    </row>
    <row r="264" spans="1:61" x14ac:dyDescent="0.3">
      <c r="A264" s="10" t="s">
        <v>1116</v>
      </c>
      <c r="B264" s="9">
        <v>45727</v>
      </c>
      <c r="C264" s="10" t="s">
        <v>217</v>
      </c>
      <c r="D264" s="10" t="s">
        <v>394</v>
      </c>
      <c r="E264" s="10" t="s">
        <v>36</v>
      </c>
      <c r="F264" s="10" t="s">
        <v>19</v>
      </c>
      <c r="G264" s="10" t="s">
        <v>50</v>
      </c>
      <c r="H264" s="10" t="s">
        <v>263</v>
      </c>
      <c r="I264" s="10" t="s">
        <v>183</v>
      </c>
      <c r="J264" s="10" t="s">
        <v>115</v>
      </c>
      <c r="K264" s="10" t="s">
        <v>184</v>
      </c>
      <c r="L264" s="10" t="s">
        <v>1117</v>
      </c>
      <c r="M264" s="9">
        <v>45708</v>
      </c>
      <c r="N264" s="9"/>
      <c r="O264" s="9">
        <v>45771</v>
      </c>
      <c r="P264" s="11">
        <v>48</v>
      </c>
      <c r="Q264" s="12">
        <v>27346917</v>
      </c>
      <c r="R264">
        <v>27346917</v>
      </c>
      <c r="S264" s="22">
        <v>0.34</v>
      </c>
      <c r="T264" s="22">
        <v>0.05</v>
      </c>
      <c r="U264" s="12">
        <v>18951413.48</v>
      </c>
      <c r="V264" s="24">
        <v>18951413.48</v>
      </c>
      <c r="W264" s="8">
        <v>15329177.460000001</v>
      </c>
      <c r="X264" s="24">
        <v>15329177.460000001</v>
      </c>
      <c r="Y264" s="22">
        <v>0.17</v>
      </c>
      <c r="Z264" s="22">
        <v>0.12</v>
      </c>
      <c r="AA264" s="8" t="s">
        <v>1118</v>
      </c>
      <c r="AB264" s="8">
        <v>10263743.310000001</v>
      </c>
      <c r="AC264" s="24">
        <v>10263743.310000001</v>
      </c>
      <c r="AD264" s="8">
        <v>5290838.47</v>
      </c>
      <c r="AE264" s="24">
        <v>5290838.47</v>
      </c>
      <c r="AF264" s="8">
        <v>120</v>
      </c>
      <c r="AG264" s="8">
        <v>32</v>
      </c>
      <c r="AH264" s="8" t="s">
        <v>329</v>
      </c>
      <c r="AI264" s="8" t="s">
        <v>406</v>
      </c>
      <c r="AJ264" s="22">
        <v>0.71</v>
      </c>
      <c r="AK264" s="8" t="s">
        <v>152</v>
      </c>
      <c r="AL264" s="22">
        <v>0.1</v>
      </c>
      <c r="AM264" s="22">
        <v>7.0000000000000007E-2</v>
      </c>
      <c r="AN264" s="8">
        <v>15</v>
      </c>
      <c r="AO264" s="8">
        <v>4260</v>
      </c>
      <c r="AP264" s="8">
        <v>2311782.63</v>
      </c>
      <c r="AQ264" s="24">
        <v>2311782.63</v>
      </c>
      <c r="AR264" s="8">
        <v>6709191.3200000003</v>
      </c>
      <c r="AS264" s="37">
        <v>6709191.3200000003</v>
      </c>
      <c r="AT264" s="8" t="s">
        <v>391</v>
      </c>
      <c r="AU264" s="8" t="s">
        <v>322</v>
      </c>
      <c r="AV264" s="8">
        <v>89.3</v>
      </c>
      <c r="AW264" s="8">
        <v>36</v>
      </c>
      <c r="AX264" s="8" t="s">
        <v>392</v>
      </c>
      <c r="AY264" s="8" t="s">
        <v>229</v>
      </c>
      <c r="AZ264" s="8" t="s">
        <v>377</v>
      </c>
      <c r="BA264" s="21">
        <f>IF(OR(tblsales[[#This Row],[Invoice Value USD]]="",tblsales[[#This Row],[Collected Amount USD]]=""),"",tblsales[[#This Row],[Invoice Value USD]]-tblsales[[#This Row],[Collected Amount USD]])</f>
        <v>4972904.8400000008</v>
      </c>
      <c r="BB264" s="21">
        <f>IF(OR(tblsales[[#This Row],[Contract Value USD]]="",tblsales[[#This Row],[Cost Estimate USD]]=""),"",tblsales[[#This Row],[Contract Value USD]]-tblsales[[#This Row],[Cost Estimate USD]])</f>
        <v>3622236.0199999996</v>
      </c>
      <c r="BC264" s="21">
        <f>IF(OR(tblsales[[#This Row],[Contract Value USD]]="",tblsales[[#This Row],[Cost Estimate USD]]=""),"",tblsales[[#This Row],[Contract Value USD]]-tblsales[[#This Row],[Cost Estimate USD]])</f>
        <v>3622236.0199999996</v>
      </c>
      <c r="BD264" s="23">
        <f>IF(tblsales[[#This Row],[Invoice Value USD]]="","",tblsales[[#This Row],[Collected Amount USD]]/tblsales[[#This Row],[Invoice Value USD]])</f>
        <v>0.51548819082849795</v>
      </c>
      <c r="BE264" s="11">
        <f>IF(tblsales[[#This Row],[SalesStage]]="Won",1,0)</f>
        <v>0</v>
      </c>
      <c r="BF264" s="21" t="str">
        <f>IF(tblsales[[#This Row],[Win Flag]]=1,"Won","Lost")</f>
        <v>Lost</v>
      </c>
      <c r="BG264" s="8"/>
    </row>
    <row r="265" spans="1:61" x14ac:dyDescent="0.3">
      <c r="A265" s="10" t="s">
        <v>1119</v>
      </c>
      <c r="B265" s="9">
        <v>45683</v>
      </c>
      <c r="C265" s="10" t="s">
        <v>260</v>
      </c>
      <c r="D265" s="10" t="s">
        <v>394</v>
      </c>
      <c r="E265" s="10" t="s">
        <v>113</v>
      </c>
      <c r="F265" s="10" t="s">
        <v>181</v>
      </c>
      <c r="G265" s="10" t="s">
        <v>28</v>
      </c>
      <c r="H265" s="10" t="s">
        <v>182</v>
      </c>
      <c r="I265" s="10" t="s">
        <v>240</v>
      </c>
      <c r="J265" s="10" t="s">
        <v>127</v>
      </c>
      <c r="K265" s="10" t="s">
        <v>333</v>
      </c>
      <c r="L265" s="10" t="s">
        <v>1120</v>
      </c>
      <c r="M265" s="9">
        <v>45624</v>
      </c>
      <c r="N265" s="9"/>
      <c r="O265" s="9">
        <v>45730</v>
      </c>
      <c r="P265" s="11">
        <v>44</v>
      </c>
      <c r="Q265" s="12">
        <v>17118900</v>
      </c>
      <c r="R265">
        <v>4661476.47</v>
      </c>
      <c r="S265" s="22">
        <v>0.01</v>
      </c>
      <c r="T265" s="22">
        <v>7.0000000000000007E-2</v>
      </c>
      <c r="U265" s="12">
        <v>18134050.77</v>
      </c>
      <c r="V265" s="24">
        <v>4937902.0246709995</v>
      </c>
      <c r="W265" s="8">
        <v>12071146.09</v>
      </c>
      <c r="X265" s="24">
        <v>3286973.0803069999</v>
      </c>
      <c r="Y265" s="22">
        <v>0.23</v>
      </c>
      <c r="Z265" s="22">
        <v>0.19</v>
      </c>
      <c r="AA265" s="8" t="s">
        <v>1121</v>
      </c>
      <c r="AB265" s="8">
        <v>1853189.54</v>
      </c>
      <c r="AC265" s="24">
        <v>504623.511742</v>
      </c>
      <c r="AD265" s="8">
        <v>1873851.4</v>
      </c>
      <c r="AE265" s="24">
        <v>510249.73621999996</v>
      </c>
      <c r="AF265" s="8">
        <v>30</v>
      </c>
      <c r="AG265" s="8">
        <v>118</v>
      </c>
      <c r="AH265" s="8" t="s">
        <v>329</v>
      </c>
      <c r="AI265" s="8" t="s">
        <v>226</v>
      </c>
      <c r="AJ265" s="22">
        <v>0.54</v>
      </c>
      <c r="AK265" s="8" t="s">
        <v>153</v>
      </c>
      <c r="AL265" s="22">
        <v>0.05</v>
      </c>
      <c r="AM265" s="22">
        <v>0.05</v>
      </c>
      <c r="AN265" s="8">
        <v>9</v>
      </c>
      <c r="AO265" s="8">
        <v>4241</v>
      </c>
      <c r="AP265" s="8">
        <v>3475802</v>
      </c>
      <c r="AQ265" s="24">
        <v>946460.88459999999</v>
      </c>
      <c r="AR265" s="8"/>
      <c r="AS265" s="37"/>
      <c r="AT265" s="8" t="s">
        <v>355</v>
      </c>
      <c r="AU265" s="8" t="s">
        <v>321</v>
      </c>
      <c r="AV265" s="8">
        <v>68.5</v>
      </c>
      <c r="AW265" s="8">
        <v>12</v>
      </c>
      <c r="AX265" s="8" t="s">
        <v>392</v>
      </c>
      <c r="AY265" s="8" t="s">
        <v>206</v>
      </c>
      <c r="AZ265" s="8" t="s">
        <v>332</v>
      </c>
      <c r="BA265" s="21">
        <f>IF(OR(tblsales[[#This Row],[Invoice Value USD]]="",tblsales[[#This Row],[Collected Amount USD]]=""),"",tblsales[[#This Row],[Invoice Value USD]]-tblsales[[#This Row],[Collected Amount USD]])</f>
        <v>-5626.2244779999601</v>
      </c>
      <c r="BB265" s="21">
        <f>IF(OR(tblsales[[#This Row],[Contract Value USD]]="",tblsales[[#This Row],[Cost Estimate USD]]=""),"",tblsales[[#This Row],[Contract Value USD]]-tblsales[[#This Row],[Cost Estimate USD]])</f>
        <v>1650928.9443639996</v>
      </c>
      <c r="BC265" s="21">
        <f>IF(OR(tblsales[[#This Row],[Contract Value USD]]="",tblsales[[#This Row],[Cost Estimate USD]]=""),"",tblsales[[#This Row],[Contract Value USD]]-tblsales[[#This Row],[Cost Estimate USD]])</f>
        <v>1650928.9443639996</v>
      </c>
      <c r="BD265" s="23">
        <f>IF(tblsales[[#This Row],[Invoice Value USD]]="","",tblsales[[#This Row],[Collected Amount USD]]/tblsales[[#This Row],[Invoice Value USD]])</f>
        <v>1.0111493506487199</v>
      </c>
      <c r="BE265" s="11">
        <f>IF(tblsales[[#This Row],[SalesStage]]="Won",1,0)</f>
        <v>0</v>
      </c>
      <c r="BF265" s="21" t="str">
        <f>IF(tblsales[[#This Row],[Win Flag]]=1,"Won","Lost")</f>
        <v>Lost</v>
      </c>
      <c r="BG265" s="8"/>
    </row>
    <row r="266" spans="1:61" x14ac:dyDescent="0.3">
      <c r="A266" s="10" t="s">
        <v>1122</v>
      </c>
      <c r="B266" s="9">
        <v>45952</v>
      </c>
      <c r="C266" s="10" t="s">
        <v>230</v>
      </c>
      <c r="D266" s="10" t="s">
        <v>394</v>
      </c>
      <c r="E266" s="10" t="s">
        <v>20</v>
      </c>
      <c r="F266" s="10" t="s">
        <v>31</v>
      </c>
      <c r="G266" s="10" t="s">
        <v>28</v>
      </c>
      <c r="H266" s="10" t="s">
        <v>263</v>
      </c>
      <c r="I266" s="10" t="s">
        <v>183</v>
      </c>
      <c r="J266" s="10" t="s">
        <v>136</v>
      </c>
      <c r="K266" s="10" t="s">
        <v>326</v>
      </c>
      <c r="L266" s="10" t="s">
        <v>1123</v>
      </c>
      <c r="M266" s="9">
        <v>45882</v>
      </c>
      <c r="N266" s="9">
        <v>45972</v>
      </c>
      <c r="O266" s="9">
        <v>46143</v>
      </c>
      <c r="P266" s="11">
        <v>37</v>
      </c>
      <c r="Q266" s="12">
        <v>35762283</v>
      </c>
      <c r="R266">
        <v>9823899.1401000004</v>
      </c>
      <c r="S266" s="22">
        <v>0.32</v>
      </c>
      <c r="T266" s="22">
        <v>0.11</v>
      </c>
      <c r="U266" s="12">
        <v>26993371.210000001</v>
      </c>
      <c r="V266" s="24">
        <v>7415079.0713870004</v>
      </c>
      <c r="W266" s="8">
        <v>18038949.379999999</v>
      </c>
      <c r="X266" s="24">
        <v>4955299.3946859995</v>
      </c>
      <c r="Y266" s="22">
        <v>0.06</v>
      </c>
      <c r="Z266" s="22">
        <v>0.06</v>
      </c>
      <c r="AA266" s="8" t="s">
        <v>1124</v>
      </c>
      <c r="AB266" s="8">
        <v>23776678.699999999</v>
      </c>
      <c r="AC266" s="24">
        <v>6531453.6388900001</v>
      </c>
      <c r="AD266" s="8">
        <v>7197121.4699999997</v>
      </c>
      <c r="AE266" s="24">
        <v>1977049.2678089999</v>
      </c>
      <c r="AF266" s="8">
        <v>30</v>
      </c>
      <c r="AG266" s="8">
        <v>84</v>
      </c>
      <c r="AH266" s="8" t="s">
        <v>329</v>
      </c>
      <c r="AI266" s="8" t="s">
        <v>354</v>
      </c>
      <c r="AJ266" s="22">
        <v>0.77</v>
      </c>
      <c r="AK266" s="8" t="s">
        <v>155</v>
      </c>
      <c r="AL266" s="22">
        <v>0.15</v>
      </c>
      <c r="AM266" s="22">
        <v>0.05</v>
      </c>
      <c r="AN266" s="8">
        <v>10</v>
      </c>
      <c r="AO266" s="8">
        <v>604</v>
      </c>
      <c r="AP266" s="8">
        <v>6684858.6100000003</v>
      </c>
      <c r="AQ266" s="24">
        <v>1836330.660167</v>
      </c>
      <c r="AR266" s="8">
        <v>10456486.640000001</v>
      </c>
      <c r="AS266" s="37">
        <v>2872396.8800079999</v>
      </c>
      <c r="AT266" s="8" t="s">
        <v>391</v>
      </c>
      <c r="AU266" s="8" t="s">
        <v>348</v>
      </c>
      <c r="AV266" s="8">
        <v>61.6</v>
      </c>
      <c r="AW266" s="8">
        <v>24</v>
      </c>
      <c r="AX266" s="8" t="s">
        <v>337</v>
      </c>
      <c r="AY266" s="8" t="s">
        <v>192</v>
      </c>
      <c r="AZ266" s="8" t="s">
        <v>332</v>
      </c>
      <c r="BA266" s="21">
        <f>IF(OR(tblsales[[#This Row],[Invoice Value USD]]="",tblsales[[#This Row],[Collected Amount USD]]=""),"",tblsales[[#This Row],[Invoice Value USD]]-tblsales[[#This Row],[Collected Amount USD]])</f>
        <v>4554404.3710810002</v>
      </c>
      <c r="BB266" s="21">
        <f>IF(OR(tblsales[[#This Row],[Contract Value USD]]="",tblsales[[#This Row],[Cost Estimate USD]]=""),"",tblsales[[#This Row],[Contract Value USD]]-tblsales[[#This Row],[Cost Estimate USD]])</f>
        <v>2459779.6767010009</v>
      </c>
      <c r="BC266" s="21">
        <f>IF(OR(tblsales[[#This Row],[Contract Value USD]]="",tblsales[[#This Row],[Cost Estimate USD]]=""),"",tblsales[[#This Row],[Contract Value USD]]-tblsales[[#This Row],[Cost Estimate USD]])</f>
        <v>2459779.6767010009</v>
      </c>
      <c r="BD266" s="23">
        <f>IF(tblsales[[#This Row],[Invoice Value USD]]="","",tblsales[[#This Row],[Collected Amount USD]]/tblsales[[#This Row],[Invoice Value USD]])</f>
        <v>0.30269667016192636</v>
      </c>
      <c r="BE266" s="11">
        <f>IF(tblsales[[#This Row],[SalesStage]]="Won",1,0)</f>
        <v>0</v>
      </c>
      <c r="BF266" s="21" t="str">
        <f>IF(tblsales[[#This Row],[Win Flag]]=1,"Won","Lost")</f>
        <v>Lost</v>
      </c>
      <c r="BG266" s="8"/>
    </row>
    <row r="267" spans="1:61" x14ac:dyDescent="0.3">
      <c r="A267" s="10" t="s">
        <v>1125</v>
      </c>
      <c r="B267" s="9">
        <v>45801</v>
      </c>
      <c r="C267" s="10" t="s">
        <v>286</v>
      </c>
      <c r="D267" s="10" t="s">
        <v>220</v>
      </c>
      <c r="E267" s="10" t="s">
        <v>20</v>
      </c>
      <c r="F267" s="10" t="s">
        <v>31</v>
      </c>
      <c r="G267" s="10" t="s">
        <v>38</v>
      </c>
      <c r="H267" s="10" t="s">
        <v>236</v>
      </c>
      <c r="I267" s="10" t="s">
        <v>191</v>
      </c>
      <c r="J267" s="10" t="s">
        <v>136</v>
      </c>
      <c r="K267" s="10" t="s">
        <v>199</v>
      </c>
      <c r="L267" s="10" t="s">
        <v>1126</v>
      </c>
      <c r="M267" s="9">
        <v>45791</v>
      </c>
      <c r="N267" s="9">
        <v>45860</v>
      </c>
      <c r="O267" s="9">
        <v>45697</v>
      </c>
      <c r="P267" s="11"/>
      <c r="Q267" s="12">
        <v>43352289</v>
      </c>
      <c r="R267">
        <v>43352289</v>
      </c>
      <c r="S267" s="22">
        <v>0.21</v>
      </c>
      <c r="T267" s="22">
        <v>0.06</v>
      </c>
      <c r="U267" s="12">
        <v>36303206.810000002</v>
      </c>
      <c r="V267" s="24">
        <v>36303206.810000002</v>
      </c>
      <c r="W267" s="8">
        <v>28612805.719999999</v>
      </c>
      <c r="X267" s="24">
        <v>28612805.719999999</v>
      </c>
      <c r="Y267" s="22"/>
      <c r="Z267" s="22">
        <v>0.09</v>
      </c>
      <c r="AA267" s="8" t="s">
        <v>1127</v>
      </c>
      <c r="AB267" s="8">
        <v>8267030.5599999996</v>
      </c>
      <c r="AC267" s="24">
        <v>8267030.5599999996</v>
      </c>
      <c r="AD267" s="8">
        <v>4734126.8499999996</v>
      </c>
      <c r="AE267" s="24">
        <v>4734126.8499999996</v>
      </c>
      <c r="AF267" s="8">
        <v>45</v>
      </c>
      <c r="AG267" s="8">
        <v>157</v>
      </c>
      <c r="AH267" s="8" t="s">
        <v>332</v>
      </c>
      <c r="AI267" s="8" t="s">
        <v>226</v>
      </c>
      <c r="AJ267" s="22">
        <v>0.16</v>
      </c>
      <c r="AK267" s="8" t="s">
        <v>152</v>
      </c>
      <c r="AL267" s="22">
        <v>0.1</v>
      </c>
      <c r="AM267" s="22">
        <v>0.08</v>
      </c>
      <c r="AN267" s="8">
        <v>7</v>
      </c>
      <c r="AO267" s="8">
        <v>1629</v>
      </c>
      <c r="AP267" s="8">
        <v>4574083.4400000004</v>
      </c>
      <c r="AQ267" s="24">
        <v>4574083.4400000004</v>
      </c>
      <c r="AR267" s="8">
        <v>6906687.6600000001</v>
      </c>
      <c r="AS267" s="37">
        <v>6906687.6600000001</v>
      </c>
      <c r="AT267" s="8" t="s">
        <v>343</v>
      </c>
      <c r="AU267" s="8" t="s">
        <v>322</v>
      </c>
      <c r="AV267" s="8">
        <v>61.7</v>
      </c>
      <c r="AW267" s="8">
        <v>12</v>
      </c>
      <c r="AX267" s="8" t="s">
        <v>337</v>
      </c>
      <c r="AY267" s="8" t="s">
        <v>229</v>
      </c>
      <c r="AZ267" s="8" t="s">
        <v>188</v>
      </c>
      <c r="BA267" s="21">
        <f>IF(OR(tblsales[[#This Row],[Invoice Value USD]]="",tblsales[[#This Row],[Collected Amount USD]]=""),"",tblsales[[#This Row],[Invoice Value USD]]-tblsales[[#This Row],[Collected Amount USD]])</f>
        <v>3532903.71</v>
      </c>
      <c r="BB267" s="21">
        <f>IF(OR(tblsales[[#This Row],[Contract Value USD]]="",tblsales[[#This Row],[Cost Estimate USD]]=""),"",tblsales[[#This Row],[Contract Value USD]]-tblsales[[#This Row],[Cost Estimate USD]])</f>
        <v>7690401.0900000036</v>
      </c>
      <c r="BC267" s="21">
        <f>IF(OR(tblsales[[#This Row],[Contract Value USD]]="",tblsales[[#This Row],[Cost Estimate USD]]=""),"",tblsales[[#This Row],[Contract Value USD]]-tblsales[[#This Row],[Cost Estimate USD]])</f>
        <v>7690401.0900000036</v>
      </c>
      <c r="BD267" s="23">
        <f>IF(tblsales[[#This Row],[Invoice Value USD]]="","",tblsales[[#This Row],[Collected Amount USD]]/tblsales[[#This Row],[Invoice Value USD]])</f>
        <v>0.57265142733426644</v>
      </c>
      <c r="BE267" s="11">
        <f>IF(tblsales[[#This Row],[SalesStage]]="Won",1,0)</f>
        <v>0</v>
      </c>
      <c r="BF267" s="21" t="str">
        <f>IF(tblsales[[#This Row],[Win Flag]]=1,"Won","Lost")</f>
        <v>Lost</v>
      </c>
      <c r="BG267" s="8"/>
    </row>
    <row r="268" spans="1:61" x14ac:dyDescent="0.3">
      <c r="A268" s="10" t="s">
        <v>1128</v>
      </c>
      <c r="B268" s="9">
        <v>45736</v>
      </c>
      <c r="C268" s="10" t="s">
        <v>239</v>
      </c>
      <c r="D268" s="10" t="s">
        <v>209</v>
      </c>
      <c r="E268" s="10" t="s">
        <v>52</v>
      </c>
      <c r="F268" s="10" t="s">
        <v>75</v>
      </c>
      <c r="G268" s="10" t="s">
        <v>28</v>
      </c>
      <c r="H268" s="10" t="s">
        <v>216</v>
      </c>
      <c r="I268" s="10" t="s">
        <v>203</v>
      </c>
      <c r="J268" s="10" t="s">
        <v>133</v>
      </c>
      <c r="K268" s="10" t="s">
        <v>223</v>
      </c>
      <c r="L268" s="10" t="s">
        <v>1129</v>
      </c>
      <c r="M268" s="9">
        <v>45992</v>
      </c>
      <c r="N268" s="9">
        <v>45774</v>
      </c>
      <c r="O268" s="9">
        <v>45997</v>
      </c>
      <c r="P268" s="11">
        <v>53</v>
      </c>
      <c r="Q268" s="12">
        <v>46365337</v>
      </c>
      <c r="R268">
        <v>53830156.256999999</v>
      </c>
      <c r="S268" s="22">
        <v>0.03</v>
      </c>
      <c r="T268" s="22">
        <v>0.18</v>
      </c>
      <c r="U268" s="12">
        <v>53069764.729999997</v>
      </c>
      <c r="V268" s="24">
        <v>61613996.851530001</v>
      </c>
      <c r="W268" s="8">
        <v>36868577.090000004</v>
      </c>
      <c r="X268" s="24">
        <v>42804418.001490004</v>
      </c>
      <c r="Y268" s="22">
        <v>0.37</v>
      </c>
      <c r="Z268" s="22">
        <v>0.17</v>
      </c>
      <c r="AA268" s="8" t="s">
        <v>1130</v>
      </c>
      <c r="AB268" s="8">
        <v>24023119.32</v>
      </c>
      <c r="AC268" s="24">
        <v>27890841.53052</v>
      </c>
      <c r="AD268" s="8">
        <v>7353434.4400000004</v>
      </c>
      <c r="AE268" s="24">
        <v>8537337.3848400004</v>
      </c>
      <c r="AF268" s="8">
        <v>60</v>
      </c>
      <c r="AG268" s="8">
        <v>9</v>
      </c>
      <c r="AH268" s="8" t="s">
        <v>332</v>
      </c>
      <c r="AI268" s="8" t="s">
        <v>381</v>
      </c>
      <c r="AJ268" s="22">
        <v>0.55000000000000004</v>
      </c>
      <c r="AK268" s="8" t="s">
        <v>159</v>
      </c>
      <c r="AL268" s="22">
        <v>0.15</v>
      </c>
      <c r="AM268" s="22">
        <v>0.09</v>
      </c>
      <c r="AN268" s="8">
        <v>13</v>
      </c>
      <c r="AO268" s="8">
        <v>3818</v>
      </c>
      <c r="AP268" s="8">
        <v>11738325.640000001</v>
      </c>
      <c r="AQ268" s="24">
        <v>13628196.06804</v>
      </c>
      <c r="AR268" s="8">
        <v>20050131.170000002</v>
      </c>
      <c r="AS268" s="37">
        <v>23278202.288370002</v>
      </c>
      <c r="AT268" s="8" t="s">
        <v>391</v>
      </c>
      <c r="AU268" s="8" t="s">
        <v>332</v>
      </c>
      <c r="AV268" s="8"/>
      <c r="AW268" s="8">
        <v>24</v>
      </c>
      <c r="AX268" s="8" t="s">
        <v>332</v>
      </c>
      <c r="AY268" s="8" t="s">
        <v>206</v>
      </c>
      <c r="AZ268" s="8" t="s">
        <v>377</v>
      </c>
      <c r="BA268" s="21">
        <f>IF(OR(tblsales[[#This Row],[Invoice Value USD]]="",tblsales[[#This Row],[Collected Amount USD]]=""),"",tblsales[[#This Row],[Invoice Value USD]]-tblsales[[#This Row],[Collected Amount USD]])</f>
        <v>19353504.145679999</v>
      </c>
      <c r="BB268" s="21">
        <f>IF(OR(tblsales[[#This Row],[Contract Value USD]]="",tblsales[[#This Row],[Cost Estimate USD]]=""),"",tblsales[[#This Row],[Contract Value USD]]-tblsales[[#This Row],[Cost Estimate USD]])</f>
        <v>18809578.850039996</v>
      </c>
      <c r="BC268" s="21">
        <f>IF(OR(tblsales[[#This Row],[Contract Value USD]]="",tblsales[[#This Row],[Cost Estimate USD]]=""),"",tblsales[[#This Row],[Contract Value USD]]-tblsales[[#This Row],[Cost Estimate USD]])</f>
        <v>18809578.850039996</v>
      </c>
      <c r="BD268" s="23">
        <f>IF(tblsales[[#This Row],[Invoice Value USD]]="","",tblsales[[#This Row],[Collected Amount USD]]/tblsales[[#This Row],[Invoice Value USD]])</f>
        <v>0.3060982357057202</v>
      </c>
      <c r="BE268" s="11">
        <f>IF(tblsales[[#This Row],[SalesStage]]="Won",1,0)</f>
        <v>0</v>
      </c>
      <c r="BF268" s="21" t="str">
        <f>IF(tblsales[[#This Row],[Win Flag]]=1,"Won","Lost")</f>
        <v>Lost</v>
      </c>
      <c r="BG268" s="8"/>
    </row>
    <row r="269" spans="1:61" x14ac:dyDescent="0.3">
      <c r="A269" s="10" t="s">
        <v>1131</v>
      </c>
      <c r="B269" s="9">
        <v>46022</v>
      </c>
      <c r="C269" s="10" t="s">
        <v>227</v>
      </c>
      <c r="D269" s="10" t="s">
        <v>281</v>
      </c>
      <c r="E269" s="10" t="s">
        <v>36</v>
      </c>
      <c r="F269" s="10" t="s">
        <v>332</v>
      </c>
      <c r="G269" s="10" t="s">
        <v>23</v>
      </c>
      <c r="H269" s="10" t="s">
        <v>197</v>
      </c>
      <c r="I269" s="10" t="s">
        <v>198</v>
      </c>
      <c r="J269" s="10" t="s">
        <v>115</v>
      </c>
      <c r="K269" s="10" t="s">
        <v>210</v>
      </c>
      <c r="L269" s="10" t="s">
        <v>1132</v>
      </c>
      <c r="M269" s="9">
        <v>45946</v>
      </c>
      <c r="N269" s="9">
        <v>46113</v>
      </c>
      <c r="O269" s="9">
        <v>46269</v>
      </c>
      <c r="P269" s="11">
        <v>23</v>
      </c>
      <c r="Q269" s="12">
        <v>49700321</v>
      </c>
      <c r="R269">
        <v>13533397.408299999</v>
      </c>
      <c r="S269" s="22">
        <v>0.28999999999999998</v>
      </c>
      <c r="T269" s="22">
        <v>-0.04</v>
      </c>
      <c r="U269" s="12">
        <v>33875738.789999999</v>
      </c>
      <c r="V269" s="24">
        <v>9224363.6725169998</v>
      </c>
      <c r="W269" s="8">
        <v>27249701.239999998</v>
      </c>
      <c r="X269" s="24">
        <v>7420093.6476519993</v>
      </c>
      <c r="Y269" s="22">
        <v>0.17</v>
      </c>
      <c r="Z269" s="22">
        <v>0.05</v>
      </c>
      <c r="AA269" s="8" t="s">
        <v>1133</v>
      </c>
      <c r="AB269" s="8">
        <v>6870802.8600000003</v>
      </c>
      <c r="AC269" s="24">
        <v>1870919.6187779999</v>
      </c>
      <c r="AD269" s="8">
        <v>6875195.1399999997</v>
      </c>
      <c r="AE269" s="24">
        <v>1872115.6366219998</v>
      </c>
      <c r="AF269" s="8">
        <v>45</v>
      </c>
      <c r="AG269" s="8">
        <v>62</v>
      </c>
      <c r="AH269" s="8" t="s">
        <v>332</v>
      </c>
      <c r="AI269" s="8" t="s">
        <v>381</v>
      </c>
      <c r="AJ269" s="22">
        <v>0.9</v>
      </c>
      <c r="AK269" s="8" t="s">
        <v>153</v>
      </c>
      <c r="AL269" s="22">
        <v>0.15</v>
      </c>
      <c r="AM269" s="22">
        <v>0.09</v>
      </c>
      <c r="AN269" s="8">
        <v>2</v>
      </c>
      <c r="AO269" s="8">
        <v>258</v>
      </c>
      <c r="AP269" s="8">
        <v>1962506.4</v>
      </c>
      <c r="AQ269" s="24">
        <v>534390.49271999998</v>
      </c>
      <c r="AR269" s="8">
        <v>12019643.25</v>
      </c>
      <c r="AS269" s="37">
        <v>3272948.8569749999</v>
      </c>
      <c r="AT269" s="8" t="s">
        <v>332</v>
      </c>
      <c r="AU269" s="8" t="s">
        <v>321</v>
      </c>
      <c r="AV269" s="8">
        <v>88.8</v>
      </c>
      <c r="AW269" s="8"/>
      <c r="AX269" s="8" t="s">
        <v>387</v>
      </c>
      <c r="AY269" s="8" t="s">
        <v>186</v>
      </c>
      <c r="AZ269" s="8" t="s">
        <v>332</v>
      </c>
      <c r="BA269" s="21">
        <f>IF(OR(tblsales[[#This Row],[Invoice Value USD]]="",tblsales[[#This Row],[Collected Amount USD]]=""),"",tblsales[[#This Row],[Invoice Value USD]]-tblsales[[#This Row],[Collected Amount USD]])</f>
        <v>-1196.0178439998999</v>
      </c>
      <c r="BB269" s="21">
        <f>IF(OR(tblsales[[#This Row],[Contract Value USD]]="",tblsales[[#This Row],[Cost Estimate USD]]=""),"",tblsales[[#This Row],[Contract Value USD]]-tblsales[[#This Row],[Cost Estimate USD]])</f>
        <v>1804270.0248650005</v>
      </c>
      <c r="BC269" s="21">
        <f>IF(OR(tblsales[[#This Row],[Contract Value USD]]="",tblsales[[#This Row],[Cost Estimate USD]]=""),"",tblsales[[#This Row],[Contract Value USD]]-tblsales[[#This Row],[Cost Estimate USD]])</f>
        <v>1804270.0248650005</v>
      </c>
      <c r="BD269" s="23">
        <f>IF(tblsales[[#This Row],[Invoice Value USD]]="","",tblsales[[#This Row],[Collected Amount USD]]/tblsales[[#This Row],[Invoice Value USD]])</f>
        <v>1.000639267359215</v>
      </c>
      <c r="BE269" s="11">
        <f>IF(tblsales[[#This Row],[SalesStage]]="Won",1,0)</f>
        <v>0</v>
      </c>
      <c r="BF269" s="21" t="str">
        <f>IF(tblsales[[#This Row],[Win Flag]]=1,"Won","Lost")</f>
        <v>Lost</v>
      </c>
      <c r="BG269" s="8"/>
      <c r="BH269" t="s">
        <v>5686</v>
      </c>
      <c r="BI269" s="28" t="e">
        <f>SUM(#REF!)</f>
        <v>#REF!</v>
      </c>
    </row>
    <row r="270" spans="1:61" x14ac:dyDescent="0.3">
      <c r="A270" s="10" t="s">
        <v>1134</v>
      </c>
      <c r="B270" s="9">
        <v>45687</v>
      </c>
      <c r="C270" s="10" t="s">
        <v>222</v>
      </c>
      <c r="D270" s="10" t="s">
        <v>238</v>
      </c>
      <c r="E270" s="10" t="s">
        <v>41</v>
      </c>
      <c r="F270" s="10" t="s">
        <v>228</v>
      </c>
      <c r="G270" s="10" t="s">
        <v>57</v>
      </c>
      <c r="H270" s="10" t="s">
        <v>212</v>
      </c>
      <c r="I270" s="10" t="s">
        <v>191</v>
      </c>
      <c r="J270" s="10" t="s">
        <v>105</v>
      </c>
      <c r="K270" s="10" t="s">
        <v>333</v>
      </c>
      <c r="L270" s="10" t="s">
        <v>1135</v>
      </c>
      <c r="M270" s="9">
        <v>45672</v>
      </c>
      <c r="N270" s="9">
        <v>45659</v>
      </c>
      <c r="O270" s="9"/>
      <c r="P270" s="11">
        <v>18</v>
      </c>
      <c r="Q270" s="12">
        <v>42535360</v>
      </c>
      <c r="R270">
        <v>11582378.527999999</v>
      </c>
      <c r="S270" s="22">
        <v>0.26</v>
      </c>
      <c r="T270" s="22">
        <v>0.1</v>
      </c>
      <c r="U270" s="12">
        <v>34623783.039999999</v>
      </c>
      <c r="V270" s="24">
        <v>9428056.1217919998</v>
      </c>
      <c r="W270" s="8">
        <v>27387425.370000001</v>
      </c>
      <c r="X270" s="24">
        <v>7457595.9282510001</v>
      </c>
      <c r="Y270" s="22">
        <v>0.3</v>
      </c>
      <c r="Z270" s="22">
        <v>0.09</v>
      </c>
      <c r="AA270" s="8" t="s">
        <v>1136</v>
      </c>
      <c r="AB270" s="8">
        <v>22898147.960000001</v>
      </c>
      <c r="AC270" s="24">
        <v>6235165.6895080004</v>
      </c>
      <c r="AD270" s="8">
        <v>24975521.170000002</v>
      </c>
      <c r="AE270" s="24">
        <v>6800834.4145910004</v>
      </c>
      <c r="AF270" s="8">
        <v>60</v>
      </c>
      <c r="AG270" s="8">
        <v>98</v>
      </c>
      <c r="AH270" s="8" t="s">
        <v>342</v>
      </c>
      <c r="AI270" s="8" t="s">
        <v>455</v>
      </c>
      <c r="AJ270" s="22">
        <v>0.68</v>
      </c>
      <c r="AK270" s="8" t="s">
        <v>153</v>
      </c>
      <c r="AL270" s="22">
        <v>0.15</v>
      </c>
      <c r="AM270" s="22">
        <v>7.0000000000000007E-2</v>
      </c>
      <c r="AN270" s="8">
        <v>9</v>
      </c>
      <c r="AO270" s="8">
        <v>4201</v>
      </c>
      <c r="AP270" s="8">
        <v>3253849.53</v>
      </c>
      <c r="AQ270" s="24">
        <v>886023.22701899987</v>
      </c>
      <c r="AR270" s="8">
        <v>8534217.4299999997</v>
      </c>
      <c r="AS270" s="37">
        <v>2323867.4061889998</v>
      </c>
      <c r="AT270" s="8" t="s">
        <v>343</v>
      </c>
      <c r="AU270" s="8" t="s">
        <v>322</v>
      </c>
      <c r="AV270" s="8">
        <v>78.2</v>
      </c>
      <c r="AW270" s="8">
        <v>60</v>
      </c>
      <c r="AX270" s="8" t="s">
        <v>332</v>
      </c>
      <c r="AY270" s="8" t="s">
        <v>229</v>
      </c>
      <c r="AZ270" s="8" t="s">
        <v>332</v>
      </c>
      <c r="BA270" s="21">
        <f>IF(OR(tblsales[[#This Row],[Invoice Value USD]]="",tblsales[[#This Row],[Collected Amount USD]]=""),"",tblsales[[#This Row],[Invoice Value USD]]-tblsales[[#This Row],[Collected Amount USD]])</f>
        <v>-565668.72508300003</v>
      </c>
      <c r="BB270" s="21">
        <f>IF(OR(tblsales[[#This Row],[Contract Value USD]]="",tblsales[[#This Row],[Cost Estimate USD]]=""),"",tblsales[[#This Row],[Contract Value USD]]-tblsales[[#This Row],[Cost Estimate USD]])</f>
        <v>1970460.1935409997</v>
      </c>
      <c r="BC270" s="21">
        <f>IF(OR(tblsales[[#This Row],[Contract Value USD]]="",tblsales[[#This Row],[Cost Estimate USD]]=""),"",tblsales[[#This Row],[Contract Value USD]]-tblsales[[#This Row],[Cost Estimate USD]])</f>
        <v>1970460.1935409997</v>
      </c>
      <c r="BD270" s="23">
        <f>IF(tblsales[[#This Row],[Invoice Value USD]]="","",tblsales[[#This Row],[Collected Amount USD]]/tblsales[[#This Row],[Invoice Value USD]])</f>
        <v>1.0907223245141437</v>
      </c>
      <c r="BE270" s="11">
        <f>IF(tblsales[[#This Row],[SalesStage]]="Won",1,0)</f>
        <v>0</v>
      </c>
      <c r="BF270" s="21" t="str">
        <f>IF(tblsales[[#This Row],[Win Flag]]=1,"Won","Lost")</f>
        <v>Lost</v>
      </c>
      <c r="BG270" s="8"/>
    </row>
    <row r="271" spans="1:61" x14ac:dyDescent="0.3">
      <c r="A271" s="10" t="s">
        <v>1137</v>
      </c>
      <c r="B271" s="9">
        <v>45764</v>
      </c>
      <c r="C271" s="10" t="s">
        <v>267</v>
      </c>
      <c r="D271" s="10" t="s">
        <v>262</v>
      </c>
      <c r="E271" s="10" t="s">
        <v>20</v>
      </c>
      <c r="F271" s="10" t="s">
        <v>332</v>
      </c>
      <c r="G271" s="10" t="s">
        <v>16</v>
      </c>
      <c r="H271" s="10" t="s">
        <v>263</v>
      </c>
      <c r="I271" s="10" t="s">
        <v>332</v>
      </c>
      <c r="J271" s="10" t="s">
        <v>99</v>
      </c>
      <c r="K271" s="10" t="s">
        <v>333</v>
      </c>
      <c r="L271" s="10" t="s">
        <v>1138</v>
      </c>
      <c r="M271" s="9">
        <v>45691</v>
      </c>
      <c r="N271" s="9">
        <v>45788</v>
      </c>
      <c r="O271" s="9">
        <v>45802</v>
      </c>
      <c r="P271" s="11">
        <v>12</v>
      </c>
      <c r="Q271" s="12">
        <v>16332290</v>
      </c>
      <c r="R271">
        <v>16332290</v>
      </c>
      <c r="S271" s="22">
        <v>0.15</v>
      </c>
      <c r="T271" s="22">
        <v>0.16</v>
      </c>
      <c r="U271" s="12">
        <v>16103637.939999999</v>
      </c>
      <c r="V271" s="24">
        <v>16103637.939999999</v>
      </c>
      <c r="W271" s="8">
        <v>10345786.810000001</v>
      </c>
      <c r="X271" s="24">
        <v>10345786.810000001</v>
      </c>
      <c r="Y271" s="22">
        <v>0.28999999999999998</v>
      </c>
      <c r="Z271" s="22">
        <v>0.16</v>
      </c>
      <c r="AA271" s="8" t="s">
        <v>1139</v>
      </c>
      <c r="AB271" s="8">
        <v>8446728.7699999996</v>
      </c>
      <c r="AC271" s="24">
        <v>8446728.7699999996</v>
      </c>
      <c r="AD271" s="8">
        <v>6710696.9400000004</v>
      </c>
      <c r="AE271" s="24">
        <v>6710696.9400000004</v>
      </c>
      <c r="AF271" s="8">
        <v>30</v>
      </c>
      <c r="AG271" s="8">
        <v>160</v>
      </c>
      <c r="AH271" s="8" t="s">
        <v>342</v>
      </c>
      <c r="AI271" s="8" t="s">
        <v>226</v>
      </c>
      <c r="AJ271" s="22">
        <v>0.78</v>
      </c>
      <c r="AK271" s="8" t="s">
        <v>152</v>
      </c>
      <c r="AL271" s="22">
        <v>0.15</v>
      </c>
      <c r="AM271" s="22">
        <v>0.03</v>
      </c>
      <c r="AN271" s="8">
        <v>2</v>
      </c>
      <c r="AO271" s="8">
        <v>179</v>
      </c>
      <c r="AP271" s="8">
        <v>1876942.36</v>
      </c>
      <c r="AQ271" s="24">
        <v>1876942.36</v>
      </c>
      <c r="AR271" s="8">
        <v>3982471.63</v>
      </c>
      <c r="AS271" s="37">
        <v>3982471.63</v>
      </c>
      <c r="AT271" s="8" t="s">
        <v>391</v>
      </c>
      <c r="AU271" s="8" t="s">
        <v>348</v>
      </c>
      <c r="AV271" s="8">
        <v>83.5</v>
      </c>
      <c r="AW271" s="8">
        <v>60</v>
      </c>
      <c r="AX271" s="8" t="s">
        <v>337</v>
      </c>
      <c r="AY271" s="8" t="s">
        <v>192</v>
      </c>
      <c r="AZ271" s="8" t="s">
        <v>332</v>
      </c>
      <c r="BA271" s="21">
        <f>IF(OR(tblsales[[#This Row],[Invoice Value USD]]="",tblsales[[#This Row],[Collected Amount USD]]=""),"",tblsales[[#This Row],[Invoice Value USD]]-tblsales[[#This Row],[Collected Amount USD]])</f>
        <v>1736031.8299999991</v>
      </c>
      <c r="BB271" s="21">
        <f>IF(OR(tblsales[[#This Row],[Contract Value USD]]="",tblsales[[#This Row],[Cost Estimate USD]]=""),"",tblsales[[#This Row],[Contract Value USD]]-tblsales[[#This Row],[Cost Estimate USD]])</f>
        <v>5757851.129999999</v>
      </c>
      <c r="BC271" s="21">
        <f>IF(OR(tblsales[[#This Row],[Contract Value USD]]="",tblsales[[#This Row],[Cost Estimate USD]]=""),"",tblsales[[#This Row],[Contract Value USD]]-tblsales[[#This Row],[Cost Estimate USD]])</f>
        <v>5757851.129999999</v>
      </c>
      <c r="BD271" s="23">
        <f>IF(tblsales[[#This Row],[Invoice Value USD]]="","",tblsales[[#This Row],[Collected Amount USD]]/tblsales[[#This Row],[Invoice Value USD]])</f>
        <v>0.79447288089019585</v>
      </c>
      <c r="BE271" s="11">
        <f>IF(tblsales[[#This Row],[SalesStage]]="Won",1,0)</f>
        <v>0</v>
      </c>
      <c r="BF271" s="21" t="str">
        <f>IF(tblsales[[#This Row],[Win Flag]]=1,"Won","Lost")</f>
        <v>Lost</v>
      </c>
      <c r="BG271" s="8"/>
    </row>
    <row r="272" spans="1:61" x14ac:dyDescent="0.3">
      <c r="A272" s="10" t="s">
        <v>1140</v>
      </c>
      <c r="B272" s="9">
        <v>46078</v>
      </c>
      <c r="C272" s="10" t="s">
        <v>277</v>
      </c>
      <c r="D272" s="10" t="s">
        <v>265</v>
      </c>
      <c r="E272" s="10" t="s">
        <v>113</v>
      </c>
      <c r="F272" s="10" t="s">
        <v>181</v>
      </c>
      <c r="G272" s="10" t="s">
        <v>46</v>
      </c>
      <c r="H272" s="10" t="s">
        <v>236</v>
      </c>
      <c r="I272" s="10" t="s">
        <v>203</v>
      </c>
      <c r="J272" s="10" t="s">
        <v>127</v>
      </c>
      <c r="K272" s="10" t="s">
        <v>184</v>
      </c>
      <c r="L272" s="10" t="s">
        <v>1141</v>
      </c>
      <c r="M272" s="9">
        <v>46040</v>
      </c>
      <c r="N272" s="9">
        <v>46026</v>
      </c>
      <c r="O272" s="9">
        <v>46143</v>
      </c>
      <c r="P272" s="11">
        <v>11</v>
      </c>
      <c r="Q272" s="12">
        <v>26384811</v>
      </c>
      <c r="R272">
        <v>30632765.571000002</v>
      </c>
      <c r="S272" s="22">
        <v>0.11</v>
      </c>
      <c r="T272" s="22">
        <v>0.2</v>
      </c>
      <c r="U272" s="12">
        <v>28178978.149999999</v>
      </c>
      <c r="V272" s="24">
        <v>32715793.632149998</v>
      </c>
      <c r="W272" s="8">
        <v>23938774.850000001</v>
      </c>
      <c r="X272" s="24">
        <v>27792917.600850001</v>
      </c>
      <c r="Y272" s="22">
        <v>0.28999999999999998</v>
      </c>
      <c r="Z272" s="22">
        <v>0.06</v>
      </c>
      <c r="AA272" s="8" t="s">
        <v>1142</v>
      </c>
      <c r="AB272" s="8">
        <v>10747426.32</v>
      </c>
      <c r="AC272" s="24">
        <v>12477761.957520001</v>
      </c>
      <c r="AD272" s="8">
        <v>6273711.9500000002</v>
      </c>
      <c r="AE272" s="24">
        <v>7283779.5739500001</v>
      </c>
      <c r="AF272" s="8">
        <v>60</v>
      </c>
      <c r="AG272" s="8">
        <v>75</v>
      </c>
      <c r="AH272" s="8" t="s">
        <v>342</v>
      </c>
      <c r="AI272" s="8" t="s">
        <v>381</v>
      </c>
      <c r="AJ272" s="22">
        <v>0.86</v>
      </c>
      <c r="AK272" s="8" t="s">
        <v>159</v>
      </c>
      <c r="AL272" s="22">
        <v>0.05</v>
      </c>
      <c r="AM272" s="22">
        <v>0.03</v>
      </c>
      <c r="AN272" s="8">
        <v>7</v>
      </c>
      <c r="AO272" s="8">
        <v>1721</v>
      </c>
      <c r="AP272" s="8">
        <v>5903654.8700000001</v>
      </c>
      <c r="AQ272" s="24">
        <v>6854143.3040700005</v>
      </c>
      <c r="AR272" s="8">
        <v>8749150.3699999992</v>
      </c>
      <c r="AS272" s="37">
        <v>10157763.579569999</v>
      </c>
      <c r="AT272" s="8" t="s">
        <v>343</v>
      </c>
      <c r="AU272" s="8" t="s">
        <v>356</v>
      </c>
      <c r="AV272" s="8">
        <v>99.7</v>
      </c>
      <c r="AW272" s="8">
        <v>12</v>
      </c>
      <c r="AX272" s="8" t="s">
        <v>323</v>
      </c>
      <c r="AY272" s="8" t="s">
        <v>206</v>
      </c>
      <c r="AZ272" s="8" t="s">
        <v>332</v>
      </c>
      <c r="BA272" s="21">
        <f>IF(OR(tblsales[[#This Row],[Invoice Value USD]]="",tblsales[[#This Row],[Collected Amount USD]]=""),"",tblsales[[#This Row],[Invoice Value USD]]-tblsales[[#This Row],[Collected Amount USD]])</f>
        <v>5193982.3835700005</v>
      </c>
      <c r="BB272" s="21">
        <f>IF(OR(tblsales[[#This Row],[Contract Value USD]]="",tblsales[[#This Row],[Cost Estimate USD]]=""),"",tblsales[[#This Row],[Contract Value USD]]-tblsales[[#This Row],[Cost Estimate USD]])</f>
        <v>4922876.0312999971</v>
      </c>
      <c r="BC272" s="21">
        <f>IF(OR(tblsales[[#This Row],[Contract Value USD]]="",tblsales[[#This Row],[Cost Estimate USD]]=""),"",tblsales[[#This Row],[Contract Value USD]]-tblsales[[#This Row],[Cost Estimate USD]])</f>
        <v>4922876.0312999971</v>
      </c>
      <c r="BD272" s="23">
        <f>IF(tblsales[[#This Row],[Invoice Value USD]]="","",tblsales[[#This Row],[Collected Amount USD]]/tblsales[[#This Row],[Invoice Value USD]])</f>
        <v>0.58374086625047916</v>
      </c>
      <c r="BE272" s="11">
        <f>IF(tblsales[[#This Row],[SalesStage]]="Won",1,0)</f>
        <v>0</v>
      </c>
      <c r="BF272" s="21" t="str">
        <f>IF(tblsales[[#This Row],[Win Flag]]=1,"Won","Lost")</f>
        <v>Lost</v>
      </c>
      <c r="BG272" s="8"/>
    </row>
    <row r="273" spans="1:59" x14ac:dyDescent="0.3">
      <c r="A273" s="10" t="s">
        <v>1143</v>
      </c>
      <c r="B273" s="9">
        <v>45890</v>
      </c>
      <c r="C273" s="10" t="s">
        <v>284</v>
      </c>
      <c r="D273" s="10" t="s">
        <v>238</v>
      </c>
      <c r="E273" s="10" t="s">
        <v>113</v>
      </c>
      <c r="F273" s="10" t="s">
        <v>367</v>
      </c>
      <c r="G273" s="10" t="s">
        <v>66</v>
      </c>
      <c r="H273" s="10" t="s">
        <v>197</v>
      </c>
      <c r="I273" s="10" t="s">
        <v>183</v>
      </c>
      <c r="J273" s="10" t="s">
        <v>111</v>
      </c>
      <c r="K273" s="10" t="s">
        <v>333</v>
      </c>
      <c r="L273" s="10" t="s">
        <v>1144</v>
      </c>
      <c r="M273" s="9">
        <v>45875</v>
      </c>
      <c r="N273" s="9">
        <v>45818</v>
      </c>
      <c r="O273" s="9"/>
      <c r="P273" s="11">
        <v>55</v>
      </c>
      <c r="Q273" s="12">
        <v>35513450</v>
      </c>
      <c r="R273">
        <v>9670312.4349999987</v>
      </c>
      <c r="S273" s="22">
        <v>0.17</v>
      </c>
      <c r="T273" s="22">
        <v>0.17</v>
      </c>
      <c r="U273" s="12">
        <v>34487111.289999999</v>
      </c>
      <c r="V273" s="24">
        <v>9390840.404267</v>
      </c>
      <c r="W273" s="8"/>
      <c r="X273" s="24"/>
      <c r="Y273" s="22">
        <v>0.26</v>
      </c>
      <c r="Z273" s="22">
        <v>0.1</v>
      </c>
      <c r="AA273" s="8" t="s">
        <v>1145</v>
      </c>
      <c r="AB273" s="8">
        <v>5352812.88</v>
      </c>
      <c r="AC273" s="24">
        <v>1457570.947224</v>
      </c>
      <c r="AD273" s="8">
        <v>1812806.45</v>
      </c>
      <c r="AE273" s="24">
        <v>493627.19633499999</v>
      </c>
      <c r="AF273" s="8">
        <v>45</v>
      </c>
      <c r="AG273" s="8">
        <v>62</v>
      </c>
      <c r="AH273" s="8" t="s">
        <v>347</v>
      </c>
      <c r="AI273" s="8" t="s">
        <v>354</v>
      </c>
      <c r="AJ273" s="22">
        <v>0.61</v>
      </c>
      <c r="AK273" s="8" t="s">
        <v>153</v>
      </c>
      <c r="AL273" s="22">
        <v>0.15</v>
      </c>
      <c r="AM273" s="22">
        <v>7.0000000000000007E-2</v>
      </c>
      <c r="AN273" s="8">
        <v>15</v>
      </c>
      <c r="AO273" s="8">
        <v>3100</v>
      </c>
      <c r="AP273" s="8">
        <v>5741127.7000000002</v>
      </c>
      <c r="AQ273" s="24">
        <v>1563309.07271</v>
      </c>
      <c r="AR273" s="8">
        <v>13508755.369999999</v>
      </c>
      <c r="AS273" s="37">
        <v>3678434.0872509996</v>
      </c>
      <c r="AT273" s="8" t="s">
        <v>321</v>
      </c>
      <c r="AU273" s="8" t="s">
        <v>330</v>
      </c>
      <c r="AV273" s="8">
        <v>56.4</v>
      </c>
      <c r="AW273" s="8">
        <v>60</v>
      </c>
      <c r="AX273" s="8" t="s">
        <v>323</v>
      </c>
      <c r="AY273" s="8" t="s">
        <v>186</v>
      </c>
      <c r="AZ273" s="8" t="s">
        <v>324</v>
      </c>
      <c r="BA273" s="21">
        <f>IF(OR(tblsales[[#This Row],[Invoice Value USD]]="",tblsales[[#This Row],[Collected Amount USD]]=""),"",tblsales[[#This Row],[Invoice Value USD]]-tblsales[[#This Row],[Collected Amount USD]])</f>
        <v>963943.75088900002</v>
      </c>
      <c r="BB273" s="21" t="str">
        <f>IF(OR(tblsales[[#This Row],[Contract Value USD]]="",tblsales[[#This Row],[Cost Estimate USD]]=""),"",tblsales[[#This Row],[Contract Value USD]]-tblsales[[#This Row],[Cost Estimate USD]])</f>
        <v/>
      </c>
      <c r="BC273" s="21" t="str">
        <f>IF(OR(tblsales[[#This Row],[Contract Value USD]]="",tblsales[[#This Row],[Cost Estimate USD]]=""),"",tblsales[[#This Row],[Contract Value USD]]-tblsales[[#This Row],[Cost Estimate USD]])</f>
        <v/>
      </c>
      <c r="BD273" s="23">
        <f>IF(tblsales[[#This Row],[Invoice Value USD]]="","",tblsales[[#This Row],[Collected Amount USD]]/tblsales[[#This Row],[Invoice Value USD]])</f>
        <v>0.33866426692651358</v>
      </c>
      <c r="BE273" s="11">
        <f>IF(tblsales[[#This Row],[SalesStage]]="Won",1,0)</f>
        <v>0</v>
      </c>
      <c r="BF273" s="21" t="str">
        <f>IF(tblsales[[#This Row],[Win Flag]]=1,"Won","Lost")</f>
        <v>Lost</v>
      </c>
      <c r="BG273" s="8"/>
    </row>
    <row r="274" spans="1:59" x14ac:dyDescent="0.3">
      <c r="A274" s="10" t="s">
        <v>1146</v>
      </c>
      <c r="B274" s="9">
        <v>45970</v>
      </c>
      <c r="C274" s="10" t="s">
        <v>282</v>
      </c>
      <c r="D274" s="10" t="s">
        <v>209</v>
      </c>
      <c r="E274" s="10" t="s">
        <v>52</v>
      </c>
      <c r="F274" s="10" t="s">
        <v>75</v>
      </c>
      <c r="G274" s="10" t="s">
        <v>57</v>
      </c>
      <c r="H274" s="10" t="s">
        <v>182</v>
      </c>
      <c r="I274" s="10" t="s">
        <v>213</v>
      </c>
      <c r="J274" s="10" t="s">
        <v>133</v>
      </c>
      <c r="K274" s="10" t="s">
        <v>199</v>
      </c>
      <c r="L274" s="10" t="s">
        <v>1147</v>
      </c>
      <c r="M274" s="9">
        <v>45918</v>
      </c>
      <c r="N274" s="9">
        <v>45975</v>
      </c>
      <c r="O274" s="9">
        <v>46237</v>
      </c>
      <c r="P274" s="11">
        <v>37</v>
      </c>
      <c r="Q274" s="12">
        <v>23405746</v>
      </c>
      <c r="R274">
        <v>6373384.6357999993</v>
      </c>
      <c r="S274" s="22">
        <v>0.06</v>
      </c>
      <c r="T274" s="22">
        <v>-0.04</v>
      </c>
      <c r="U274" s="12">
        <v>21121345.190000001</v>
      </c>
      <c r="V274" s="24">
        <v>5751342.2952370001</v>
      </c>
      <c r="W274" s="8">
        <v>17407021.359999999</v>
      </c>
      <c r="X274" s="24">
        <v>4739931.9163279999</v>
      </c>
      <c r="Y274" s="22">
        <v>0.27</v>
      </c>
      <c r="Z274" s="22">
        <v>0.17</v>
      </c>
      <c r="AA274" s="8" t="s">
        <v>1148</v>
      </c>
      <c r="AB274" s="8">
        <v>6643585.5800000001</v>
      </c>
      <c r="AC274" s="24">
        <v>1809048.3534339999</v>
      </c>
      <c r="AD274" s="8">
        <v>2369967.2799999998</v>
      </c>
      <c r="AE274" s="24">
        <v>645342.09034399991</v>
      </c>
      <c r="AF274" s="8">
        <v>30</v>
      </c>
      <c r="AG274" s="8">
        <v>135</v>
      </c>
      <c r="AH274" s="8" t="s">
        <v>347</v>
      </c>
      <c r="AI274" s="8" t="s">
        <v>354</v>
      </c>
      <c r="AJ274" s="22">
        <v>0.65</v>
      </c>
      <c r="AK274" s="8" t="s">
        <v>153</v>
      </c>
      <c r="AL274" s="22">
        <v>0.15</v>
      </c>
      <c r="AM274" s="22">
        <v>0.04</v>
      </c>
      <c r="AN274" s="8">
        <v>9</v>
      </c>
      <c r="AO274" s="8">
        <v>4264</v>
      </c>
      <c r="AP274" s="8">
        <v>988434.79</v>
      </c>
      <c r="AQ274" s="24">
        <v>269150.79331699997</v>
      </c>
      <c r="AR274" s="8">
        <v>8704585.9199999999</v>
      </c>
      <c r="AS274" s="37">
        <v>2370258.7460159999</v>
      </c>
      <c r="AT274" s="8" t="s">
        <v>332</v>
      </c>
      <c r="AU274" s="8" t="s">
        <v>386</v>
      </c>
      <c r="AV274" s="8">
        <v>96.8</v>
      </c>
      <c r="AW274" s="8"/>
      <c r="AX274" s="8" t="s">
        <v>332</v>
      </c>
      <c r="AY274" s="8" t="s">
        <v>229</v>
      </c>
      <c r="AZ274" s="8" t="s">
        <v>357</v>
      </c>
      <c r="BA274" s="21">
        <f>IF(OR(tblsales[[#This Row],[Invoice Value USD]]="",tblsales[[#This Row],[Collected Amount USD]]=""),"",tblsales[[#This Row],[Invoice Value USD]]-tblsales[[#This Row],[Collected Amount USD]])</f>
        <v>1163706.26309</v>
      </c>
      <c r="BB274" s="21">
        <f>IF(OR(tblsales[[#This Row],[Contract Value USD]]="",tblsales[[#This Row],[Cost Estimate USD]]=""),"",tblsales[[#This Row],[Contract Value USD]]-tblsales[[#This Row],[Cost Estimate USD]])</f>
        <v>1011410.3789090002</v>
      </c>
      <c r="BC274" s="21">
        <f>IF(OR(tblsales[[#This Row],[Contract Value USD]]="",tblsales[[#This Row],[Cost Estimate USD]]=""),"",tblsales[[#This Row],[Contract Value USD]]-tblsales[[#This Row],[Cost Estimate USD]])</f>
        <v>1011410.3789090002</v>
      </c>
      <c r="BD274" s="23">
        <f>IF(tblsales[[#This Row],[Invoice Value USD]]="","",tblsales[[#This Row],[Collected Amount USD]]/tblsales[[#This Row],[Invoice Value USD]])</f>
        <v>0.35673014992605839</v>
      </c>
      <c r="BE274" s="11">
        <f>IF(tblsales[[#This Row],[SalesStage]]="Won",1,0)</f>
        <v>0</v>
      </c>
      <c r="BF274" s="21" t="str">
        <f>IF(tblsales[[#This Row],[Win Flag]]=1,"Won","Lost")</f>
        <v>Lost</v>
      </c>
      <c r="BG274" s="8"/>
    </row>
    <row r="275" spans="1:59" x14ac:dyDescent="0.3">
      <c r="A275" s="10" t="s">
        <v>1149</v>
      </c>
      <c r="B275" s="9">
        <v>45969</v>
      </c>
      <c r="C275" s="10" t="s">
        <v>214</v>
      </c>
      <c r="D275" s="10" t="s">
        <v>394</v>
      </c>
      <c r="E275" s="10" t="s">
        <v>332</v>
      </c>
      <c r="F275" s="10" t="s">
        <v>363</v>
      </c>
      <c r="G275" s="10" t="s">
        <v>80</v>
      </c>
      <c r="H275" s="10" t="s">
        <v>197</v>
      </c>
      <c r="I275" s="10" t="s">
        <v>213</v>
      </c>
      <c r="J275" s="10" t="s">
        <v>130</v>
      </c>
      <c r="K275" s="10" t="s">
        <v>221</v>
      </c>
      <c r="L275" s="10" t="s">
        <v>1150</v>
      </c>
      <c r="M275" s="9">
        <v>45892</v>
      </c>
      <c r="N275" s="9"/>
      <c r="O275" s="9">
        <v>46013</v>
      </c>
      <c r="P275" s="11">
        <v>38</v>
      </c>
      <c r="Q275" s="12">
        <v>6131064</v>
      </c>
      <c r="R275">
        <v>1669488.7271999998</v>
      </c>
      <c r="S275" s="22">
        <v>0.28999999999999998</v>
      </c>
      <c r="T275" s="22">
        <v>0.14000000000000001</v>
      </c>
      <c r="U275" s="12">
        <v>4962483.2</v>
      </c>
      <c r="V275" s="24">
        <v>1351284.17536</v>
      </c>
      <c r="W275" s="8"/>
      <c r="X275" s="24"/>
      <c r="Y275" s="22">
        <v>0.21</v>
      </c>
      <c r="Z275" s="22">
        <v>0.08</v>
      </c>
      <c r="AA275" s="8" t="s">
        <v>1151</v>
      </c>
      <c r="AB275" s="8">
        <v>1877513.35</v>
      </c>
      <c r="AC275" s="24">
        <v>511246.885205</v>
      </c>
      <c r="AD275" s="8">
        <v>1591993.28</v>
      </c>
      <c r="AE275" s="24">
        <v>433499.77014400001</v>
      </c>
      <c r="AF275" s="8">
        <v>30</v>
      </c>
      <c r="AG275" s="8">
        <v>83</v>
      </c>
      <c r="AH275" s="8" t="s">
        <v>332</v>
      </c>
      <c r="AI275" s="8" t="s">
        <v>320</v>
      </c>
      <c r="AJ275" s="22">
        <v>0.93</v>
      </c>
      <c r="AK275" s="8" t="s">
        <v>153</v>
      </c>
      <c r="AL275" s="22">
        <v>0.05</v>
      </c>
      <c r="AM275" s="22">
        <v>0.02</v>
      </c>
      <c r="AN275" s="8">
        <v>5</v>
      </c>
      <c r="AO275" s="8">
        <v>1746</v>
      </c>
      <c r="AP275" s="8">
        <v>526467.85</v>
      </c>
      <c r="AQ275" s="24">
        <v>143357.19555499998</v>
      </c>
      <c r="AR275" s="8">
        <v>602247.63</v>
      </c>
      <c r="AS275" s="37">
        <v>163992.029649</v>
      </c>
      <c r="AT275" s="8" t="s">
        <v>343</v>
      </c>
      <c r="AU275" s="8" t="s">
        <v>386</v>
      </c>
      <c r="AV275" s="8">
        <v>93.1</v>
      </c>
      <c r="AW275" s="8">
        <v>48</v>
      </c>
      <c r="AX275" s="8" t="s">
        <v>323</v>
      </c>
      <c r="AY275" s="8" t="s">
        <v>206</v>
      </c>
      <c r="AZ275" s="8" t="s">
        <v>324</v>
      </c>
      <c r="BA275" s="21">
        <f>IF(OR(tblsales[[#This Row],[Invoice Value USD]]="",tblsales[[#This Row],[Collected Amount USD]]=""),"",tblsales[[#This Row],[Invoice Value USD]]-tblsales[[#This Row],[Collected Amount USD]])</f>
        <v>77747.11506099999</v>
      </c>
      <c r="BB275" s="21" t="str">
        <f>IF(OR(tblsales[[#This Row],[Contract Value USD]]="",tblsales[[#This Row],[Cost Estimate USD]]=""),"",tblsales[[#This Row],[Contract Value USD]]-tblsales[[#This Row],[Cost Estimate USD]])</f>
        <v/>
      </c>
      <c r="BC275" s="21" t="str">
        <f>IF(OR(tblsales[[#This Row],[Contract Value USD]]="",tblsales[[#This Row],[Cost Estimate USD]]=""),"",tblsales[[#This Row],[Contract Value USD]]-tblsales[[#This Row],[Cost Estimate USD]])</f>
        <v/>
      </c>
      <c r="BD275" s="23">
        <f>IF(tblsales[[#This Row],[Invoice Value USD]]="","",tblsales[[#This Row],[Collected Amount USD]]/tblsales[[#This Row],[Invoice Value USD]])</f>
        <v>0.84792647679442601</v>
      </c>
      <c r="BE275" s="11">
        <f>IF(tblsales[[#This Row],[SalesStage]]="Won",1,0)</f>
        <v>1</v>
      </c>
      <c r="BF275" s="21" t="str">
        <f>IF(tblsales[[#This Row],[Win Flag]]=1,"Won","Lost")</f>
        <v>Won</v>
      </c>
      <c r="BG275" s="8"/>
    </row>
    <row r="276" spans="1:59" x14ac:dyDescent="0.3">
      <c r="A276" s="10" t="s">
        <v>1152</v>
      </c>
      <c r="B276" s="9">
        <v>46020</v>
      </c>
      <c r="C276" s="10" t="s">
        <v>283</v>
      </c>
      <c r="D276" s="10" t="s">
        <v>250</v>
      </c>
      <c r="E276" s="10" t="s">
        <v>332</v>
      </c>
      <c r="F276" s="10" t="s">
        <v>228</v>
      </c>
      <c r="G276" s="10" t="s">
        <v>73</v>
      </c>
      <c r="H276" s="10" t="s">
        <v>182</v>
      </c>
      <c r="I276" s="10" t="s">
        <v>332</v>
      </c>
      <c r="J276" s="10" t="s">
        <v>130</v>
      </c>
      <c r="K276" s="10" t="s">
        <v>199</v>
      </c>
      <c r="L276" s="10" t="s">
        <v>1153</v>
      </c>
      <c r="M276" s="9">
        <v>45992</v>
      </c>
      <c r="N276" s="9">
        <v>46060</v>
      </c>
      <c r="O276" s="9"/>
      <c r="P276" s="11">
        <v>21</v>
      </c>
      <c r="Q276" s="12">
        <v>4551333</v>
      </c>
      <c r="R276">
        <v>4551333</v>
      </c>
      <c r="S276" s="22">
        <v>0.28000000000000003</v>
      </c>
      <c r="T276" s="22">
        <v>0.02</v>
      </c>
      <c r="U276" s="12">
        <v>3342498.96</v>
      </c>
      <c r="V276" s="24">
        <v>3342498.96</v>
      </c>
      <c r="W276" s="8"/>
      <c r="X276" s="24"/>
      <c r="Y276" s="22">
        <v>0.16</v>
      </c>
      <c r="Z276" s="22">
        <v>0.14000000000000001</v>
      </c>
      <c r="AA276" s="8" t="s">
        <v>1154</v>
      </c>
      <c r="AB276" s="8">
        <v>683578.91</v>
      </c>
      <c r="AC276" s="24">
        <v>683578.91</v>
      </c>
      <c r="AD276" s="8">
        <v>213699.5</v>
      </c>
      <c r="AE276" s="24">
        <v>213699.5</v>
      </c>
      <c r="AF276" s="8">
        <v>90</v>
      </c>
      <c r="AG276" s="8">
        <v>66</v>
      </c>
      <c r="AH276" s="8" t="s">
        <v>342</v>
      </c>
      <c r="AI276" s="8" t="s">
        <v>354</v>
      </c>
      <c r="AJ276" s="22">
        <v>0.6</v>
      </c>
      <c r="AK276" s="8" t="s">
        <v>152</v>
      </c>
      <c r="AL276" s="22">
        <v>0.05</v>
      </c>
      <c r="AM276" s="22">
        <v>0.05</v>
      </c>
      <c r="AN276" s="8">
        <v>13</v>
      </c>
      <c r="AO276" s="8">
        <v>1837</v>
      </c>
      <c r="AP276" s="8">
        <v>175471.87</v>
      </c>
      <c r="AQ276" s="24">
        <v>175471.87</v>
      </c>
      <c r="AR276" s="8">
        <v>874681.4</v>
      </c>
      <c r="AS276" s="37">
        <v>874681.4</v>
      </c>
      <c r="AT276" s="8" t="s">
        <v>343</v>
      </c>
      <c r="AU276" s="8" t="s">
        <v>332</v>
      </c>
      <c r="AV276" s="8">
        <v>58.8</v>
      </c>
      <c r="AW276" s="8">
        <v>12</v>
      </c>
      <c r="AX276" s="8" t="s">
        <v>332</v>
      </c>
      <c r="AY276" s="8" t="s">
        <v>192</v>
      </c>
      <c r="AZ276" s="8" t="s">
        <v>377</v>
      </c>
      <c r="BA276" s="21">
        <f>IF(OR(tblsales[[#This Row],[Invoice Value USD]]="",tblsales[[#This Row],[Collected Amount USD]]=""),"",tblsales[[#This Row],[Invoice Value USD]]-tblsales[[#This Row],[Collected Amount USD]])</f>
        <v>469879.41000000003</v>
      </c>
      <c r="BB276" s="21" t="str">
        <f>IF(OR(tblsales[[#This Row],[Contract Value USD]]="",tblsales[[#This Row],[Cost Estimate USD]]=""),"",tblsales[[#This Row],[Contract Value USD]]-tblsales[[#This Row],[Cost Estimate USD]])</f>
        <v/>
      </c>
      <c r="BC276" s="21" t="str">
        <f>IF(OR(tblsales[[#This Row],[Contract Value USD]]="",tblsales[[#This Row],[Cost Estimate USD]]=""),"",tblsales[[#This Row],[Contract Value USD]]-tblsales[[#This Row],[Cost Estimate USD]])</f>
        <v/>
      </c>
      <c r="BD276" s="23">
        <f>IF(tblsales[[#This Row],[Invoice Value USD]]="","",tblsales[[#This Row],[Collected Amount USD]]/tblsales[[#This Row],[Invoice Value USD]])</f>
        <v>0.31261862657524059</v>
      </c>
      <c r="BE276" s="11">
        <f>IF(tblsales[[#This Row],[SalesStage]]="Won",1,0)</f>
        <v>0</v>
      </c>
      <c r="BF276" s="21" t="str">
        <f>IF(tblsales[[#This Row],[Win Flag]]=1,"Won","Lost")</f>
        <v>Lost</v>
      </c>
      <c r="BG276" s="8"/>
    </row>
    <row r="277" spans="1:59" x14ac:dyDescent="0.3">
      <c r="A277" s="10" t="s">
        <v>1155</v>
      </c>
      <c r="B277" s="9">
        <v>45892</v>
      </c>
      <c r="C277" s="10" t="s">
        <v>241</v>
      </c>
      <c r="D277" s="10" t="s">
        <v>265</v>
      </c>
      <c r="E277" s="10" t="s">
        <v>52</v>
      </c>
      <c r="F277" s="10" t="s">
        <v>75</v>
      </c>
      <c r="G277" s="10" t="s">
        <v>62</v>
      </c>
      <c r="H277" s="10" t="s">
        <v>197</v>
      </c>
      <c r="I277" s="10" t="s">
        <v>203</v>
      </c>
      <c r="J277" s="10" t="s">
        <v>119</v>
      </c>
      <c r="K277" s="10" t="s">
        <v>204</v>
      </c>
      <c r="L277" s="10" t="s">
        <v>1156</v>
      </c>
      <c r="M277" s="9">
        <v>45694</v>
      </c>
      <c r="N277" s="9">
        <v>45927</v>
      </c>
      <c r="O277" s="9">
        <v>45819</v>
      </c>
      <c r="P277" s="11">
        <v>20</v>
      </c>
      <c r="Q277" s="12">
        <v>28231617</v>
      </c>
      <c r="R277">
        <v>7529372.2538999999</v>
      </c>
      <c r="S277" s="22">
        <v>0.34</v>
      </c>
      <c r="T277" s="22">
        <v>-0.04</v>
      </c>
      <c r="U277" s="12">
        <v>17887552.530000001</v>
      </c>
      <c r="V277" s="24">
        <v>4770610.2597510004</v>
      </c>
      <c r="W277" s="8">
        <v>13687272.300000001</v>
      </c>
      <c r="X277" s="24">
        <v>3650395.5224100002</v>
      </c>
      <c r="Y277" s="22">
        <v>0.17</v>
      </c>
      <c r="Z277" s="22">
        <v>0.14000000000000001</v>
      </c>
      <c r="AA277" s="8" t="s">
        <v>1157</v>
      </c>
      <c r="AB277" s="8">
        <v>7614569.0499999998</v>
      </c>
      <c r="AC277" s="24">
        <v>2030805.5656349999</v>
      </c>
      <c r="AD277" s="8">
        <v>6848705.1799999997</v>
      </c>
      <c r="AE277" s="24">
        <v>1826549.671506</v>
      </c>
      <c r="AF277" s="8">
        <v>60</v>
      </c>
      <c r="AG277" s="8">
        <v>144</v>
      </c>
      <c r="AH277" s="8" t="s">
        <v>353</v>
      </c>
      <c r="AI277" s="8" t="s">
        <v>336</v>
      </c>
      <c r="AJ277" s="22">
        <v>0.94</v>
      </c>
      <c r="AK277" s="8" t="s">
        <v>162</v>
      </c>
      <c r="AL277" s="22">
        <v>0.15</v>
      </c>
      <c r="AM277" s="22">
        <v>0.03</v>
      </c>
      <c r="AN277" s="8">
        <v>7</v>
      </c>
      <c r="AO277" s="8">
        <v>1203</v>
      </c>
      <c r="AP277" s="8">
        <v>3678816.07</v>
      </c>
      <c r="AQ277" s="24">
        <v>981140.24586899998</v>
      </c>
      <c r="AR277" s="8">
        <v>4198941.9000000004</v>
      </c>
      <c r="AS277" s="37">
        <v>1119857.80473</v>
      </c>
      <c r="AT277" s="8" t="s">
        <v>385</v>
      </c>
      <c r="AU277" s="8" t="s">
        <v>332</v>
      </c>
      <c r="AV277" s="8">
        <v>78.099999999999994</v>
      </c>
      <c r="AW277" s="8">
        <v>12</v>
      </c>
      <c r="AX277" s="8" t="s">
        <v>387</v>
      </c>
      <c r="AY277" s="8" t="s">
        <v>206</v>
      </c>
      <c r="AZ277" s="8" t="s">
        <v>324</v>
      </c>
      <c r="BA277" s="21">
        <f>IF(OR(tblsales[[#This Row],[Invoice Value USD]]="",tblsales[[#This Row],[Collected Amount USD]]=""),"",tblsales[[#This Row],[Invoice Value USD]]-tblsales[[#This Row],[Collected Amount USD]])</f>
        <v>204255.89412899991</v>
      </c>
      <c r="BB277" s="21">
        <f>IF(OR(tblsales[[#This Row],[Contract Value USD]]="",tblsales[[#This Row],[Cost Estimate USD]]=""),"",tblsales[[#This Row],[Contract Value USD]]-tblsales[[#This Row],[Cost Estimate USD]])</f>
        <v>1120214.7373410002</v>
      </c>
      <c r="BC277" s="21">
        <f>IF(OR(tblsales[[#This Row],[Contract Value USD]]="",tblsales[[#This Row],[Cost Estimate USD]]=""),"",tblsales[[#This Row],[Contract Value USD]]-tblsales[[#This Row],[Cost Estimate USD]])</f>
        <v>1120214.7373410002</v>
      </c>
      <c r="BD277" s="23">
        <f>IF(tblsales[[#This Row],[Invoice Value USD]]="","",tblsales[[#This Row],[Collected Amount USD]]/tblsales[[#This Row],[Invoice Value USD]])</f>
        <v>0.89942124564488657</v>
      </c>
      <c r="BE277" s="11">
        <f>IF(tblsales[[#This Row],[SalesStage]]="Won",1,0)</f>
        <v>0</v>
      </c>
      <c r="BF277" s="21" t="str">
        <f>IF(tblsales[[#This Row],[Win Flag]]=1,"Won","Lost")</f>
        <v>Lost</v>
      </c>
      <c r="BG277" s="8"/>
    </row>
    <row r="278" spans="1:59" x14ac:dyDescent="0.3">
      <c r="A278" s="10" t="s">
        <v>1158</v>
      </c>
      <c r="B278" s="9">
        <v>46065</v>
      </c>
      <c r="C278" s="10" t="s">
        <v>230</v>
      </c>
      <c r="D278" s="10" t="s">
        <v>253</v>
      </c>
      <c r="E278" s="10" t="s">
        <v>36</v>
      </c>
      <c r="F278" s="10" t="s">
        <v>339</v>
      </c>
      <c r="G278" s="10" t="s">
        <v>80</v>
      </c>
      <c r="H278" s="10" t="s">
        <v>182</v>
      </c>
      <c r="I278" s="10" t="s">
        <v>203</v>
      </c>
      <c r="J278" s="10" t="s">
        <v>115</v>
      </c>
      <c r="K278" s="10" t="s">
        <v>184</v>
      </c>
      <c r="L278" s="10" t="s">
        <v>1159</v>
      </c>
      <c r="M278" s="9">
        <v>46049</v>
      </c>
      <c r="N278" s="9">
        <v>46068</v>
      </c>
      <c r="O278" s="9"/>
      <c r="P278" s="11">
        <v>7</v>
      </c>
      <c r="Q278" s="12">
        <v>21053589</v>
      </c>
      <c r="R278">
        <v>5732892.2846999997</v>
      </c>
      <c r="S278" s="22">
        <v>0.3</v>
      </c>
      <c r="T278" s="22">
        <v>0.02</v>
      </c>
      <c r="U278" s="12">
        <v>15032262.550000001</v>
      </c>
      <c r="V278" s="24">
        <v>4093285.0923649999</v>
      </c>
      <c r="W278" s="8">
        <v>10468735.74</v>
      </c>
      <c r="X278" s="24">
        <v>2850636.7420020001</v>
      </c>
      <c r="Y278" s="22">
        <v>0.32</v>
      </c>
      <c r="Z278" s="22">
        <v>0.18</v>
      </c>
      <c r="AA278" s="8" t="s">
        <v>1160</v>
      </c>
      <c r="AB278" s="8">
        <v>12238438.640000001</v>
      </c>
      <c r="AC278" s="24">
        <v>3332526.841672</v>
      </c>
      <c r="AD278" s="8">
        <v>12039068.82</v>
      </c>
      <c r="AE278" s="24">
        <v>3278238.4396859999</v>
      </c>
      <c r="AF278" s="8">
        <v>45</v>
      </c>
      <c r="AG278" s="8">
        <v>123</v>
      </c>
      <c r="AH278" s="8" t="s">
        <v>376</v>
      </c>
      <c r="AI278" s="8" t="s">
        <v>336</v>
      </c>
      <c r="AJ278" s="22">
        <v>0.76</v>
      </c>
      <c r="AK278" s="8" t="s">
        <v>153</v>
      </c>
      <c r="AL278" s="22">
        <v>0.05</v>
      </c>
      <c r="AM278" s="22">
        <v>0.01</v>
      </c>
      <c r="AN278" s="8">
        <v>13</v>
      </c>
      <c r="AO278" s="8">
        <v>422</v>
      </c>
      <c r="AP278" s="8">
        <v>1063043.68</v>
      </c>
      <c r="AQ278" s="24">
        <v>289466.79406399996</v>
      </c>
      <c r="AR278" s="8">
        <v>1604350.72</v>
      </c>
      <c r="AS278" s="37">
        <v>436864.70105599996</v>
      </c>
      <c r="AT278" s="8" t="s">
        <v>391</v>
      </c>
      <c r="AU278" s="8" t="s">
        <v>348</v>
      </c>
      <c r="AV278" s="8">
        <v>79.099999999999994</v>
      </c>
      <c r="AW278" s="8">
        <v>48</v>
      </c>
      <c r="AX278" s="8" t="s">
        <v>323</v>
      </c>
      <c r="AY278" s="8" t="s">
        <v>229</v>
      </c>
      <c r="AZ278" s="8" t="s">
        <v>188</v>
      </c>
      <c r="BA278" s="21">
        <f>IF(OR(tblsales[[#This Row],[Invoice Value USD]]="",tblsales[[#This Row],[Collected Amount USD]]=""),"",tblsales[[#This Row],[Invoice Value USD]]-tblsales[[#This Row],[Collected Amount USD]])</f>
        <v>54288.401986000128</v>
      </c>
      <c r="BB278" s="21">
        <f>IF(OR(tblsales[[#This Row],[Contract Value USD]]="",tblsales[[#This Row],[Cost Estimate USD]]=""),"",tblsales[[#This Row],[Contract Value USD]]-tblsales[[#This Row],[Cost Estimate USD]])</f>
        <v>1242648.3503629998</v>
      </c>
      <c r="BC278" s="21">
        <f>IF(OR(tblsales[[#This Row],[Contract Value USD]]="",tblsales[[#This Row],[Cost Estimate USD]]=""),"",tblsales[[#This Row],[Contract Value USD]]-tblsales[[#This Row],[Cost Estimate USD]])</f>
        <v>1242648.3503629998</v>
      </c>
      <c r="BD278" s="23">
        <f>IF(tblsales[[#This Row],[Invoice Value USD]]="","",tblsales[[#This Row],[Collected Amount USD]]/tblsales[[#This Row],[Invoice Value USD]])</f>
        <v>0.98370953796766347</v>
      </c>
      <c r="BE278" s="11">
        <f>IF(tblsales[[#This Row],[SalesStage]]="Won",1,0)</f>
        <v>0</v>
      </c>
      <c r="BF278" s="21" t="str">
        <f>IF(tblsales[[#This Row],[Win Flag]]=1,"Won","Lost")</f>
        <v>Lost</v>
      </c>
      <c r="BG278" s="8"/>
    </row>
    <row r="279" spans="1:59" x14ac:dyDescent="0.3">
      <c r="A279" s="10" t="s">
        <v>1161</v>
      </c>
      <c r="B279" s="9">
        <v>46048</v>
      </c>
      <c r="C279" s="10" t="s">
        <v>237</v>
      </c>
      <c r="D279" s="10" t="s">
        <v>262</v>
      </c>
      <c r="E279" s="10" t="s">
        <v>20</v>
      </c>
      <c r="F279" s="10" t="s">
        <v>35</v>
      </c>
      <c r="G279" s="10" t="s">
        <v>80</v>
      </c>
      <c r="H279" s="10" t="s">
        <v>263</v>
      </c>
      <c r="I279" s="10" t="s">
        <v>203</v>
      </c>
      <c r="J279" s="10" t="s">
        <v>136</v>
      </c>
      <c r="K279" s="10" t="s">
        <v>223</v>
      </c>
      <c r="L279" s="10" t="s">
        <v>1162</v>
      </c>
      <c r="M279" s="9">
        <v>45700</v>
      </c>
      <c r="N279" s="9"/>
      <c r="O279" s="9">
        <v>46129</v>
      </c>
      <c r="P279" s="11">
        <v>8</v>
      </c>
      <c r="Q279" s="12">
        <v>27825102</v>
      </c>
      <c r="R279">
        <v>7643555.5193999996</v>
      </c>
      <c r="S279" s="22">
        <v>0.24</v>
      </c>
      <c r="T279" s="22">
        <v>0.1</v>
      </c>
      <c r="U279" s="12">
        <v>23261785.27</v>
      </c>
      <c r="V279" s="24">
        <v>6390012.4136689994</v>
      </c>
      <c r="W279" s="8">
        <v>15387092.029999999</v>
      </c>
      <c r="X279" s="24">
        <v>4226834.1806410002</v>
      </c>
      <c r="Y279" s="22">
        <v>0.37</v>
      </c>
      <c r="Z279" s="22">
        <v>0.15</v>
      </c>
      <c r="AA279" s="8" t="s">
        <v>1163</v>
      </c>
      <c r="AB279" s="8">
        <v>7975719.71</v>
      </c>
      <c r="AC279" s="24">
        <v>2190930.2043369999</v>
      </c>
      <c r="AD279" s="8">
        <v>5936899.1799999997</v>
      </c>
      <c r="AE279" s="24">
        <v>1630866.204746</v>
      </c>
      <c r="AF279" s="8">
        <v>30</v>
      </c>
      <c r="AG279" s="8">
        <v>126</v>
      </c>
      <c r="AH279" s="8" t="s">
        <v>347</v>
      </c>
      <c r="AI279" s="8" t="s">
        <v>406</v>
      </c>
      <c r="AJ279" s="22">
        <v>0.73</v>
      </c>
      <c r="AK279" s="8" t="s">
        <v>155</v>
      </c>
      <c r="AL279" s="22">
        <v>0.1</v>
      </c>
      <c r="AM279" s="22">
        <v>0.09</v>
      </c>
      <c r="AN279" s="8">
        <v>1</v>
      </c>
      <c r="AO279" s="8">
        <v>4214</v>
      </c>
      <c r="AP279" s="8">
        <v>2165296.9</v>
      </c>
      <c r="AQ279" s="24">
        <v>594807.05842999998</v>
      </c>
      <c r="AR279" s="8">
        <v>7407601.8899999997</v>
      </c>
      <c r="AS279" s="37">
        <v>2034868.2391829998</v>
      </c>
      <c r="AT279" s="8" t="s">
        <v>332</v>
      </c>
      <c r="AU279" s="8" t="s">
        <v>321</v>
      </c>
      <c r="AV279" s="8">
        <v>50</v>
      </c>
      <c r="AW279" s="8">
        <v>48</v>
      </c>
      <c r="AX279" s="8" t="s">
        <v>323</v>
      </c>
      <c r="AY279" s="8" t="s">
        <v>186</v>
      </c>
      <c r="AZ279" s="8" t="s">
        <v>188</v>
      </c>
      <c r="BA279" s="21">
        <f>IF(OR(tblsales[[#This Row],[Invoice Value USD]]="",tblsales[[#This Row],[Collected Amount USD]]=""),"",tblsales[[#This Row],[Invoice Value USD]]-tblsales[[#This Row],[Collected Amount USD]])</f>
        <v>560063.99959099991</v>
      </c>
      <c r="BB279" s="21">
        <f>IF(OR(tblsales[[#This Row],[Contract Value USD]]="",tblsales[[#This Row],[Cost Estimate USD]]=""),"",tblsales[[#This Row],[Contract Value USD]]-tblsales[[#This Row],[Cost Estimate USD]])</f>
        <v>2163178.2330279993</v>
      </c>
      <c r="BC279" s="21">
        <f>IF(OR(tblsales[[#This Row],[Contract Value USD]]="",tblsales[[#This Row],[Cost Estimate USD]]=""),"",tblsales[[#This Row],[Contract Value USD]]-tblsales[[#This Row],[Cost Estimate USD]])</f>
        <v>2163178.2330279993</v>
      </c>
      <c r="BD279" s="23">
        <f>IF(tblsales[[#This Row],[Invoice Value USD]]="","",tblsales[[#This Row],[Collected Amount USD]]/tblsales[[#This Row],[Invoice Value USD]])</f>
        <v>0.74437159226599758</v>
      </c>
      <c r="BE279" s="11">
        <f>IF(tblsales[[#This Row],[SalesStage]]="Won",1,0)</f>
        <v>0</v>
      </c>
      <c r="BF279" s="21" t="str">
        <f>IF(tblsales[[#This Row],[Win Flag]]=1,"Won","Lost")</f>
        <v>Lost</v>
      </c>
      <c r="BG279" s="8"/>
    </row>
    <row r="280" spans="1:59" x14ac:dyDescent="0.3">
      <c r="A280" s="10" t="s">
        <v>1164</v>
      </c>
      <c r="B280" s="9">
        <v>45793</v>
      </c>
      <c r="C280" s="10" t="s">
        <v>214</v>
      </c>
      <c r="D280" s="10" t="s">
        <v>262</v>
      </c>
      <c r="E280" s="10" t="s">
        <v>113</v>
      </c>
      <c r="F280" s="10" t="s">
        <v>367</v>
      </c>
      <c r="G280" s="10" t="s">
        <v>16</v>
      </c>
      <c r="H280" s="10" t="s">
        <v>216</v>
      </c>
      <c r="I280" s="10" t="s">
        <v>246</v>
      </c>
      <c r="J280" s="10" t="s">
        <v>127</v>
      </c>
      <c r="K280" s="10" t="s">
        <v>204</v>
      </c>
      <c r="L280" s="10" t="s">
        <v>1165</v>
      </c>
      <c r="M280" s="9">
        <v>45774</v>
      </c>
      <c r="N280" s="9">
        <v>45833</v>
      </c>
      <c r="O280" s="9">
        <v>45898</v>
      </c>
      <c r="P280" s="11">
        <v>15</v>
      </c>
      <c r="Q280" s="12">
        <v>39965694</v>
      </c>
      <c r="R280">
        <v>10658850.5898</v>
      </c>
      <c r="S280" s="22">
        <v>0.03</v>
      </c>
      <c r="T280" s="22">
        <v>0.19</v>
      </c>
      <c r="U280" s="12">
        <v>46132400.579999998</v>
      </c>
      <c r="V280" s="24">
        <v>12303511.234685998</v>
      </c>
      <c r="W280" s="8">
        <v>40558483.829999998</v>
      </c>
      <c r="X280" s="24">
        <v>10816947.637460999</v>
      </c>
      <c r="Y280" s="22">
        <v>0.25</v>
      </c>
      <c r="Z280" s="22">
        <v>0.1</v>
      </c>
      <c r="AA280" s="8"/>
      <c r="AB280" s="8">
        <v>36208134.759999998</v>
      </c>
      <c r="AC280" s="24">
        <v>9656709.5404920001</v>
      </c>
      <c r="AD280" s="8">
        <v>20219278.949999999</v>
      </c>
      <c r="AE280" s="24">
        <v>5392481.6959649995</v>
      </c>
      <c r="AF280" s="8">
        <v>45</v>
      </c>
      <c r="AG280" s="8">
        <v>102</v>
      </c>
      <c r="AH280" s="8" t="s">
        <v>342</v>
      </c>
      <c r="AI280" s="8" t="s">
        <v>381</v>
      </c>
      <c r="AJ280" s="22">
        <v>0.33</v>
      </c>
      <c r="AK280" s="8" t="s">
        <v>162</v>
      </c>
      <c r="AL280" s="22">
        <v>0.05</v>
      </c>
      <c r="AM280" s="22">
        <v>0.1</v>
      </c>
      <c r="AN280" s="8">
        <v>3</v>
      </c>
      <c r="AO280" s="8">
        <v>1907</v>
      </c>
      <c r="AP280" s="8">
        <v>6645500.4000000004</v>
      </c>
      <c r="AQ280" s="24">
        <v>1772354.9566800001</v>
      </c>
      <c r="AR280" s="8">
        <v>20262754.079999998</v>
      </c>
      <c r="AS280" s="37">
        <v>5404076.5131359994</v>
      </c>
      <c r="AT280" s="8" t="s">
        <v>343</v>
      </c>
      <c r="AU280" s="8" t="s">
        <v>332</v>
      </c>
      <c r="AV280" s="8">
        <v>86.6</v>
      </c>
      <c r="AW280" s="8">
        <v>36</v>
      </c>
      <c r="AX280" s="8" t="s">
        <v>392</v>
      </c>
      <c r="AY280" s="8" t="s">
        <v>192</v>
      </c>
      <c r="AZ280" s="8" t="s">
        <v>324</v>
      </c>
      <c r="BA280" s="21">
        <f>IF(OR(tblsales[[#This Row],[Invoice Value USD]]="",tblsales[[#This Row],[Collected Amount USD]]=""),"",tblsales[[#This Row],[Invoice Value USD]]-tblsales[[#This Row],[Collected Amount USD]])</f>
        <v>4264227.8445270006</v>
      </c>
      <c r="BB280" s="21">
        <f>IF(OR(tblsales[[#This Row],[Contract Value USD]]="",tblsales[[#This Row],[Cost Estimate USD]]=""),"",tblsales[[#This Row],[Contract Value USD]]-tblsales[[#This Row],[Cost Estimate USD]])</f>
        <v>1486563.5972249992</v>
      </c>
      <c r="BC280" s="21">
        <f>IF(OR(tblsales[[#This Row],[Contract Value USD]]="",tblsales[[#This Row],[Cost Estimate USD]]=""),"",tblsales[[#This Row],[Contract Value USD]]-tblsales[[#This Row],[Cost Estimate USD]])</f>
        <v>1486563.5972249992</v>
      </c>
      <c r="BD280" s="23">
        <f>IF(tblsales[[#This Row],[Invoice Value USD]]="","",tblsales[[#This Row],[Collected Amount USD]]/tblsales[[#This Row],[Invoice Value USD]])</f>
        <v>0.55841813128514761</v>
      </c>
      <c r="BE280" s="11">
        <f>IF(tblsales[[#This Row],[SalesStage]]="Won",1,0)</f>
        <v>0</v>
      </c>
      <c r="BF280" s="21" t="str">
        <f>IF(tblsales[[#This Row],[Win Flag]]=1,"Won","Lost")</f>
        <v>Lost</v>
      </c>
      <c r="BG280" s="8"/>
    </row>
    <row r="281" spans="1:59" x14ac:dyDescent="0.3">
      <c r="A281" s="10" t="s">
        <v>1166</v>
      </c>
      <c r="B281" s="9">
        <v>45910</v>
      </c>
      <c r="C281" s="10" t="s">
        <v>268</v>
      </c>
      <c r="D281" s="10" t="s">
        <v>332</v>
      </c>
      <c r="E281" s="10" t="s">
        <v>113</v>
      </c>
      <c r="F281" s="10" t="s">
        <v>367</v>
      </c>
      <c r="G281" s="10" t="s">
        <v>57</v>
      </c>
      <c r="H281" s="10" t="s">
        <v>332</v>
      </c>
      <c r="I281" s="10" t="s">
        <v>240</v>
      </c>
      <c r="J281" s="10" t="s">
        <v>111</v>
      </c>
      <c r="K281" s="10" t="s">
        <v>204</v>
      </c>
      <c r="L281" s="10" t="s">
        <v>1167</v>
      </c>
      <c r="M281" s="9">
        <v>45889</v>
      </c>
      <c r="N281" s="9">
        <v>45952</v>
      </c>
      <c r="O281" s="9"/>
      <c r="P281" s="11">
        <v>31</v>
      </c>
      <c r="Q281" s="12">
        <v>47365406</v>
      </c>
      <c r="R281">
        <v>54991236.366000004</v>
      </c>
      <c r="S281" s="22">
        <v>0.21</v>
      </c>
      <c r="T281" s="22">
        <v>0.13</v>
      </c>
      <c r="U281" s="12">
        <v>42283097.939999998</v>
      </c>
      <c r="V281" s="24">
        <v>49090676.708339997</v>
      </c>
      <c r="W281" s="8">
        <v>34081202.219999999</v>
      </c>
      <c r="X281" s="24">
        <v>39568275.777419999</v>
      </c>
      <c r="Y281" s="22">
        <v>0.1</v>
      </c>
      <c r="Z281" s="22">
        <v>0.06</v>
      </c>
      <c r="AA281" s="8" t="s">
        <v>1168</v>
      </c>
      <c r="AB281" s="8">
        <v>17521516.199999999</v>
      </c>
      <c r="AC281" s="24">
        <v>20342480.308199998</v>
      </c>
      <c r="AD281" s="8">
        <v>14798606.85</v>
      </c>
      <c r="AE281" s="24">
        <v>17181182.552850001</v>
      </c>
      <c r="AF281" s="8">
        <v>30</v>
      </c>
      <c r="AG281" s="8">
        <v>117</v>
      </c>
      <c r="AH281" s="8" t="s">
        <v>342</v>
      </c>
      <c r="AI281" s="8" t="s">
        <v>226</v>
      </c>
      <c r="AJ281" s="22">
        <v>0.5</v>
      </c>
      <c r="AK281" s="8" t="s">
        <v>159</v>
      </c>
      <c r="AL281" s="22">
        <v>0.05</v>
      </c>
      <c r="AM281" s="22">
        <v>0.05</v>
      </c>
      <c r="AN281" s="8">
        <v>15</v>
      </c>
      <c r="AO281" s="8">
        <v>3751</v>
      </c>
      <c r="AP281" s="8">
        <v>10132086.449999999</v>
      </c>
      <c r="AQ281" s="24">
        <v>11763352.368449999</v>
      </c>
      <c r="AR281" s="8">
        <v>13264368.57</v>
      </c>
      <c r="AS281" s="37">
        <v>15399931.909770001</v>
      </c>
      <c r="AT281" s="8" t="s">
        <v>355</v>
      </c>
      <c r="AU281" s="8" t="s">
        <v>356</v>
      </c>
      <c r="AV281" s="8">
        <v>58.7</v>
      </c>
      <c r="AW281" s="8">
        <v>24</v>
      </c>
      <c r="AX281" s="8" t="s">
        <v>337</v>
      </c>
      <c r="AY281" s="8" t="s">
        <v>192</v>
      </c>
      <c r="AZ281" s="8" t="s">
        <v>332</v>
      </c>
      <c r="BA281" s="21">
        <f>IF(OR(tblsales[[#This Row],[Invoice Value USD]]="",tblsales[[#This Row],[Collected Amount USD]]=""),"",tblsales[[#This Row],[Invoice Value USD]]-tblsales[[#This Row],[Collected Amount USD]])</f>
        <v>3161297.7553499974</v>
      </c>
      <c r="BB281" s="21">
        <f>IF(OR(tblsales[[#This Row],[Contract Value USD]]="",tblsales[[#This Row],[Cost Estimate USD]]=""),"",tblsales[[#This Row],[Contract Value USD]]-tblsales[[#This Row],[Cost Estimate USD]])</f>
        <v>9522400.9309199974</v>
      </c>
      <c r="BC281" s="21">
        <f>IF(OR(tblsales[[#This Row],[Contract Value USD]]="",tblsales[[#This Row],[Cost Estimate USD]]=""),"",tblsales[[#This Row],[Contract Value USD]]-tblsales[[#This Row],[Cost Estimate USD]])</f>
        <v>9522400.9309199974</v>
      </c>
      <c r="BD281" s="23">
        <f>IF(tblsales[[#This Row],[Invoice Value USD]]="","",tblsales[[#This Row],[Collected Amount USD]]/tblsales[[#This Row],[Invoice Value USD]])</f>
        <v>0.84459624846849735</v>
      </c>
      <c r="BE281" s="11">
        <f>IF(tblsales[[#This Row],[SalesStage]]="Won",1,0)</f>
        <v>0</v>
      </c>
      <c r="BF281" s="21" t="str">
        <f>IF(tblsales[[#This Row],[Win Flag]]=1,"Won","Lost")</f>
        <v>Lost</v>
      </c>
      <c r="BG281" s="8"/>
    </row>
    <row r="282" spans="1:59" x14ac:dyDescent="0.3">
      <c r="A282" s="10" t="s">
        <v>1169</v>
      </c>
      <c r="B282" s="9">
        <v>45739</v>
      </c>
      <c r="C282" s="10" t="s">
        <v>266</v>
      </c>
      <c r="D282" s="10" t="s">
        <v>250</v>
      </c>
      <c r="E282" s="10" t="s">
        <v>113</v>
      </c>
      <c r="F282" s="10" t="s">
        <v>367</v>
      </c>
      <c r="G282" s="10" t="s">
        <v>70</v>
      </c>
      <c r="H282" s="10" t="s">
        <v>212</v>
      </c>
      <c r="I282" s="10" t="s">
        <v>198</v>
      </c>
      <c r="J282" s="10" t="s">
        <v>127</v>
      </c>
      <c r="K282" s="10" t="s">
        <v>333</v>
      </c>
      <c r="L282" s="10" t="s">
        <v>1170</v>
      </c>
      <c r="M282" s="9">
        <v>45903</v>
      </c>
      <c r="N282" s="9"/>
      <c r="O282" s="9">
        <v>45799</v>
      </c>
      <c r="P282" s="11">
        <v>33</v>
      </c>
      <c r="Q282" s="12">
        <v>8714375</v>
      </c>
      <c r="R282">
        <v>2393838.8125</v>
      </c>
      <c r="S282" s="22">
        <v>0.31</v>
      </c>
      <c r="T282" s="22">
        <v>-0.04</v>
      </c>
      <c r="U282" s="12">
        <v>5772402</v>
      </c>
      <c r="V282" s="24">
        <v>1585678.8293999999</v>
      </c>
      <c r="W282" s="8">
        <v>4795320.16</v>
      </c>
      <c r="X282" s="24">
        <v>1317274.447952</v>
      </c>
      <c r="Y282" s="22">
        <v>0.06</v>
      </c>
      <c r="Z282" s="22">
        <v>0.14000000000000001</v>
      </c>
      <c r="AA282" s="8" t="s">
        <v>1171</v>
      </c>
      <c r="AB282" s="8">
        <v>1912104.66</v>
      </c>
      <c r="AC282" s="24">
        <v>525255.15010199999</v>
      </c>
      <c r="AD282" s="8">
        <v>625504.56000000006</v>
      </c>
      <c r="AE282" s="24">
        <v>171826.10263200002</v>
      </c>
      <c r="AF282" s="8">
        <v>120</v>
      </c>
      <c r="AG282" s="8">
        <v>178</v>
      </c>
      <c r="AH282" s="8" t="s">
        <v>376</v>
      </c>
      <c r="AI282" s="8" t="s">
        <v>320</v>
      </c>
      <c r="AJ282" s="22">
        <v>0.74</v>
      </c>
      <c r="AK282" s="8" t="s">
        <v>155</v>
      </c>
      <c r="AL282" s="22">
        <v>0.15</v>
      </c>
      <c r="AM282" s="22">
        <v>0.09</v>
      </c>
      <c r="AN282" s="8">
        <v>13</v>
      </c>
      <c r="AO282" s="8">
        <v>3789</v>
      </c>
      <c r="AP282" s="8">
        <v>822021.1</v>
      </c>
      <c r="AQ282" s="24">
        <v>225809.19616999998</v>
      </c>
      <c r="AR282" s="8">
        <v>923392.86</v>
      </c>
      <c r="AS282" s="37">
        <v>253656.01864200001</v>
      </c>
      <c r="AT282" s="8" t="s">
        <v>385</v>
      </c>
      <c r="AU282" s="8" t="s">
        <v>386</v>
      </c>
      <c r="AV282" s="8">
        <v>53.9</v>
      </c>
      <c r="AW282" s="8">
        <v>48</v>
      </c>
      <c r="AX282" s="8" t="s">
        <v>392</v>
      </c>
      <c r="AY282" s="8" t="s">
        <v>224</v>
      </c>
      <c r="AZ282" s="8" t="s">
        <v>361</v>
      </c>
      <c r="BA282" s="21">
        <f>IF(OR(tblsales[[#This Row],[Invoice Value USD]]="",tblsales[[#This Row],[Collected Amount USD]]=""),"",tblsales[[#This Row],[Invoice Value USD]]-tblsales[[#This Row],[Collected Amount USD]])</f>
        <v>353429.04746999999</v>
      </c>
      <c r="BB282" s="21">
        <f>IF(OR(tblsales[[#This Row],[Contract Value USD]]="",tblsales[[#This Row],[Cost Estimate USD]]=""),"",tblsales[[#This Row],[Contract Value USD]]-tblsales[[#This Row],[Cost Estimate USD]])</f>
        <v>268404.38144799997</v>
      </c>
      <c r="BC282" s="21">
        <f>IF(OR(tblsales[[#This Row],[Contract Value USD]]="",tblsales[[#This Row],[Cost Estimate USD]]=""),"",tblsales[[#This Row],[Contract Value USD]]-tblsales[[#This Row],[Cost Estimate USD]])</f>
        <v>268404.38144799997</v>
      </c>
      <c r="BD282" s="23">
        <f>IF(tblsales[[#This Row],[Invoice Value USD]]="","",tblsales[[#This Row],[Collected Amount USD]]/tblsales[[#This Row],[Invoice Value USD]])</f>
        <v>0.32712882986227337</v>
      </c>
      <c r="BE282" s="11">
        <f>IF(tblsales[[#This Row],[SalesStage]]="Won",1,0)</f>
        <v>1</v>
      </c>
      <c r="BF282" s="21" t="str">
        <f>IF(tblsales[[#This Row],[Win Flag]]=1,"Won","Lost")</f>
        <v>Won</v>
      </c>
      <c r="BG282" s="8"/>
    </row>
    <row r="283" spans="1:59" x14ac:dyDescent="0.3">
      <c r="A283" s="10" t="s">
        <v>1172</v>
      </c>
      <c r="B283" s="9">
        <v>45910</v>
      </c>
      <c r="C283" s="10" t="s">
        <v>270</v>
      </c>
      <c r="D283" s="10" t="s">
        <v>242</v>
      </c>
      <c r="E283" s="10" t="s">
        <v>113</v>
      </c>
      <c r="F283" s="10" t="s">
        <v>181</v>
      </c>
      <c r="G283" s="10" t="s">
        <v>78</v>
      </c>
      <c r="H283" s="10" t="s">
        <v>197</v>
      </c>
      <c r="I283" s="10" t="s">
        <v>240</v>
      </c>
      <c r="J283" s="10" t="s">
        <v>123</v>
      </c>
      <c r="K283" s="10" t="s">
        <v>223</v>
      </c>
      <c r="L283" s="10" t="s">
        <v>1173</v>
      </c>
      <c r="M283" s="9">
        <v>45853</v>
      </c>
      <c r="N283" s="9"/>
      <c r="O283" s="9">
        <v>45990</v>
      </c>
      <c r="P283" s="11">
        <v>15</v>
      </c>
      <c r="Q283" s="12">
        <v>2762211</v>
      </c>
      <c r="R283">
        <v>2762211</v>
      </c>
      <c r="S283" s="22">
        <v>0.28000000000000003</v>
      </c>
      <c r="T283" s="22">
        <v>0.08</v>
      </c>
      <c r="U283" s="12">
        <v>2147895.27</v>
      </c>
      <c r="V283" s="24">
        <v>2147895.27</v>
      </c>
      <c r="W283" s="8">
        <v>1821287.45</v>
      </c>
      <c r="X283" s="24">
        <v>1821287.45</v>
      </c>
      <c r="Y283" s="22">
        <v>0.11</v>
      </c>
      <c r="Z283" s="22">
        <v>0.09</v>
      </c>
      <c r="AA283" s="8" t="s">
        <v>1174</v>
      </c>
      <c r="AB283" s="8">
        <v>1351731.33</v>
      </c>
      <c r="AC283" s="24">
        <v>1351731.33</v>
      </c>
      <c r="AD283" s="8">
        <v>406227.3</v>
      </c>
      <c r="AE283" s="24">
        <v>406227.3</v>
      </c>
      <c r="AF283" s="8">
        <v>45</v>
      </c>
      <c r="AG283" s="8">
        <v>175</v>
      </c>
      <c r="AH283" s="8" t="s">
        <v>347</v>
      </c>
      <c r="AI283" s="8" t="s">
        <v>381</v>
      </c>
      <c r="AJ283" s="22">
        <v>0.64</v>
      </c>
      <c r="AK283" s="8" t="s">
        <v>152</v>
      </c>
      <c r="AL283" s="22">
        <v>0.05</v>
      </c>
      <c r="AM283" s="22">
        <v>0.04</v>
      </c>
      <c r="AN283" s="8">
        <v>8</v>
      </c>
      <c r="AO283" s="8">
        <v>1603</v>
      </c>
      <c r="AP283" s="8">
        <v>488322.09</v>
      </c>
      <c r="AQ283" s="24">
        <v>488322.09</v>
      </c>
      <c r="AR283" s="8">
        <v>303370.96999999997</v>
      </c>
      <c r="AS283" s="37">
        <v>303370.96999999997</v>
      </c>
      <c r="AT283" s="8" t="s">
        <v>332</v>
      </c>
      <c r="AU283" s="8" t="s">
        <v>322</v>
      </c>
      <c r="AV283" s="8">
        <v>87</v>
      </c>
      <c r="AW283" s="8">
        <v>36</v>
      </c>
      <c r="AX283" s="8" t="s">
        <v>392</v>
      </c>
      <c r="AY283" s="8" t="s">
        <v>229</v>
      </c>
      <c r="AZ283" s="8" t="s">
        <v>324</v>
      </c>
      <c r="BA283" s="21">
        <f>IF(OR(tblsales[[#This Row],[Invoice Value USD]]="",tblsales[[#This Row],[Collected Amount USD]]=""),"",tblsales[[#This Row],[Invoice Value USD]]-tblsales[[#This Row],[Collected Amount USD]])</f>
        <v>945504.03</v>
      </c>
      <c r="BB283" s="21">
        <f>IF(OR(tblsales[[#This Row],[Contract Value USD]]="",tblsales[[#This Row],[Cost Estimate USD]]=""),"",tblsales[[#This Row],[Contract Value USD]]-tblsales[[#This Row],[Cost Estimate USD]])</f>
        <v>326607.82000000007</v>
      </c>
      <c r="BC283" s="21">
        <f>IF(OR(tblsales[[#This Row],[Contract Value USD]]="",tblsales[[#This Row],[Cost Estimate USD]]=""),"",tblsales[[#This Row],[Contract Value USD]]-tblsales[[#This Row],[Cost Estimate USD]])</f>
        <v>326607.82000000007</v>
      </c>
      <c r="BD283" s="23">
        <f>IF(tblsales[[#This Row],[Invoice Value USD]]="","",tblsales[[#This Row],[Collected Amount USD]]/tblsales[[#This Row],[Invoice Value USD]])</f>
        <v>0.30052369948397956</v>
      </c>
      <c r="BE283" s="11">
        <f>IF(tblsales[[#This Row],[SalesStage]]="Won",1,0)</f>
        <v>0</v>
      </c>
      <c r="BF283" s="21" t="str">
        <f>IF(tblsales[[#This Row],[Win Flag]]=1,"Won","Lost")</f>
        <v>Lost</v>
      </c>
      <c r="BG283" s="8"/>
    </row>
    <row r="284" spans="1:59" x14ac:dyDescent="0.3">
      <c r="A284" s="10" t="s">
        <v>1175</v>
      </c>
      <c r="B284" s="9">
        <v>45749</v>
      </c>
      <c r="C284" s="10" t="s">
        <v>276</v>
      </c>
      <c r="D284" s="10" t="s">
        <v>332</v>
      </c>
      <c r="E284" s="10" t="s">
        <v>41</v>
      </c>
      <c r="F284" s="10" t="s">
        <v>228</v>
      </c>
      <c r="G284" s="10" t="s">
        <v>57</v>
      </c>
      <c r="H284" s="10" t="s">
        <v>263</v>
      </c>
      <c r="I284" s="10" t="s">
        <v>198</v>
      </c>
      <c r="J284" s="10" t="s">
        <v>105</v>
      </c>
      <c r="K284" s="10" t="s">
        <v>223</v>
      </c>
      <c r="L284" s="10" t="s">
        <v>1176</v>
      </c>
      <c r="M284" s="9">
        <v>45677</v>
      </c>
      <c r="N284" s="9">
        <v>45763</v>
      </c>
      <c r="O284" s="9"/>
      <c r="P284" s="11">
        <v>10</v>
      </c>
      <c r="Q284" s="12">
        <v>23241873</v>
      </c>
      <c r="R284">
        <v>23241873</v>
      </c>
      <c r="S284" s="22">
        <v>0.14000000000000001</v>
      </c>
      <c r="T284" s="22">
        <v>0.19</v>
      </c>
      <c r="U284" s="12">
        <v>23785732.829999998</v>
      </c>
      <c r="V284" s="24">
        <v>23785732.829999998</v>
      </c>
      <c r="W284" s="8">
        <v>20649825.129999999</v>
      </c>
      <c r="X284" s="24">
        <v>20649825.129999999</v>
      </c>
      <c r="Y284" s="22">
        <v>0.08</v>
      </c>
      <c r="Z284" s="22">
        <v>0.17</v>
      </c>
      <c r="AA284" s="8" t="s">
        <v>1177</v>
      </c>
      <c r="AB284" s="8">
        <v>4663873.4400000004</v>
      </c>
      <c r="AC284" s="24">
        <v>4663873.4400000004</v>
      </c>
      <c r="AD284" s="8">
        <v>4929022.99</v>
      </c>
      <c r="AE284" s="24">
        <v>4929022.99</v>
      </c>
      <c r="AF284" s="8">
        <v>45</v>
      </c>
      <c r="AG284" s="8">
        <v>178</v>
      </c>
      <c r="AH284" s="8" t="s">
        <v>353</v>
      </c>
      <c r="AI284" s="8" t="s">
        <v>336</v>
      </c>
      <c r="AJ284" s="22">
        <v>0.26</v>
      </c>
      <c r="AK284" s="8" t="s">
        <v>152</v>
      </c>
      <c r="AL284" s="22">
        <v>0.15</v>
      </c>
      <c r="AM284" s="22">
        <v>0.06</v>
      </c>
      <c r="AN284" s="8">
        <v>11</v>
      </c>
      <c r="AO284" s="8">
        <v>4777</v>
      </c>
      <c r="AP284" s="8">
        <v>4816464.47</v>
      </c>
      <c r="AQ284" s="24">
        <v>4816464.47</v>
      </c>
      <c r="AR284" s="8">
        <v>5843904.1699999999</v>
      </c>
      <c r="AS284" s="37">
        <v>5843904.1699999999</v>
      </c>
      <c r="AT284" s="8" t="s">
        <v>332</v>
      </c>
      <c r="AU284" s="8" t="s">
        <v>330</v>
      </c>
      <c r="AV284" s="8">
        <v>58.2</v>
      </c>
      <c r="AW284" s="8">
        <v>12</v>
      </c>
      <c r="AX284" s="8" t="s">
        <v>337</v>
      </c>
      <c r="AY284" s="8" t="s">
        <v>192</v>
      </c>
      <c r="AZ284" s="8" t="s">
        <v>332</v>
      </c>
      <c r="BA284" s="21">
        <f>IF(OR(tblsales[[#This Row],[Invoice Value USD]]="",tblsales[[#This Row],[Collected Amount USD]]=""),"",tblsales[[#This Row],[Invoice Value USD]]-tblsales[[#This Row],[Collected Amount USD]])</f>
        <v>-265149.54999999981</v>
      </c>
      <c r="BB284" s="21">
        <f>IF(OR(tblsales[[#This Row],[Contract Value USD]]="",tblsales[[#This Row],[Cost Estimate USD]]=""),"",tblsales[[#This Row],[Contract Value USD]]-tblsales[[#This Row],[Cost Estimate USD]])</f>
        <v>3135907.6999999993</v>
      </c>
      <c r="BC284" s="21">
        <f>IF(OR(tblsales[[#This Row],[Contract Value USD]]="",tblsales[[#This Row],[Cost Estimate USD]]=""),"",tblsales[[#This Row],[Contract Value USD]]-tblsales[[#This Row],[Cost Estimate USD]])</f>
        <v>3135907.6999999993</v>
      </c>
      <c r="BD284" s="23">
        <f>IF(tblsales[[#This Row],[Invoice Value USD]]="","",tblsales[[#This Row],[Collected Amount USD]]/tblsales[[#This Row],[Invoice Value USD]])</f>
        <v>1.0568517892715372</v>
      </c>
      <c r="BE284" s="11">
        <f>IF(tblsales[[#This Row],[SalesStage]]="Won",1,0)</f>
        <v>0</v>
      </c>
      <c r="BF284" s="21" t="str">
        <f>IF(tblsales[[#This Row],[Win Flag]]=1,"Won","Lost")</f>
        <v>Lost</v>
      </c>
      <c r="BG284" s="8"/>
    </row>
    <row r="285" spans="1:59" x14ac:dyDescent="0.3">
      <c r="A285" s="10" t="s">
        <v>1178</v>
      </c>
      <c r="B285" s="9">
        <v>45768</v>
      </c>
      <c r="C285" s="10" t="s">
        <v>195</v>
      </c>
      <c r="D285" s="10" t="s">
        <v>238</v>
      </c>
      <c r="E285" s="10" t="s">
        <v>52</v>
      </c>
      <c r="F285" s="10" t="s">
        <v>75</v>
      </c>
      <c r="G285" s="10" t="s">
        <v>332</v>
      </c>
      <c r="H285" s="10" t="s">
        <v>263</v>
      </c>
      <c r="I285" s="10" t="s">
        <v>240</v>
      </c>
      <c r="J285" s="10" t="s">
        <v>133</v>
      </c>
      <c r="K285" s="10" t="s">
        <v>333</v>
      </c>
      <c r="L285" s="10" t="s">
        <v>1179</v>
      </c>
      <c r="M285" s="9">
        <v>45687</v>
      </c>
      <c r="N285" s="9">
        <v>45821</v>
      </c>
      <c r="O285" s="9">
        <v>45798</v>
      </c>
      <c r="P285" s="11">
        <v>18</v>
      </c>
      <c r="Q285" s="12">
        <v>49117830</v>
      </c>
      <c r="R285">
        <v>57025800.630000003</v>
      </c>
      <c r="S285" s="22">
        <v>7.0000000000000007E-2</v>
      </c>
      <c r="T285" s="22">
        <v>0.1</v>
      </c>
      <c r="U285" s="12">
        <v>50247540.090000004</v>
      </c>
      <c r="V285" s="24">
        <v>58337394.044490002</v>
      </c>
      <c r="W285" s="8">
        <v>38089390.390000001</v>
      </c>
      <c r="X285" s="24">
        <v>44221782.242789999</v>
      </c>
      <c r="Y285" s="22">
        <v>0.17</v>
      </c>
      <c r="Z285" s="22">
        <v>7.0000000000000007E-2</v>
      </c>
      <c r="AA285" s="8" t="s">
        <v>1180</v>
      </c>
      <c r="AB285" s="8">
        <v>11672375.880000001</v>
      </c>
      <c r="AC285" s="24">
        <v>13551628.396680001</v>
      </c>
      <c r="AD285" s="8">
        <v>7418810.0599999996</v>
      </c>
      <c r="AE285" s="24">
        <v>8613238.4796600007</v>
      </c>
      <c r="AF285" s="8">
        <v>120</v>
      </c>
      <c r="AG285" s="8">
        <v>25</v>
      </c>
      <c r="AH285" s="8" t="s">
        <v>329</v>
      </c>
      <c r="AI285" s="8" t="s">
        <v>320</v>
      </c>
      <c r="AJ285" s="22">
        <v>0.27</v>
      </c>
      <c r="AK285" s="8" t="s">
        <v>159</v>
      </c>
      <c r="AL285" s="22">
        <v>0.1</v>
      </c>
      <c r="AM285" s="22">
        <v>0.05</v>
      </c>
      <c r="AN285" s="8">
        <v>10</v>
      </c>
      <c r="AO285" s="8">
        <v>4790</v>
      </c>
      <c r="AP285" s="8">
        <v>10161458.880000001</v>
      </c>
      <c r="AQ285" s="24">
        <v>11797453.759680001</v>
      </c>
      <c r="AR285" s="8">
        <v>13912568.84</v>
      </c>
      <c r="AS285" s="37">
        <v>16152492.42324</v>
      </c>
      <c r="AT285" s="8" t="s">
        <v>321</v>
      </c>
      <c r="AU285" s="8" t="s">
        <v>322</v>
      </c>
      <c r="AV285" s="8">
        <v>77.900000000000006</v>
      </c>
      <c r="AW285" s="8">
        <v>24</v>
      </c>
      <c r="AX285" s="8" t="s">
        <v>332</v>
      </c>
      <c r="AY285" s="8" t="s">
        <v>186</v>
      </c>
      <c r="AZ285" s="8" t="s">
        <v>361</v>
      </c>
      <c r="BA285" s="21">
        <f>IF(OR(tblsales[[#This Row],[Invoice Value USD]]="",tblsales[[#This Row],[Collected Amount USD]]=""),"",tblsales[[#This Row],[Invoice Value USD]]-tblsales[[#This Row],[Collected Amount USD]])</f>
        <v>4938389.9170200005</v>
      </c>
      <c r="BB285" s="21">
        <f>IF(OR(tblsales[[#This Row],[Contract Value USD]]="",tblsales[[#This Row],[Cost Estimate USD]]=""),"",tblsales[[#This Row],[Contract Value USD]]-tblsales[[#This Row],[Cost Estimate USD]])</f>
        <v>14115611.801700003</v>
      </c>
      <c r="BC285" s="21">
        <f>IF(OR(tblsales[[#This Row],[Contract Value USD]]="",tblsales[[#This Row],[Cost Estimate USD]]=""),"",tblsales[[#This Row],[Contract Value USD]]-tblsales[[#This Row],[Cost Estimate USD]])</f>
        <v>14115611.801700003</v>
      </c>
      <c r="BD285" s="23">
        <f>IF(tblsales[[#This Row],[Invoice Value USD]]="","",tblsales[[#This Row],[Collected Amount USD]]/tblsales[[#This Row],[Invoice Value USD]])</f>
        <v>0.63558697357508331</v>
      </c>
      <c r="BE285" s="11">
        <f>IF(tblsales[[#This Row],[SalesStage]]="Won",1,0)</f>
        <v>1</v>
      </c>
      <c r="BF285" s="21" t="str">
        <f>IF(tblsales[[#This Row],[Win Flag]]=1,"Won","Lost")</f>
        <v>Won</v>
      </c>
      <c r="BG285" s="8"/>
    </row>
    <row r="286" spans="1:59" x14ac:dyDescent="0.3">
      <c r="A286" s="10" t="s">
        <v>1181</v>
      </c>
      <c r="B286" s="9">
        <v>46033</v>
      </c>
      <c r="C286" s="10" t="s">
        <v>251</v>
      </c>
      <c r="D286" s="10" t="s">
        <v>232</v>
      </c>
      <c r="E286" s="10" t="s">
        <v>41</v>
      </c>
      <c r="F286" s="10" t="s">
        <v>363</v>
      </c>
      <c r="G286" s="10" t="s">
        <v>50</v>
      </c>
      <c r="H286" s="10" t="s">
        <v>197</v>
      </c>
      <c r="I286" s="10" t="s">
        <v>198</v>
      </c>
      <c r="J286" s="10" t="s">
        <v>105</v>
      </c>
      <c r="K286" s="10" t="s">
        <v>210</v>
      </c>
      <c r="L286" s="10" t="s">
        <v>1182</v>
      </c>
      <c r="M286" s="9">
        <v>45982</v>
      </c>
      <c r="N286" s="9"/>
      <c r="O286" s="9"/>
      <c r="P286" s="11">
        <v>5</v>
      </c>
      <c r="Q286" s="12">
        <v>39681568</v>
      </c>
      <c r="R286">
        <v>46070300.447999999</v>
      </c>
      <c r="S286" s="22">
        <v>0.15</v>
      </c>
      <c r="T286" s="22">
        <v>0.04</v>
      </c>
      <c r="U286" s="12">
        <v>35078506.109999999</v>
      </c>
      <c r="V286" s="24">
        <v>40726145.593709998</v>
      </c>
      <c r="W286" s="8">
        <v>27712909.239999998</v>
      </c>
      <c r="X286" s="24">
        <v>32174687.627639998</v>
      </c>
      <c r="Y286" s="22">
        <v>0.31</v>
      </c>
      <c r="Z286" s="22">
        <v>0.15</v>
      </c>
      <c r="AA286" s="8" t="s">
        <v>1183</v>
      </c>
      <c r="AB286" s="8">
        <v>27598878.800000001</v>
      </c>
      <c r="AC286" s="24">
        <v>32042298.286800001</v>
      </c>
      <c r="AD286" s="8">
        <v>25669337.120000001</v>
      </c>
      <c r="AE286" s="24">
        <v>29802100.39632</v>
      </c>
      <c r="AF286" s="8">
        <v>120</v>
      </c>
      <c r="AG286" s="8">
        <v>74</v>
      </c>
      <c r="AH286" s="8" t="s">
        <v>332</v>
      </c>
      <c r="AI286" s="8" t="s">
        <v>336</v>
      </c>
      <c r="AJ286" s="22">
        <v>0.22</v>
      </c>
      <c r="AK286" s="8" t="s">
        <v>159</v>
      </c>
      <c r="AL286" s="22">
        <v>0.05</v>
      </c>
      <c r="AM286" s="22">
        <v>0.04</v>
      </c>
      <c r="AN286" s="8">
        <v>3</v>
      </c>
      <c r="AO286" s="8">
        <v>4029</v>
      </c>
      <c r="AP286" s="8">
        <v>8471877.1400000006</v>
      </c>
      <c r="AQ286" s="24">
        <v>9835849.3595400006</v>
      </c>
      <c r="AR286" s="8">
        <v>16650407.539999999</v>
      </c>
      <c r="AS286" s="37">
        <v>19331123.15394</v>
      </c>
      <c r="AT286" s="8" t="s">
        <v>391</v>
      </c>
      <c r="AU286" s="8" t="s">
        <v>386</v>
      </c>
      <c r="AV286" s="8">
        <v>92.6</v>
      </c>
      <c r="AW286" s="8">
        <v>48</v>
      </c>
      <c r="AX286" s="8" t="s">
        <v>387</v>
      </c>
      <c r="AY286" s="8" t="s">
        <v>186</v>
      </c>
      <c r="AZ286" s="8" t="s">
        <v>357</v>
      </c>
      <c r="BA286" s="21">
        <f>IF(OR(tblsales[[#This Row],[Invoice Value USD]]="",tblsales[[#This Row],[Collected Amount USD]]=""),"",tblsales[[#This Row],[Invoice Value USD]]-tblsales[[#This Row],[Collected Amount USD]])</f>
        <v>2240197.8904800005</v>
      </c>
      <c r="BB286" s="21">
        <f>IF(OR(tblsales[[#This Row],[Contract Value USD]]="",tblsales[[#This Row],[Cost Estimate USD]]=""),"",tblsales[[#This Row],[Contract Value USD]]-tblsales[[#This Row],[Cost Estimate USD]])</f>
        <v>8551457.9660700001</v>
      </c>
      <c r="BC286" s="21">
        <f>IF(OR(tblsales[[#This Row],[Contract Value USD]]="",tblsales[[#This Row],[Cost Estimate USD]]=""),"",tblsales[[#This Row],[Contract Value USD]]-tblsales[[#This Row],[Cost Estimate USD]])</f>
        <v>8551457.9660700001</v>
      </c>
      <c r="BD286" s="23">
        <f>IF(tblsales[[#This Row],[Invoice Value USD]]="","",tblsales[[#This Row],[Collected Amount USD]]/tblsales[[#This Row],[Invoice Value USD]])</f>
        <v>0.93008622944494401</v>
      </c>
      <c r="BE286" s="11">
        <f>IF(tblsales[[#This Row],[SalesStage]]="Won",1,0)</f>
        <v>0</v>
      </c>
      <c r="BF286" s="21" t="str">
        <f>IF(tblsales[[#This Row],[Win Flag]]=1,"Won","Lost")</f>
        <v>Lost</v>
      </c>
      <c r="BG286" s="8"/>
    </row>
    <row r="287" spans="1:59" x14ac:dyDescent="0.3">
      <c r="A287" s="10" t="s">
        <v>1184</v>
      </c>
      <c r="B287" s="9">
        <v>45921</v>
      </c>
      <c r="C287" s="10" t="s">
        <v>273</v>
      </c>
      <c r="D287" s="10" t="s">
        <v>232</v>
      </c>
      <c r="E287" s="10" t="s">
        <v>52</v>
      </c>
      <c r="F287" s="10" t="s">
        <v>332</v>
      </c>
      <c r="G287" s="10" t="s">
        <v>78</v>
      </c>
      <c r="H287" s="10" t="s">
        <v>263</v>
      </c>
      <c r="I287" s="10" t="s">
        <v>191</v>
      </c>
      <c r="J287" s="10" t="s">
        <v>133</v>
      </c>
      <c r="K287" s="10" t="s">
        <v>199</v>
      </c>
      <c r="L287" s="10" t="s">
        <v>1185</v>
      </c>
      <c r="M287" s="9">
        <v>45968</v>
      </c>
      <c r="N287" s="9"/>
      <c r="O287" s="9">
        <v>45759</v>
      </c>
      <c r="P287" s="11">
        <v>52</v>
      </c>
      <c r="Q287" s="12">
        <v>49776569</v>
      </c>
      <c r="R287">
        <v>13275410.952299999</v>
      </c>
      <c r="S287" s="22">
        <v>0.25</v>
      </c>
      <c r="T287" s="22">
        <v>0.18</v>
      </c>
      <c r="U287" s="12">
        <v>44052263.560000002</v>
      </c>
      <c r="V287" s="24">
        <v>11748738.691452</v>
      </c>
      <c r="W287" s="8">
        <v>33286083.739999998</v>
      </c>
      <c r="X287" s="24">
        <v>8877398.533458</v>
      </c>
      <c r="Y287" s="22">
        <v>0.21</v>
      </c>
      <c r="Z287" s="22">
        <v>0.17</v>
      </c>
      <c r="AA287" s="8" t="s">
        <v>1186</v>
      </c>
      <c r="AB287" s="8">
        <v>12983359.529999999</v>
      </c>
      <c r="AC287" s="24">
        <v>3462661.9866509996</v>
      </c>
      <c r="AD287" s="8"/>
      <c r="AE287" s="24"/>
      <c r="AF287" s="8">
        <v>30</v>
      </c>
      <c r="AG287" s="8">
        <v>135</v>
      </c>
      <c r="AH287" s="8" t="s">
        <v>376</v>
      </c>
      <c r="AI287" s="8" t="s">
        <v>381</v>
      </c>
      <c r="AJ287" s="22">
        <v>0.26</v>
      </c>
      <c r="AK287" s="8" t="s">
        <v>162</v>
      </c>
      <c r="AL287" s="22">
        <v>0.05</v>
      </c>
      <c r="AM287" s="22">
        <v>7.0000000000000007E-2</v>
      </c>
      <c r="AN287" s="8">
        <v>3</v>
      </c>
      <c r="AO287" s="8">
        <v>3973</v>
      </c>
      <c r="AP287" s="8">
        <v>2449025.4700000002</v>
      </c>
      <c r="AQ287" s="24">
        <v>653155.09284900001</v>
      </c>
      <c r="AR287" s="8">
        <v>4981320.29</v>
      </c>
      <c r="AS287" s="37">
        <v>1328518.1213429999</v>
      </c>
      <c r="AT287" s="8" t="s">
        <v>73</v>
      </c>
      <c r="AU287" s="8" t="s">
        <v>386</v>
      </c>
      <c r="AV287" s="8">
        <v>66</v>
      </c>
      <c r="AW287" s="8">
        <v>12</v>
      </c>
      <c r="AX287" s="8" t="s">
        <v>332</v>
      </c>
      <c r="AY287" s="8" t="s">
        <v>206</v>
      </c>
      <c r="AZ287" s="8" t="s">
        <v>377</v>
      </c>
      <c r="BA287" s="21" t="str">
        <f>IF(OR(tblsales[[#This Row],[Invoice Value USD]]="",tblsales[[#This Row],[Collected Amount USD]]=""),"",tblsales[[#This Row],[Invoice Value USD]]-tblsales[[#This Row],[Collected Amount USD]])</f>
        <v/>
      </c>
      <c r="BB287" s="21">
        <f>IF(OR(tblsales[[#This Row],[Contract Value USD]]="",tblsales[[#This Row],[Cost Estimate USD]]=""),"",tblsales[[#This Row],[Contract Value USD]]-tblsales[[#This Row],[Cost Estimate USD]])</f>
        <v>2871340.1579940002</v>
      </c>
      <c r="BC287" s="21">
        <f>IF(OR(tblsales[[#This Row],[Contract Value USD]]="",tblsales[[#This Row],[Cost Estimate USD]]=""),"",tblsales[[#This Row],[Contract Value USD]]-tblsales[[#This Row],[Cost Estimate USD]])</f>
        <v>2871340.1579940002</v>
      </c>
      <c r="BD287" s="23">
        <f>IF(tblsales[[#This Row],[Invoice Value USD]]="","",tblsales[[#This Row],[Collected Amount USD]]/tblsales[[#This Row],[Invoice Value USD]])</f>
        <v>0</v>
      </c>
      <c r="BE287" s="11">
        <f>IF(tblsales[[#This Row],[SalesStage]]="Won",1,0)</f>
        <v>0</v>
      </c>
      <c r="BF287" s="21" t="str">
        <f>IF(tblsales[[#This Row],[Win Flag]]=1,"Won","Lost")</f>
        <v>Lost</v>
      </c>
      <c r="BG287" s="8"/>
    </row>
    <row r="288" spans="1:59" x14ac:dyDescent="0.3">
      <c r="A288" s="10" t="s">
        <v>1187</v>
      </c>
      <c r="B288" s="9">
        <v>45781</v>
      </c>
      <c r="C288" s="10" t="s">
        <v>227</v>
      </c>
      <c r="D288" s="10" t="s">
        <v>215</v>
      </c>
      <c r="E288" s="10" t="s">
        <v>113</v>
      </c>
      <c r="F288" s="10" t="s">
        <v>181</v>
      </c>
      <c r="G288" s="10" t="s">
        <v>70</v>
      </c>
      <c r="H288" s="10" t="s">
        <v>332</v>
      </c>
      <c r="I288" s="10" t="s">
        <v>183</v>
      </c>
      <c r="J288" s="10" t="s">
        <v>111</v>
      </c>
      <c r="K288" s="10" t="s">
        <v>204</v>
      </c>
      <c r="L288" s="10" t="s">
        <v>1188</v>
      </c>
      <c r="M288" s="9">
        <v>45995</v>
      </c>
      <c r="N288" s="9">
        <v>45823</v>
      </c>
      <c r="O288" s="9">
        <v>45723</v>
      </c>
      <c r="P288" s="11">
        <v>13</v>
      </c>
      <c r="Q288" s="12">
        <v>49159691</v>
      </c>
      <c r="R288">
        <v>13386183.859299999</v>
      </c>
      <c r="S288" s="22">
        <v>0.04</v>
      </c>
      <c r="T288" s="22">
        <v>-0.04</v>
      </c>
      <c r="U288" s="12">
        <v>45305571.229999997</v>
      </c>
      <c r="V288" s="24">
        <v>12336707.045928998</v>
      </c>
      <c r="W288" s="8">
        <v>32126528.91</v>
      </c>
      <c r="X288" s="24">
        <v>8748053.8221930005</v>
      </c>
      <c r="Y288" s="22">
        <v>0.33</v>
      </c>
      <c r="Z288" s="22">
        <v>0.18</v>
      </c>
      <c r="AA288" s="8" t="s">
        <v>1189</v>
      </c>
      <c r="AB288" s="8">
        <v>35731407.82</v>
      </c>
      <c r="AC288" s="24">
        <v>9729662.3493859991</v>
      </c>
      <c r="AD288" s="8">
        <v>31251806.609999999</v>
      </c>
      <c r="AE288" s="24">
        <v>8509866.9399029985</v>
      </c>
      <c r="AF288" s="8">
        <v>30</v>
      </c>
      <c r="AG288" s="8">
        <v>166</v>
      </c>
      <c r="AH288" s="8" t="s">
        <v>376</v>
      </c>
      <c r="AI288" s="8" t="s">
        <v>320</v>
      </c>
      <c r="AJ288" s="22">
        <v>0.49</v>
      </c>
      <c r="AK288" s="8" t="s">
        <v>153</v>
      </c>
      <c r="AL288" s="22">
        <v>0.05</v>
      </c>
      <c r="AM288" s="22">
        <v>0.05</v>
      </c>
      <c r="AN288" s="8">
        <v>6</v>
      </c>
      <c r="AO288" s="8">
        <v>3803</v>
      </c>
      <c r="AP288" s="8">
        <v>10102075.859999999</v>
      </c>
      <c r="AQ288" s="24">
        <v>2750795.2566779996</v>
      </c>
      <c r="AR288" s="8">
        <v>19177700.280000001</v>
      </c>
      <c r="AS288" s="37">
        <v>5222087.7862440003</v>
      </c>
      <c r="AT288" s="8" t="s">
        <v>391</v>
      </c>
      <c r="AU288" s="8" t="s">
        <v>348</v>
      </c>
      <c r="AV288" s="8">
        <v>77.8</v>
      </c>
      <c r="AW288" s="8">
        <v>12</v>
      </c>
      <c r="AX288" s="8" t="s">
        <v>332</v>
      </c>
      <c r="AY288" s="8" t="s">
        <v>192</v>
      </c>
      <c r="AZ288" s="8" t="s">
        <v>332</v>
      </c>
      <c r="BA288" s="21">
        <f>IF(OR(tblsales[[#This Row],[Invoice Value USD]]="",tblsales[[#This Row],[Collected Amount USD]]=""),"",tblsales[[#This Row],[Invoice Value USD]]-tblsales[[#This Row],[Collected Amount USD]])</f>
        <v>1219795.4094830006</v>
      </c>
      <c r="BB288" s="21">
        <f>IF(OR(tblsales[[#This Row],[Contract Value USD]]="",tblsales[[#This Row],[Cost Estimate USD]]=""),"",tblsales[[#This Row],[Contract Value USD]]-tblsales[[#This Row],[Cost Estimate USD]])</f>
        <v>3588653.2237359975</v>
      </c>
      <c r="BC288" s="21">
        <f>IF(OR(tblsales[[#This Row],[Contract Value USD]]="",tblsales[[#This Row],[Cost Estimate USD]]=""),"",tblsales[[#This Row],[Contract Value USD]]-tblsales[[#This Row],[Cost Estimate USD]])</f>
        <v>3588653.2237359975</v>
      </c>
      <c r="BD288" s="23">
        <f>IF(tblsales[[#This Row],[Invoice Value USD]]="","",tblsales[[#This Row],[Collected Amount USD]]/tblsales[[#This Row],[Invoice Value USD]])</f>
        <v>0.8746312702660255</v>
      </c>
      <c r="BE288" s="11">
        <f>IF(tblsales[[#This Row],[SalesStage]]="Won",1,0)</f>
        <v>1</v>
      </c>
      <c r="BF288" s="21" t="str">
        <f>IF(tblsales[[#This Row],[Win Flag]]=1,"Won","Lost")</f>
        <v>Won</v>
      </c>
      <c r="BG288" s="8"/>
    </row>
    <row r="289" spans="1:61" x14ac:dyDescent="0.3">
      <c r="A289" s="10" t="s">
        <v>1190</v>
      </c>
      <c r="B289" s="9">
        <v>45750</v>
      </c>
      <c r="C289" s="10" t="s">
        <v>219</v>
      </c>
      <c r="D289" s="10" t="s">
        <v>215</v>
      </c>
      <c r="E289" s="10" t="s">
        <v>36</v>
      </c>
      <c r="F289" s="10" t="s">
        <v>19</v>
      </c>
      <c r="G289" s="10" t="s">
        <v>66</v>
      </c>
      <c r="H289" s="10" t="s">
        <v>332</v>
      </c>
      <c r="I289" s="10" t="s">
        <v>198</v>
      </c>
      <c r="J289" s="10" t="s">
        <v>115</v>
      </c>
      <c r="K289" s="10" t="s">
        <v>210</v>
      </c>
      <c r="L289" s="10" t="s">
        <v>1191</v>
      </c>
      <c r="M289" s="9">
        <v>45723</v>
      </c>
      <c r="N289" s="9">
        <v>45800</v>
      </c>
      <c r="O289" s="9">
        <v>45802</v>
      </c>
      <c r="P289" s="11">
        <v>19</v>
      </c>
      <c r="Q289" s="12">
        <v>30186033</v>
      </c>
      <c r="R289">
        <v>35045984.313000001</v>
      </c>
      <c r="S289" s="22">
        <v>0.22</v>
      </c>
      <c r="T289" s="22">
        <v>0.16</v>
      </c>
      <c r="U289" s="12">
        <v>27312322.66</v>
      </c>
      <c r="V289" s="24">
        <v>31709606.608260002</v>
      </c>
      <c r="W289" s="8">
        <v>20393664.190000001</v>
      </c>
      <c r="X289" s="24">
        <v>23677044.124590002</v>
      </c>
      <c r="Y289" s="22">
        <v>0.28999999999999998</v>
      </c>
      <c r="Z289" s="22">
        <v>0.12</v>
      </c>
      <c r="AA289" s="8"/>
      <c r="AB289" s="8">
        <v>14883192.6</v>
      </c>
      <c r="AC289" s="24">
        <v>17279386.608600002</v>
      </c>
      <c r="AD289" s="8">
        <v>4496963.57</v>
      </c>
      <c r="AE289" s="24">
        <v>5220974.7047700007</v>
      </c>
      <c r="AF289" s="8">
        <v>120</v>
      </c>
      <c r="AG289" s="8">
        <v>45</v>
      </c>
      <c r="AH289" s="8" t="s">
        <v>329</v>
      </c>
      <c r="AI289" s="8" t="s">
        <v>381</v>
      </c>
      <c r="AJ289" s="22">
        <v>0.46</v>
      </c>
      <c r="AK289" s="8" t="s">
        <v>159</v>
      </c>
      <c r="AL289" s="22">
        <v>0.05</v>
      </c>
      <c r="AM289" s="22">
        <v>0.01</v>
      </c>
      <c r="AN289" s="8">
        <v>7</v>
      </c>
      <c r="AO289" s="8">
        <v>3059</v>
      </c>
      <c r="AP289" s="8">
        <v>2791149.54</v>
      </c>
      <c r="AQ289" s="24">
        <v>3240524.6159399999</v>
      </c>
      <c r="AR289" s="8">
        <v>8575955.3499999996</v>
      </c>
      <c r="AS289" s="37">
        <v>9956684.1613500006</v>
      </c>
      <c r="AT289" s="8" t="s">
        <v>343</v>
      </c>
      <c r="AU289" s="8" t="s">
        <v>348</v>
      </c>
      <c r="AV289" s="8">
        <v>78.400000000000006</v>
      </c>
      <c r="AW289" s="8">
        <v>12</v>
      </c>
      <c r="AX289" s="8" t="s">
        <v>337</v>
      </c>
      <c r="AY289" s="8" t="s">
        <v>192</v>
      </c>
      <c r="AZ289" s="8" t="s">
        <v>357</v>
      </c>
      <c r="BA289" s="21">
        <f>IF(OR(tblsales[[#This Row],[Invoice Value USD]]="",tblsales[[#This Row],[Collected Amount USD]]=""),"",tblsales[[#This Row],[Invoice Value USD]]-tblsales[[#This Row],[Collected Amount USD]])</f>
        <v>12058411.903830001</v>
      </c>
      <c r="BB289" s="21">
        <f>IF(OR(tblsales[[#This Row],[Contract Value USD]]="",tblsales[[#This Row],[Cost Estimate USD]]=""),"",tblsales[[#This Row],[Contract Value USD]]-tblsales[[#This Row],[Cost Estimate USD]])</f>
        <v>8032562.48367</v>
      </c>
      <c r="BC289" s="21">
        <f>IF(OR(tblsales[[#This Row],[Contract Value USD]]="",tblsales[[#This Row],[Cost Estimate USD]]=""),"",tblsales[[#This Row],[Contract Value USD]]-tblsales[[#This Row],[Cost Estimate USD]])</f>
        <v>8032562.48367</v>
      </c>
      <c r="BD289" s="23">
        <f>IF(tblsales[[#This Row],[Invoice Value USD]]="","",tblsales[[#This Row],[Collected Amount USD]]/tblsales[[#This Row],[Invoice Value USD]])</f>
        <v>0.3021504653510968</v>
      </c>
      <c r="BE289" s="11">
        <f>IF(tblsales[[#This Row],[SalesStage]]="Won",1,0)</f>
        <v>0</v>
      </c>
      <c r="BF289" s="21" t="str">
        <f>IF(tblsales[[#This Row],[Win Flag]]=1,"Won","Lost")</f>
        <v>Lost</v>
      </c>
      <c r="BG289" s="8"/>
    </row>
    <row r="290" spans="1:61" x14ac:dyDescent="0.3">
      <c r="A290" s="10" t="s">
        <v>1192</v>
      </c>
      <c r="B290" s="9">
        <v>46075</v>
      </c>
      <c r="C290" s="10" t="s">
        <v>261</v>
      </c>
      <c r="D290" s="10" t="s">
        <v>220</v>
      </c>
      <c r="E290" s="10" t="s">
        <v>36</v>
      </c>
      <c r="F290" s="10" t="s">
        <v>339</v>
      </c>
      <c r="G290" s="10" t="s">
        <v>66</v>
      </c>
      <c r="H290" s="10" t="s">
        <v>263</v>
      </c>
      <c r="I290" s="10" t="s">
        <v>191</v>
      </c>
      <c r="J290" s="10" t="s">
        <v>115</v>
      </c>
      <c r="K290" s="10" t="s">
        <v>184</v>
      </c>
      <c r="L290" s="10" t="s">
        <v>1193</v>
      </c>
      <c r="M290" s="9">
        <v>45669</v>
      </c>
      <c r="N290" s="9">
        <v>46080</v>
      </c>
      <c r="O290" s="9">
        <v>46168</v>
      </c>
      <c r="P290" s="11">
        <v>10</v>
      </c>
      <c r="Q290" s="12">
        <v>38630958</v>
      </c>
      <c r="R290">
        <v>38630958</v>
      </c>
      <c r="S290" s="22">
        <v>0.3</v>
      </c>
      <c r="T290" s="22">
        <v>0.09</v>
      </c>
      <c r="U290" s="12">
        <v>29475420.949999999</v>
      </c>
      <c r="V290" s="24">
        <v>29475420.949999999</v>
      </c>
      <c r="W290" s="8">
        <v>18113381.260000002</v>
      </c>
      <c r="X290" s="24">
        <v>18113381.260000002</v>
      </c>
      <c r="Y290" s="22">
        <v>0.1</v>
      </c>
      <c r="Z290" s="22">
        <v>0.08</v>
      </c>
      <c r="AA290" s="8" t="s">
        <v>1194</v>
      </c>
      <c r="AB290" s="8">
        <v>4216715.79</v>
      </c>
      <c r="AC290" s="24">
        <v>4216715.79</v>
      </c>
      <c r="AD290" s="8">
        <v>1489035.14</v>
      </c>
      <c r="AE290" s="24">
        <v>1489035.14</v>
      </c>
      <c r="AF290" s="8">
        <v>45</v>
      </c>
      <c r="AG290" s="8">
        <v>54</v>
      </c>
      <c r="AH290" s="8" t="s">
        <v>347</v>
      </c>
      <c r="AI290" s="8" t="s">
        <v>455</v>
      </c>
      <c r="AJ290" s="22">
        <v>0.87</v>
      </c>
      <c r="AK290" s="8" t="s">
        <v>152</v>
      </c>
      <c r="AL290" s="22">
        <v>0.15</v>
      </c>
      <c r="AM290" s="22">
        <v>0.09</v>
      </c>
      <c r="AN290" s="8">
        <v>2</v>
      </c>
      <c r="AO290" s="8">
        <v>1153</v>
      </c>
      <c r="AP290" s="8"/>
      <c r="AQ290" s="24"/>
      <c r="AR290" s="8">
        <v>11743256.18</v>
      </c>
      <c r="AS290" s="37">
        <v>11743256.18</v>
      </c>
      <c r="AT290" s="8" t="s">
        <v>391</v>
      </c>
      <c r="AU290" s="8" t="s">
        <v>321</v>
      </c>
      <c r="AV290" s="8">
        <v>96.2</v>
      </c>
      <c r="AW290" s="8"/>
      <c r="AX290" s="8" t="s">
        <v>392</v>
      </c>
      <c r="AY290" s="8" t="s">
        <v>206</v>
      </c>
      <c r="AZ290" s="8" t="s">
        <v>357</v>
      </c>
      <c r="BA290" s="21">
        <f>IF(OR(tblsales[[#This Row],[Invoice Value USD]]="",tblsales[[#This Row],[Collected Amount USD]]=""),"",tblsales[[#This Row],[Invoice Value USD]]-tblsales[[#This Row],[Collected Amount USD]])</f>
        <v>2727680.6500000004</v>
      </c>
      <c r="BB290" s="21">
        <f>IF(OR(tblsales[[#This Row],[Contract Value USD]]="",tblsales[[#This Row],[Cost Estimate USD]]=""),"",tblsales[[#This Row],[Contract Value USD]]-tblsales[[#This Row],[Cost Estimate USD]])</f>
        <v>11362039.689999998</v>
      </c>
      <c r="BC290" s="21">
        <f>IF(OR(tblsales[[#This Row],[Contract Value USD]]="",tblsales[[#This Row],[Cost Estimate USD]]=""),"",tblsales[[#This Row],[Contract Value USD]]-tblsales[[#This Row],[Cost Estimate USD]])</f>
        <v>11362039.689999998</v>
      </c>
      <c r="BD290" s="23">
        <f>IF(tblsales[[#This Row],[Invoice Value USD]]="","",tblsales[[#This Row],[Collected Amount USD]]/tblsales[[#This Row],[Invoice Value USD]])</f>
        <v>0.35312674938426425</v>
      </c>
      <c r="BE290" s="11">
        <f>IF(tblsales[[#This Row],[SalesStage]]="Won",1,0)</f>
        <v>0</v>
      </c>
      <c r="BF290" s="21" t="str">
        <f>IF(tblsales[[#This Row],[Win Flag]]=1,"Won","Lost")</f>
        <v>Lost</v>
      </c>
      <c r="BG290" s="8"/>
    </row>
    <row r="291" spans="1:61" x14ac:dyDescent="0.3">
      <c r="A291" s="10" t="s">
        <v>1195</v>
      </c>
      <c r="B291" s="9">
        <v>46143</v>
      </c>
      <c r="C291" s="10" t="s">
        <v>276</v>
      </c>
      <c r="D291" s="10" t="s">
        <v>242</v>
      </c>
      <c r="E291" s="10" t="s">
        <v>20</v>
      </c>
      <c r="F291" s="10" t="s">
        <v>196</v>
      </c>
      <c r="G291" s="10" t="s">
        <v>33</v>
      </c>
      <c r="H291" s="10" t="s">
        <v>182</v>
      </c>
      <c r="I291" s="10" t="s">
        <v>233</v>
      </c>
      <c r="J291" s="10" t="s">
        <v>136</v>
      </c>
      <c r="K291" s="10" t="s">
        <v>199</v>
      </c>
      <c r="L291" s="10" t="s">
        <v>1196</v>
      </c>
      <c r="M291" s="9">
        <v>45759</v>
      </c>
      <c r="N291" s="9"/>
      <c r="O291" s="9"/>
      <c r="P291" s="11">
        <v>28</v>
      </c>
      <c r="Q291" s="12">
        <v>2341937</v>
      </c>
      <c r="R291">
        <v>637709.44510000001</v>
      </c>
      <c r="S291" s="22">
        <v>0.16</v>
      </c>
      <c r="T291" s="22">
        <v>0.13</v>
      </c>
      <c r="U291" s="12">
        <v>2222966.6</v>
      </c>
      <c r="V291" s="24">
        <v>605313.80518000002</v>
      </c>
      <c r="W291" s="8">
        <v>1427552.17</v>
      </c>
      <c r="X291" s="24">
        <v>388722.45589099993</v>
      </c>
      <c r="Y291" s="22">
        <v>0.05</v>
      </c>
      <c r="Z291" s="22">
        <v>0.15</v>
      </c>
      <c r="AA291" s="8" t="s">
        <v>1197</v>
      </c>
      <c r="AB291" s="8">
        <v>1361478.17</v>
      </c>
      <c r="AC291" s="24">
        <v>370730.50569099997</v>
      </c>
      <c r="AD291" s="8">
        <v>1416515.28</v>
      </c>
      <c r="AE291" s="24">
        <v>385717.11074400001</v>
      </c>
      <c r="AF291" s="8">
        <v>90</v>
      </c>
      <c r="AG291" s="8">
        <v>64</v>
      </c>
      <c r="AH291" s="8" t="s">
        <v>332</v>
      </c>
      <c r="AI291" s="8" t="s">
        <v>320</v>
      </c>
      <c r="AJ291" s="22">
        <v>0.24</v>
      </c>
      <c r="AK291" s="8" t="s">
        <v>153</v>
      </c>
      <c r="AL291" s="22">
        <v>0.15</v>
      </c>
      <c r="AM291" s="22">
        <v>0.08</v>
      </c>
      <c r="AN291" s="8">
        <v>6</v>
      </c>
      <c r="AO291" s="8">
        <v>1596</v>
      </c>
      <c r="AP291" s="8">
        <v>231960.46</v>
      </c>
      <c r="AQ291" s="24">
        <v>63162.833257999991</v>
      </c>
      <c r="AR291" s="8">
        <v>863910.8</v>
      </c>
      <c r="AS291" s="37">
        <v>235242.91084</v>
      </c>
      <c r="AT291" s="8" t="s">
        <v>332</v>
      </c>
      <c r="AU291" s="8" t="s">
        <v>322</v>
      </c>
      <c r="AV291" s="8">
        <v>64.3</v>
      </c>
      <c r="AW291" s="8">
        <v>12</v>
      </c>
      <c r="AX291" s="8" t="s">
        <v>392</v>
      </c>
      <c r="AY291" s="8" t="s">
        <v>186</v>
      </c>
      <c r="AZ291" s="8" t="s">
        <v>188</v>
      </c>
      <c r="BA291" s="21">
        <f>IF(OR(tblsales[[#This Row],[Invoice Value USD]]="",tblsales[[#This Row],[Collected Amount USD]]=""),"",tblsales[[#This Row],[Invoice Value USD]]-tblsales[[#This Row],[Collected Amount USD]])</f>
        <v>-14986.605053000036</v>
      </c>
      <c r="BB291" s="21">
        <f>IF(OR(tblsales[[#This Row],[Contract Value USD]]="",tblsales[[#This Row],[Cost Estimate USD]]=""),"",tblsales[[#This Row],[Contract Value USD]]-tblsales[[#This Row],[Cost Estimate USD]])</f>
        <v>216591.34928900009</v>
      </c>
      <c r="BC291" s="21">
        <f>IF(OR(tblsales[[#This Row],[Contract Value USD]]="",tblsales[[#This Row],[Cost Estimate USD]]=""),"",tblsales[[#This Row],[Contract Value USD]]-tblsales[[#This Row],[Cost Estimate USD]])</f>
        <v>216591.34928900009</v>
      </c>
      <c r="BD291" s="23">
        <f>IF(tblsales[[#This Row],[Invoice Value USD]]="","",tblsales[[#This Row],[Collected Amount USD]]/tblsales[[#This Row],[Invoice Value USD]])</f>
        <v>1.0404245262338654</v>
      </c>
      <c r="BE291" s="11">
        <f>IF(tblsales[[#This Row],[SalesStage]]="Won",1,0)</f>
        <v>1</v>
      </c>
      <c r="BF291" s="21" t="str">
        <f>IF(tblsales[[#This Row],[Win Flag]]=1,"Won","Lost")</f>
        <v>Won</v>
      </c>
      <c r="BG291" s="8"/>
    </row>
    <row r="292" spans="1:61" x14ac:dyDescent="0.3">
      <c r="A292" s="10" t="s">
        <v>1198</v>
      </c>
      <c r="B292" s="9">
        <v>45841</v>
      </c>
      <c r="C292" s="10" t="s">
        <v>283</v>
      </c>
      <c r="D292" s="10" t="s">
        <v>238</v>
      </c>
      <c r="E292" s="10" t="s">
        <v>20</v>
      </c>
      <c r="F292" s="10" t="s">
        <v>35</v>
      </c>
      <c r="G292" s="10" t="s">
        <v>46</v>
      </c>
      <c r="H292" s="10" t="s">
        <v>182</v>
      </c>
      <c r="I292" s="10" t="s">
        <v>240</v>
      </c>
      <c r="J292" s="10" t="s">
        <v>136</v>
      </c>
      <c r="K292" s="10" t="s">
        <v>223</v>
      </c>
      <c r="L292" s="10" t="s">
        <v>1199</v>
      </c>
      <c r="M292" s="9">
        <v>45547</v>
      </c>
      <c r="N292" s="9">
        <v>45965</v>
      </c>
      <c r="O292" s="9">
        <v>45774</v>
      </c>
      <c r="P292" s="11">
        <v>49</v>
      </c>
      <c r="Q292" s="12">
        <v>46811171</v>
      </c>
      <c r="R292">
        <v>54347769.531000003</v>
      </c>
      <c r="S292" s="22">
        <v>0.21</v>
      </c>
      <c r="T292" s="22">
        <v>0.16</v>
      </c>
      <c r="U292" s="12">
        <v>42897757.100000001</v>
      </c>
      <c r="V292" s="24">
        <v>49804295.993100002</v>
      </c>
      <c r="W292" s="8">
        <v>31288189.84</v>
      </c>
      <c r="X292" s="24">
        <v>36325588.404239997</v>
      </c>
      <c r="Y292" s="22">
        <v>0.06</v>
      </c>
      <c r="Z292" s="22">
        <v>0.08</v>
      </c>
      <c r="AA292" s="8" t="s">
        <v>1200</v>
      </c>
      <c r="AB292" s="8">
        <v>30453484.030000001</v>
      </c>
      <c r="AC292" s="24">
        <v>35356494.958829999</v>
      </c>
      <c r="AD292" s="8">
        <v>14711791.609999999</v>
      </c>
      <c r="AE292" s="24">
        <v>17080390.059209999</v>
      </c>
      <c r="AF292" s="8">
        <v>90</v>
      </c>
      <c r="AG292" s="8">
        <v>31</v>
      </c>
      <c r="AH292" s="8" t="s">
        <v>347</v>
      </c>
      <c r="AI292" s="8" t="s">
        <v>354</v>
      </c>
      <c r="AJ292" s="22">
        <v>0.18</v>
      </c>
      <c r="AK292" s="8" t="s">
        <v>159</v>
      </c>
      <c r="AL292" s="22">
        <v>0.05</v>
      </c>
      <c r="AM292" s="22">
        <v>0.05</v>
      </c>
      <c r="AN292" s="8">
        <v>11</v>
      </c>
      <c r="AO292" s="8">
        <v>1309</v>
      </c>
      <c r="AP292" s="8">
        <v>7611057.3200000003</v>
      </c>
      <c r="AQ292" s="24">
        <v>8836437.5485200007</v>
      </c>
      <c r="AR292" s="8">
        <v>8096298.0199999996</v>
      </c>
      <c r="AS292" s="37">
        <v>9399802.001219999</v>
      </c>
      <c r="AT292" s="8" t="s">
        <v>355</v>
      </c>
      <c r="AU292" s="8" t="s">
        <v>322</v>
      </c>
      <c r="AV292" s="8">
        <v>76.599999999999994</v>
      </c>
      <c r="AW292" s="8">
        <v>36</v>
      </c>
      <c r="AX292" s="8" t="s">
        <v>323</v>
      </c>
      <c r="AY292" s="8" t="s">
        <v>229</v>
      </c>
      <c r="AZ292" s="8" t="s">
        <v>324</v>
      </c>
      <c r="BA292" s="21">
        <f>IF(OR(tblsales[[#This Row],[Invoice Value USD]]="",tblsales[[#This Row],[Collected Amount USD]]=""),"",tblsales[[#This Row],[Invoice Value USD]]-tblsales[[#This Row],[Collected Amount USD]])</f>
        <v>18276104.89962</v>
      </c>
      <c r="BB292" s="21">
        <f>IF(OR(tblsales[[#This Row],[Contract Value USD]]="",tblsales[[#This Row],[Cost Estimate USD]]=""),"",tblsales[[#This Row],[Contract Value USD]]-tblsales[[#This Row],[Cost Estimate USD]])</f>
        <v>13478707.588860005</v>
      </c>
      <c r="BC292" s="21">
        <f>IF(OR(tblsales[[#This Row],[Contract Value USD]]="",tblsales[[#This Row],[Cost Estimate USD]]=""),"",tblsales[[#This Row],[Contract Value USD]]-tblsales[[#This Row],[Cost Estimate USD]])</f>
        <v>13478707.588860005</v>
      </c>
      <c r="BD292" s="23">
        <f>IF(tblsales[[#This Row],[Invoice Value USD]]="","",tblsales[[#This Row],[Collected Amount USD]]/tblsales[[#This Row],[Invoice Value USD]])</f>
        <v>0.48309059139201549</v>
      </c>
      <c r="BE292" s="11">
        <f>IF(tblsales[[#This Row],[SalesStage]]="Won",1,0)</f>
        <v>0</v>
      </c>
      <c r="BF292" s="21" t="str">
        <f>IF(tblsales[[#This Row],[Win Flag]]=1,"Won","Lost")</f>
        <v>Lost</v>
      </c>
      <c r="BG292" s="8"/>
    </row>
    <row r="293" spans="1:61" x14ac:dyDescent="0.3">
      <c r="A293" s="10" t="s">
        <v>1201</v>
      </c>
      <c r="B293" s="9">
        <v>45946</v>
      </c>
      <c r="C293" s="10" t="s">
        <v>179</v>
      </c>
      <c r="D293" s="10" t="s">
        <v>248</v>
      </c>
      <c r="E293" s="10" t="s">
        <v>332</v>
      </c>
      <c r="F293" s="10" t="s">
        <v>339</v>
      </c>
      <c r="G293" s="10" t="s">
        <v>33</v>
      </c>
      <c r="H293" s="10" t="s">
        <v>212</v>
      </c>
      <c r="I293" s="10" t="s">
        <v>246</v>
      </c>
      <c r="J293" s="10" t="s">
        <v>130</v>
      </c>
      <c r="K293" s="10" t="s">
        <v>184</v>
      </c>
      <c r="L293" s="10" t="s">
        <v>1202</v>
      </c>
      <c r="M293" s="9">
        <v>45939</v>
      </c>
      <c r="N293" s="9">
        <v>45700</v>
      </c>
      <c r="O293" s="9">
        <v>45988</v>
      </c>
      <c r="P293" s="11">
        <v>51</v>
      </c>
      <c r="Q293" s="12">
        <v>43138847</v>
      </c>
      <c r="R293">
        <v>43138847</v>
      </c>
      <c r="S293" s="22">
        <v>0.16</v>
      </c>
      <c r="T293" s="22">
        <v>0.06</v>
      </c>
      <c r="U293" s="12">
        <v>38410829.369999997</v>
      </c>
      <c r="V293" s="24">
        <v>38410829.369999997</v>
      </c>
      <c r="W293" s="8">
        <v>28681184.289999999</v>
      </c>
      <c r="X293" s="24">
        <v>28681184.289999999</v>
      </c>
      <c r="Y293" s="22">
        <v>0.06</v>
      </c>
      <c r="Z293" s="22">
        <v>0.05</v>
      </c>
      <c r="AA293" s="8" t="s">
        <v>1203</v>
      </c>
      <c r="AB293" s="8">
        <v>27610227.84</v>
      </c>
      <c r="AC293" s="24">
        <v>27610227.84</v>
      </c>
      <c r="AD293" s="8">
        <v>22041938.670000002</v>
      </c>
      <c r="AE293" s="24">
        <v>22041938.670000002</v>
      </c>
      <c r="AF293" s="8">
        <v>60</v>
      </c>
      <c r="AG293" s="8">
        <v>114</v>
      </c>
      <c r="AH293" s="8" t="s">
        <v>342</v>
      </c>
      <c r="AI293" s="8" t="s">
        <v>406</v>
      </c>
      <c r="AJ293" s="22">
        <v>0.6</v>
      </c>
      <c r="AK293" s="8" t="s">
        <v>152</v>
      </c>
      <c r="AL293" s="22">
        <v>0.1</v>
      </c>
      <c r="AM293" s="22">
        <v>0.04</v>
      </c>
      <c r="AN293" s="8">
        <v>13</v>
      </c>
      <c r="AO293" s="8">
        <v>896</v>
      </c>
      <c r="AP293" s="8">
        <v>6990381.75</v>
      </c>
      <c r="AQ293" s="24">
        <v>6990381.75</v>
      </c>
      <c r="AR293" s="8">
        <v>6844590.8799999999</v>
      </c>
      <c r="AS293" s="37">
        <v>6844590.8799999999</v>
      </c>
      <c r="AT293" s="8" t="s">
        <v>343</v>
      </c>
      <c r="AU293" s="8" t="s">
        <v>321</v>
      </c>
      <c r="AV293" s="8">
        <v>83.5</v>
      </c>
      <c r="AW293" s="8"/>
      <c r="AX293" s="8" t="s">
        <v>387</v>
      </c>
      <c r="AY293" s="8" t="s">
        <v>192</v>
      </c>
      <c r="AZ293" s="8" t="s">
        <v>188</v>
      </c>
      <c r="BA293" s="21">
        <f>IF(OR(tblsales[[#This Row],[Invoice Value USD]]="",tblsales[[#This Row],[Collected Amount USD]]=""),"",tblsales[[#This Row],[Invoice Value USD]]-tblsales[[#This Row],[Collected Amount USD]])</f>
        <v>5568289.1699999981</v>
      </c>
      <c r="BB293" s="21">
        <f>IF(OR(tblsales[[#This Row],[Contract Value USD]]="",tblsales[[#This Row],[Cost Estimate USD]]=""),"",tblsales[[#This Row],[Contract Value USD]]-tblsales[[#This Row],[Cost Estimate USD]])</f>
        <v>9729645.0799999982</v>
      </c>
      <c r="BC293" s="21">
        <f>IF(OR(tblsales[[#This Row],[Contract Value USD]]="",tblsales[[#This Row],[Cost Estimate USD]]=""),"",tblsales[[#This Row],[Contract Value USD]]-tblsales[[#This Row],[Cost Estimate USD]])</f>
        <v>9729645.0799999982</v>
      </c>
      <c r="BD293" s="23">
        <f>IF(tblsales[[#This Row],[Invoice Value USD]]="","",tblsales[[#This Row],[Collected Amount USD]]/tblsales[[#This Row],[Invoice Value USD]])</f>
        <v>0.79832512783784404</v>
      </c>
      <c r="BE293" s="11">
        <f>IF(tblsales[[#This Row],[SalesStage]]="Won",1,0)</f>
        <v>0</v>
      </c>
      <c r="BF293" s="21" t="str">
        <f>IF(tblsales[[#This Row],[Win Flag]]=1,"Won","Lost")</f>
        <v>Lost</v>
      </c>
      <c r="BG293" s="8"/>
    </row>
    <row r="294" spans="1:61" x14ac:dyDescent="0.3">
      <c r="A294" s="10" t="s">
        <v>1204</v>
      </c>
      <c r="B294" s="9">
        <v>45682</v>
      </c>
      <c r="C294" s="10" t="s">
        <v>264</v>
      </c>
      <c r="D294" s="10" t="s">
        <v>180</v>
      </c>
      <c r="E294" s="10" t="s">
        <v>20</v>
      </c>
      <c r="F294" s="10" t="s">
        <v>31</v>
      </c>
      <c r="G294" s="10" t="s">
        <v>78</v>
      </c>
      <c r="H294" s="10" t="s">
        <v>236</v>
      </c>
      <c r="I294" s="10" t="s">
        <v>203</v>
      </c>
      <c r="J294" s="10" t="s">
        <v>136</v>
      </c>
      <c r="K294" s="10" t="s">
        <v>221</v>
      </c>
      <c r="L294" s="10" t="s">
        <v>1205</v>
      </c>
      <c r="M294" s="9">
        <v>45595</v>
      </c>
      <c r="N294" s="9"/>
      <c r="O294" s="9">
        <v>45768</v>
      </c>
      <c r="P294" s="11">
        <v>59</v>
      </c>
      <c r="Q294" s="12">
        <v>19508918</v>
      </c>
      <c r="R294">
        <v>5312278.3713999996</v>
      </c>
      <c r="S294" s="22">
        <v>0.13</v>
      </c>
      <c r="T294" s="22">
        <v>0.08</v>
      </c>
      <c r="U294" s="12">
        <v>18330579.350000001</v>
      </c>
      <c r="V294" s="24">
        <v>4991416.7570050005</v>
      </c>
      <c r="W294" s="8">
        <v>15525229.4</v>
      </c>
      <c r="X294" s="24">
        <v>4227519.9656199999</v>
      </c>
      <c r="Y294" s="22">
        <v>0.25</v>
      </c>
      <c r="Z294" s="22">
        <v>0.13</v>
      </c>
      <c r="AA294" s="8" t="s">
        <v>1206</v>
      </c>
      <c r="AB294" s="8">
        <v>5209837.0199999996</v>
      </c>
      <c r="AC294" s="24">
        <v>1418638.6205459998</v>
      </c>
      <c r="AD294" s="8"/>
      <c r="AE294" s="24"/>
      <c r="AF294" s="8">
        <v>90</v>
      </c>
      <c r="AG294" s="8">
        <v>45</v>
      </c>
      <c r="AH294" s="8" t="s">
        <v>347</v>
      </c>
      <c r="AI294" s="8" t="s">
        <v>381</v>
      </c>
      <c r="AJ294" s="22">
        <v>0.16</v>
      </c>
      <c r="AK294" s="8" t="s">
        <v>153</v>
      </c>
      <c r="AL294" s="22">
        <v>0.05</v>
      </c>
      <c r="AM294" s="22">
        <v>0.01</v>
      </c>
      <c r="AN294" s="8">
        <v>13</v>
      </c>
      <c r="AO294" s="8">
        <v>3311</v>
      </c>
      <c r="AP294" s="8">
        <v>788919.72</v>
      </c>
      <c r="AQ294" s="24">
        <v>214822.83975599997</v>
      </c>
      <c r="AR294" s="8">
        <v>6429176.8099999996</v>
      </c>
      <c r="AS294" s="37">
        <v>1750664.8453629997</v>
      </c>
      <c r="AT294" s="8" t="s">
        <v>321</v>
      </c>
      <c r="AU294" s="8" t="s">
        <v>332</v>
      </c>
      <c r="AV294" s="8">
        <v>92.7</v>
      </c>
      <c r="AW294" s="8"/>
      <c r="AX294" s="8" t="s">
        <v>387</v>
      </c>
      <c r="AY294" s="8" t="s">
        <v>229</v>
      </c>
      <c r="AZ294" s="8" t="s">
        <v>324</v>
      </c>
      <c r="BA294" s="21" t="str">
        <f>IF(OR(tblsales[[#This Row],[Invoice Value USD]]="",tblsales[[#This Row],[Collected Amount USD]]=""),"",tblsales[[#This Row],[Invoice Value USD]]-tblsales[[#This Row],[Collected Amount USD]])</f>
        <v/>
      </c>
      <c r="BB294" s="21">
        <f>IF(OR(tblsales[[#This Row],[Contract Value USD]]="",tblsales[[#This Row],[Cost Estimate USD]]=""),"",tblsales[[#This Row],[Contract Value USD]]-tblsales[[#This Row],[Cost Estimate USD]])</f>
        <v>763896.79138500057</v>
      </c>
      <c r="BC294" s="21">
        <f>IF(OR(tblsales[[#This Row],[Contract Value USD]]="",tblsales[[#This Row],[Cost Estimate USD]]=""),"",tblsales[[#This Row],[Contract Value USD]]-tblsales[[#This Row],[Cost Estimate USD]])</f>
        <v>763896.79138500057</v>
      </c>
      <c r="BD294" s="23">
        <f>IF(tblsales[[#This Row],[Invoice Value USD]]="","",tblsales[[#This Row],[Collected Amount USD]]/tblsales[[#This Row],[Invoice Value USD]])</f>
        <v>0</v>
      </c>
      <c r="BE294" s="11">
        <f>IF(tblsales[[#This Row],[SalesStage]]="Won",1,0)</f>
        <v>0</v>
      </c>
      <c r="BF294" s="21" t="str">
        <f>IF(tblsales[[#This Row],[Win Flag]]=1,"Won","Lost")</f>
        <v>Lost</v>
      </c>
      <c r="BG294" s="8"/>
    </row>
    <row r="295" spans="1:61" x14ac:dyDescent="0.3">
      <c r="A295" s="10" t="s">
        <v>1207</v>
      </c>
      <c r="B295" s="9">
        <v>45721</v>
      </c>
      <c r="C295" s="10" t="s">
        <v>273</v>
      </c>
      <c r="D295" s="10" t="s">
        <v>180</v>
      </c>
      <c r="E295" s="10" t="s">
        <v>36</v>
      </c>
      <c r="F295" s="10" t="s">
        <v>339</v>
      </c>
      <c r="G295" s="10" t="s">
        <v>332</v>
      </c>
      <c r="H295" s="10" t="s">
        <v>216</v>
      </c>
      <c r="I295" s="10" t="s">
        <v>203</v>
      </c>
      <c r="J295" s="10" t="s">
        <v>115</v>
      </c>
      <c r="K295" s="10" t="s">
        <v>333</v>
      </c>
      <c r="L295" s="10" t="s">
        <v>1208</v>
      </c>
      <c r="M295" s="9">
        <v>45748</v>
      </c>
      <c r="N295" s="9">
        <v>45762</v>
      </c>
      <c r="O295" s="9"/>
      <c r="P295" s="11">
        <v>46</v>
      </c>
      <c r="Q295" s="12">
        <v>17132682</v>
      </c>
      <c r="R295">
        <v>17132682</v>
      </c>
      <c r="S295" s="22">
        <v>0.02</v>
      </c>
      <c r="T295" s="22">
        <v>0.14000000000000001</v>
      </c>
      <c r="U295" s="12">
        <v>19140632.329999998</v>
      </c>
      <c r="V295" s="24">
        <v>19140632.329999998</v>
      </c>
      <c r="W295" s="8">
        <v>13864954.960000001</v>
      </c>
      <c r="X295" s="24">
        <v>13864954.960000001</v>
      </c>
      <c r="Y295" s="22">
        <v>0.31</v>
      </c>
      <c r="Z295" s="22">
        <v>7.0000000000000007E-2</v>
      </c>
      <c r="AA295" s="8" t="s">
        <v>1209</v>
      </c>
      <c r="AB295" s="8">
        <v>5230944.62</v>
      </c>
      <c r="AC295" s="24">
        <v>5230944.62</v>
      </c>
      <c r="AD295" s="8">
        <v>2556684.7400000002</v>
      </c>
      <c r="AE295" s="24">
        <v>2556684.7400000002</v>
      </c>
      <c r="AF295" s="8">
        <v>120</v>
      </c>
      <c r="AG295" s="8">
        <v>18</v>
      </c>
      <c r="AH295" s="8" t="s">
        <v>332</v>
      </c>
      <c r="AI295" s="8" t="s">
        <v>320</v>
      </c>
      <c r="AJ295" s="22">
        <v>0.82</v>
      </c>
      <c r="AK295" s="8" t="s">
        <v>152</v>
      </c>
      <c r="AL295" s="22">
        <v>0.15</v>
      </c>
      <c r="AM295" s="22">
        <v>0.08</v>
      </c>
      <c r="AN295" s="8">
        <v>8</v>
      </c>
      <c r="AO295" s="8">
        <v>4687</v>
      </c>
      <c r="AP295" s="8">
        <v>1409874.91</v>
      </c>
      <c r="AQ295" s="24">
        <v>1409874.91</v>
      </c>
      <c r="AR295" s="8">
        <v>4381823.16</v>
      </c>
      <c r="AS295" s="37">
        <v>4381823.16</v>
      </c>
      <c r="AT295" s="8" t="s">
        <v>321</v>
      </c>
      <c r="AU295" s="8" t="s">
        <v>330</v>
      </c>
      <c r="AV295" s="8">
        <v>57.4</v>
      </c>
      <c r="AW295" s="8">
        <v>60</v>
      </c>
      <c r="AX295" s="8" t="s">
        <v>332</v>
      </c>
      <c r="AY295" s="8" t="s">
        <v>229</v>
      </c>
      <c r="AZ295" s="8" t="s">
        <v>324</v>
      </c>
      <c r="BA295" s="21">
        <f>IF(OR(tblsales[[#This Row],[Invoice Value USD]]="",tblsales[[#This Row],[Collected Amount USD]]=""),"",tblsales[[#This Row],[Invoice Value USD]]-tblsales[[#This Row],[Collected Amount USD]])</f>
        <v>2674259.88</v>
      </c>
      <c r="BB295" s="21">
        <f>IF(OR(tblsales[[#This Row],[Contract Value USD]]="",tblsales[[#This Row],[Cost Estimate USD]]=""),"",tblsales[[#This Row],[Contract Value USD]]-tblsales[[#This Row],[Cost Estimate USD]])</f>
        <v>5275677.3699999973</v>
      </c>
      <c r="BC295" s="21">
        <f>IF(OR(tblsales[[#This Row],[Contract Value USD]]="",tblsales[[#This Row],[Cost Estimate USD]]=""),"",tblsales[[#This Row],[Contract Value USD]]-tblsales[[#This Row],[Cost Estimate USD]])</f>
        <v>5275677.3699999973</v>
      </c>
      <c r="BD295" s="23">
        <f>IF(tblsales[[#This Row],[Invoice Value USD]]="","",tblsales[[#This Row],[Collected Amount USD]]/tblsales[[#This Row],[Invoice Value USD]])</f>
        <v>0.48876157668058051</v>
      </c>
      <c r="BE295" s="11">
        <f>IF(tblsales[[#This Row],[SalesStage]]="Won",1,0)</f>
        <v>1</v>
      </c>
      <c r="BF295" s="21" t="str">
        <f>IF(tblsales[[#This Row],[Win Flag]]=1,"Won","Lost")</f>
        <v>Won</v>
      </c>
      <c r="BG295" s="8"/>
    </row>
    <row r="296" spans="1:61" x14ac:dyDescent="0.3">
      <c r="A296" s="10" t="s">
        <v>1210</v>
      </c>
      <c r="B296" s="9">
        <v>46071</v>
      </c>
      <c r="C296" s="10" t="s">
        <v>214</v>
      </c>
      <c r="D296" s="10" t="s">
        <v>180</v>
      </c>
      <c r="E296" s="10" t="s">
        <v>20</v>
      </c>
      <c r="F296" s="10" t="s">
        <v>35</v>
      </c>
      <c r="G296" s="10" t="s">
        <v>16</v>
      </c>
      <c r="H296" s="10" t="s">
        <v>212</v>
      </c>
      <c r="I296" s="10" t="s">
        <v>191</v>
      </c>
      <c r="J296" s="10" t="s">
        <v>136</v>
      </c>
      <c r="K296" s="10" t="s">
        <v>223</v>
      </c>
      <c r="L296" s="10" t="s">
        <v>1211</v>
      </c>
      <c r="M296" s="9">
        <v>45983</v>
      </c>
      <c r="N296" s="9">
        <v>46128</v>
      </c>
      <c r="O296" s="9"/>
      <c r="P296" s="11">
        <v>4</v>
      </c>
      <c r="Q296" s="12">
        <v>1183848</v>
      </c>
      <c r="R296">
        <v>1183848</v>
      </c>
      <c r="S296" s="22">
        <v>0.03</v>
      </c>
      <c r="T296" s="22">
        <v>0.16</v>
      </c>
      <c r="U296" s="12">
        <v>1332065.77</v>
      </c>
      <c r="V296" s="24">
        <v>1332065.77</v>
      </c>
      <c r="W296" s="8">
        <v>1014035.79</v>
      </c>
      <c r="X296" s="24">
        <v>1014035.79</v>
      </c>
      <c r="Y296" s="22">
        <v>0.39</v>
      </c>
      <c r="Z296" s="22">
        <v>0.19</v>
      </c>
      <c r="AA296" s="8" t="s">
        <v>1212</v>
      </c>
      <c r="AB296" s="8">
        <v>365647.61</v>
      </c>
      <c r="AC296" s="24">
        <v>365647.61</v>
      </c>
      <c r="AD296" s="8">
        <v>368112.07</v>
      </c>
      <c r="AE296" s="24">
        <v>368112.07</v>
      </c>
      <c r="AF296" s="8">
        <v>45</v>
      </c>
      <c r="AG296" s="8">
        <v>7</v>
      </c>
      <c r="AH296" s="8" t="s">
        <v>376</v>
      </c>
      <c r="AI296" s="8" t="s">
        <v>406</v>
      </c>
      <c r="AJ296" s="22">
        <v>0.25</v>
      </c>
      <c r="AK296" s="8" t="s">
        <v>152</v>
      </c>
      <c r="AL296" s="22">
        <v>0.05</v>
      </c>
      <c r="AM296" s="22">
        <v>0.06</v>
      </c>
      <c r="AN296" s="8">
        <v>5</v>
      </c>
      <c r="AO296" s="8">
        <v>2501</v>
      </c>
      <c r="AP296" s="8">
        <v>75880.800000000003</v>
      </c>
      <c r="AQ296" s="24">
        <v>75880.800000000003</v>
      </c>
      <c r="AR296" s="8">
        <v>637688.18999999994</v>
      </c>
      <c r="AS296" s="37">
        <v>637688.18999999994</v>
      </c>
      <c r="AT296" s="8" t="s">
        <v>391</v>
      </c>
      <c r="AU296" s="8" t="s">
        <v>348</v>
      </c>
      <c r="AV296" s="8"/>
      <c r="AW296" s="8">
        <v>60</v>
      </c>
      <c r="AX296" s="8" t="s">
        <v>332</v>
      </c>
      <c r="AY296" s="8" t="s">
        <v>229</v>
      </c>
      <c r="AZ296" s="8" t="s">
        <v>377</v>
      </c>
      <c r="BA296" s="21">
        <f>IF(OR(tblsales[[#This Row],[Invoice Value USD]]="",tblsales[[#This Row],[Collected Amount USD]]=""),"",tblsales[[#This Row],[Invoice Value USD]]-tblsales[[#This Row],[Collected Amount USD]])</f>
        <v>-2464.460000000021</v>
      </c>
      <c r="BB296" s="21">
        <f>IF(OR(tblsales[[#This Row],[Contract Value USD]]="",tblsales[[#This Row],[Cost Estimate USD]]=""),"",tblsales[[#This Row],[Contract Value USD]]-tblsales[[#This Row],[Cost Estimate USD]])</f>
        <v>318029.98</v>
      </c>
      <c r="BC296" s="21">
        <f>IF(OR(tblsales[[#This Row],[Contract Value USD]]="",tblsales[[#This Row],[Cost Estimate USD]]=""),"",tblsales[[#This Row],[Contract Value USD]]-tblsales[[#This Row],[Cost Estimate USD]])</f>
        <v>318029.98</v>
      </c>
      <c r="BD296" s="23">
        <f>IF(tblsales[[#This Row],[Invoice Value USD]]="","",tblsales[[#This Row],[Collected Amount USD]]/tblsales[[#This Row],[Invoice Value USD]])</f>
        <v>1.0067399866226392</v>
      </c>
      <c r="BE296" s="11">
        <f>IF(tblsales[[#This Row],[SalesStage]]="Won",1,0)</f>
        <v>0</v>
      </c>
      <c r="BF296" s="21" t="str">
        <f>IF(tblsales[[#This Row],[Win Flag]]=1,"Won","Lost")</f>
        <v>Lost</v>
      </c>
      <c r="BG296" s="8"/>
    </row>
    <row r="297" spans="1:61" x14ac:dyDescent="0.3">
      <c r="A297" s="10" t="s">
        <v>1213</v>
      </c>
      <c r="B297" s="9">
        <v>45663</v>
      </c>
      <c r="C297" s="10" t="s">
        <v>225</v>
      </c>
      <c r="D297" s="10" t="s">
        <v>238</v>
      </c>
      <c r="E297" s="10" t="s">
        <v>332</v>
      </c>
      <c r="F297" s="10" t="s">
        <v>19</v>
      </c>
      <c r="G297" s="10" t="s">
        <v>62</v>
      </c>
      <c r="H297" s="10" t="s">
        <v>263</v>
      </c>
      <c r="I297" s="10" t="s">
        <v>240</v>
      </c>
      <c r="J297" s="10" t="s">
        <v>130</v>
      </c>
      <c r="K297" s="10" t="s">
        <v>326</v>
      </c>
      <c r="L297" s="10" t="s">
        <v>1214</v>
      </c>
      <c r="M297" s="9">
        <v>45582</v>
      </c>
      <c r="N297" s="9">
        <v>45711</v>
      </c>
      <c r="O297" s="9">
        <v>45662</v>
      </c>
      <c r="P297" s="11">
        <v>6</v>
      </c>
      <c r="Q297" s="12">
        <v>36378372</v>
      </c>
      <c r="R297">
        <v>9905830.6955999993</v>
      </c>
      <c r="S297" s="22">
        <v>7.0000000000000007E-2</v>
      </c>
      <c r="T297" s="22">
        <v>0.15</v>
      </c>
      <c r="U297" s="12">
        <v>38906668.850000001</v>
      </c>
      <c r="V297" s="24">
        <v>10594285.927855</v>
      </c>
      <c r="W297" s="8">
        <v>30216961.780000001</v>
      </c>
      <c r="X297" s="24">
        <v>8228078.692694</v>
      </c>
      <c r="Y297" s="22">
        <v>0.09</v>
      </c>
      <c r="Z297" s="22">
        <v>0.19</v>
      </c>
      <c r="AA297" s="8" t="s">
        <v>1215</v>
      </c>
      <c r="AB297" s="8">
        <v>10527194.380000001</v>
      </c>
      <c r="AC297" s="24">
        <v>2866555.0296740001</v>
      </c>
      <c r="AD297" s="8">
        <v>3552484.51</v>
      </c>
      <c r="AE297" s="24">
        <v>967341.53207299986</v>
      </c>
      <c r="AF297" s="8">
        <v>90</v>
      </c>
      <c r="AG297" s="8">
        <v>82</v>
      </c>
      <c r="AH297" s="8" t="s">
        <v>329</v>
      </c>
      <c r="AI297" s="8" t="s">
        <v>320</v>
      </c>
      <c r="AJ297" s="22">
        <v>0.49</v>
      </c>
      <c r="AK297" s="8" t="s">
        <v>153</v>
      </c>
      <c r="AL297" s="22">
        <v>0.05</v>
      </c>
      <c r="AM297" s="22">
        <v>0.08</v>
      </c>
      <c r="AN297" s="8">
        <v>5</v>
      </c>
      <c r="AO297" s="8">
        <v>4530</v>
      </c>
      <c r="AP297" s="8">
        <v>2362285.9300000002</v>
      </c>
      <c r="AQ297" s="24">
        <v>643250.45873900002</v>
      </c>
      <c r="AR297" s="8">
        <v>17800000.370000001</v>
      </c>
      <c r="AS297" s="37">
        <v>4846940.1007510005</v>
      </c>
      <c r="AT297" s="8" t="s">
        <v>321</v>
      </c>
      <c r="AU297" s="8" t="s">
        <v>321</v>
      </c>
      <c r="AV297" s="8">
        <v>71.2</v>
      </c>
      <c r="AW297" s="8">
        <v>60</v>
      </c>
      <c r="AX297" s="8" t="s">
        <v>337</v>
      </c>
      <c r="AY297" s="8" t="s">
        <v>229</v>
      </c>
      <c r="AZ297" s="8" t="s">
        <v>332</v>
      </c>
      <c r="BA297" s="21">
        <f>IF(OR(tblsales[[#This Row],[Invoice Value USD]]="",tblsales[[#This Row],[Collected Amount USD]]=""),"",tblsales[[#This Row],[Invoice Value USD]]-tblsales[[#This Row],[Collected Amount USD]])</f>
        <v>1899213.4976010001</v>
      </c>
      <c r="BB297" s="21">
        <f>IF(OR(tblsales[[#This Row],[Contract Value USD]]="",tblsales[[#This Row],[Cost Estimate USD]]=""),"",tblsales[[#This Row],[Contract Value USD]]-tblsales[[#This Row],[Cost Estimate USD]])</f>
        <v>2366207.2351609999</v>
      </c>
      <c r="BC297" s="21">
        <f>IF(OR(tblsales[[#This Row],[Contract Value USD]]="",tblsales[[#This Row],[Cost Estimate USD]]=""),"",tblsales[[#This Row],[Contract Value USD]]-tblsales[[#This Row],[Cost Estimate USD]])</f>
        <v>2366207.2351609999</v>
      </c>
      <c r="BD297" s="23">
        <f>IF(tblsales[[#This Row],[Invoice Value USD]]="","",tblsales[[#This Row],[Collected Amount USD]]/tblsales[[#This Row],[Invoice Value USD]])</f>
        <v>0.33745786215833123</v>
      </c>
      <c r="BE297" s="11">
        <f>IF(tblsales[[#This Row],[SalesStage]]="Won",1,0)</f>
        <v>1</v>
      </c>
      <c r="BF297" s="21" t="str">
        <f>IF(tblsales[[#This Row],[Win Flag]]=1,"Won","Lost")</f>
        <v>Won</v>
      </c>
      <c r="BG297" s="8"/>
    </row>
    <row r="298" spans="1:61" x14ac:dyDescent="0.3">
      <c r="A298" s="10" t="s">
        <v>1216</v>
      </c>
      <c r="B298" s="9">
        <v>45751</v>
      </c>
      <c r="C298" s="10" t="s">
        <v>269</v>
      </c>
      <c r="D298" s="10" t="s">
        <v>332</v>
      </c>
      <c r="E298" s="10" t="s">
        <v>41</v>
      </c>
      <c r="F298" s="10" t="s">
        <v>363</v>
      </c>
      <c r="G298" s="10" t="s">
        <v>38</v>
      </c>
      <c r="H298" s="10" t="s">
        <v>182</v>
      </c>
      <c r="I298" s="10" t="s">
        <v>198</v>
      </c>
      <c r="J298" s="10" t="s">
        <v>105</v>
      </c>
      <c r="K298" s="10" t="s">
        <v>221</v>
      </c>
      <c r="L298" s="10" t="s">
        <v>1217</v>
      </c>
      <c r="M298" s="9">
        <v>45748</v>
      </c>
      <c r="N298" s="9"/>
      <c r="O298" s="9">
        <v>45781</v>
      </c>
      <c r="P298" s="11">
        <v>28</v>
      </c>
      <c r="Q298" s="12">
        <v>19852822</v>
      </c>
      <c r="R298">
        <v>5453570.2034</v>
      </c>
      <c r="S298" s="22">
        <v>0.23</v>
      </c>
      <c r="T298" s="22">
        <v>0.17</v>
      </c>
      <c r="U298" s="12">
        <v>17885407.34</v>
      </c>
      <c r="V298" s="24">
        <v>4913121.3962979997</v>
      </c>
      <c r="W298" s="8">
        <v>13423760.77</v>
      </c>
      <c r="X298" s="24">
        <v>3687507.0835190001</v>
      </c>
      <c r="Y298" s="22">
        <v>0.36</v>
      </c>
      <c r="Z298" s="22">
        <v>7.0000000000000007E-2</v>
      </c>
      <c r="AA298" s="8" t="s">
        <v>1218</v>
      </c>
      <c r="AB298" s="8">
        <v>14975326.93</v>
      </c>
      <c r="AC298" s="24">
        <v>4113722.3076709998</v>
      </c>
      <c r="AD298" s="8">
        <v>12902873.84</v>
      </c>
      <c r="AE298" s="24">
        <v>3544419.4438479999</v>
      </c>
      <c r="AF298" s="8">
        <v>60</v>
      </c>
      <c r="AG298" s="8">
        <v>157</v>
      </c>
      <c r="AH298" s="8" t="s">
        <v>347</v>
      </c>
      <c r="AI298" s="8" t="s">
        <v>381</v>
      </c>
      <c r="AJ298" s="22">
        <v>0.4</v>
      </c>
      <c r="AK298" s="8" t="s">
        <v>155</v>
      </c>
      <c r="AL298" s="22">
        <v>0.15</v>
      </c>
      <c r="AM298" s="22">
        <v>0.03</v>
      </c>
      <c r="AN298" s="8">
        <v>8</v>
      </c>
      <c r="AO298" s="8">
        <v>3490</v>
      </c>
      <c r="AP298" s="8"/>
      <c r="AQ298" s="24"/>
      <c r="AR298" s="8">
        <v>2426562.2200000002</v>
      </c>
      <c r="AS298" s="37">
        <v>666576.64183400001</v>
      </c>
      <c r="AT298" s="8" t="s">
        <v>73</v>
      </c>
      <c r="AU298" s="8" t="s">
        <v>386</v>
      </c>
      <c r="AV298" s="8">
        <v>57.6</v>
      </c>
      <c r="AW298" s="8"/>
      <c r="AX298" s="8" t="s">
        <v>337</v>
      </c>
      <c r="AY298" s="8" t="s">
        <v>224</v>
      </c>
      <c r="AZ298" s="8" t="s">
        <v>188</v>
      </c>
      <c r="BA298" s="21">
        <f>IF(OR(tblsales[[#This Row],[Invoice Value USD]]="",tblsales[[#This Row],[Collected Amount USD]]=""),"",tblsales[[#This Row],[Invoice Value USD]]-tblsales[[#This Row],[Collected Amount USD]])</f>
        <v>569302.86382299988</v>
      </c>
      <c r="BB298" s="21">
        <f>IF(OR(tblsales[[#This Row],[Contract Value USD]]="",tblsales[[#This Row],[Cost Estimate USD]]=""),"",tblsales[[#This Row],[Contract Value USD]]-tblsales[[#This Row],[Cost Estimate USD]])</f>
        <v>1225614.3127789996</v>
      </c>
      <c r="BC298" s="21">
        <f>IF(OR(tblsales[[#This Row],[Contract Value USD]]="",tblsales[[#This Row],[Cost Estimate USD]]=""),"",tblsales[[#This Row],[Contract Value USD]]-tblsales[[#This Row],[Cost Estimate USD]])</f>
        <v>1225614.3127789996</v>
      </c>
      <c r="BD298" s="23">
        <f>IF(tblsales[[#This Row],[Invoice Value USD]]="","",tblsales[[#This Row],[Collected Amount USD]]/tblsales[[#This Row],[Invoice Value USD]])</f>
        <v>0.8616088249901066</v>
      </c>
      <c r="BE298" s="11">
        <f>IF(tblsales[[#This Row],[SalesStage]]="Won",1,0)</f>
        <v>0</v>
      </c>
      <c r="BF298" s="21" t="str">
        <f>IF(tblsales[[#This Row],[Win Flag]]=1,"Won","Lost")</f>
        <v>Lost</v>
      </c>
      <c r="BG298" s="8"/>
    </row>
    <row r="299" spans="1:61" x14ac:dyDescent="0.3">
      <c r="A299" s="10" t="s">
        <v>1219</v>
      </c>
      <c r="B299" s="9">
        <v>46078</v>
      </c>
      <c r="C299" s="10" t="s">
        <v>284</v>
      </c>
      <c r="D299" s="10" t="s">
        <v>180</v>
      </c>
      <c r="E299" s="10" t="s">
        <v>113</v>
      </c>
      <c r="F299" s="10" t="s">
        <v>367</v>
      </c>
      <c r="G299" s="10" t="s">
        <v>23</v>
      </c>
      <c r="H299" s="10" t="s">
        <v>182</v>
      </c>
      <c r="I299" s="10" t="s">
        <v>213</v>
      </c>
      <c r="J299" s="10" t="s">
        <v>127</v>
      </c>
      <c r="K299" s="10" t="s">
        <v>184</v>
      </c>
      <c r="L299" s="10" t="s">
        <v>1220</v>
      </c>
      <c r="M299" s="9">
        <v>46044</v>
      </c>
      <c r="N299" s="9"/>
      <c r="O299" s="9">
        <v>46161</v>
      </c>
      <c r="P299" s="11">
        <v>33</v>
      </c>
      <c r="Q299" s="12">
        <v>13928532</v>
      </c>
      <c r="R299">
        <v>13928532</v>
      </c>
      <c r="S299" s="22">
        <v>0.25</v>
      </c>
      <c r="T299" s="22">
        <v>-0.02</v>
      </c>
      <c r="U299" s="12">
        <v>10237471.02</v>
      </c>
      <c r="V299" s="24">
        <v>10237471.02</v>
      </c>
      <c r="W299" s="8">
        <v>7629699.25</v>
      </c>
      <c r="X299" s="24">
        <v>7629699.25</v>
      </c>
      <c r="Y299" s="22">
        <v>0.31</v>
      </c>
      <c r="Z299" s="22">
        <v>0.17</v>
      </c>
      <c r="AA299" s="8" t="s">
        <v>1221</v>
      </c>
      <c r="AB299" s="8">
        <v>2368359.33</v>
      </c>
      <c r="AC299" s="24">
        <v>2368359.33</v>
      </c>
      <c r="AD299" s="8">
        <v>2074141.75</v>
      </c>
      <c r="AE299" s="24">
        <v>2074141.75</v>
      </c>
      <c r="AF299" s="8">
        <v>30</v>
      </c>
      <c r="AG299" s="8">
        <v>88</v>
      </c>
      <c r="AH299" s="8" t="s">
        <v>329</v>
      </c>
      <c r="AI299" s="8" t="s">
        <v>320</v>
      </c>
      <c r="AJ299" s="22">
        <v>0.23</v>
      </c>
      <c r="AK299" s="8" t="s">
        <v>152</v>
      </c>
      <c r="AL299" s="22">
        <v>0.05</v>
      </c>
      <c r="AM299" s="22">
        <v>0.01</v>
      </c>
      <c r="AN299" s="8">
        <v>8</v>
      </c>
      <c r="AO299" s="8"/>
      <c r="AP299" s="8">
        <v>2341690.62</v>
      </c>
      <c r="AQ299" s="24">
        <v>2341690.62</v>
      </c>
      <c r="AR299" s="8"/>
      <c r="AS299" s="37"/>
      <c r="AT299" s="8" t="s">
        <v>385</v>
      </c>
      <c r="AU299" s="8" t="s">
        <v>322</v>
      </c>
      <c r="AV299" s="8">
        <v>79.7</v>
      </c>
      <c r="AW299" s="8">
        <v>60</v>
      </c>
      <c r="AX299" s="8" t="s">
        <v>387</v>
      </c>
      <c r="AY299" s="8" t="s">
        <v>192</v>
      </c>
      <c r="AZ299" s="8" t="s">
        <v>361</v>
      </c>
      <c r="BA299" s="21">
        <f>IF(OR(tblsales[[#This Row],[Invoice Value USD]]="",tblsales[[#This Row],[Collected Amount USD]]=""),"",tblsales[[#This Row],[Invoice Value USD]]-tblsales[[#This Row],[Collected Amount USD]])</f>
        <v>294217.58000000007</v>
      </c>
      <c r="BB299" s="21">
        <f>IF(OR(tblsales[[#This Row],[Contract Value USD]]="",tblsales[[#This Row],[Cost Estimate USD]]=""),"",tblsales[[#This Row],[Contract Value USD]]-tblsales[[#This Row],[Cost Estimate USD]])</f>
        <v>2607771.7699999996</v>
      </c>
      <c r="BC299" s="21">
        <f>IF(OR(tblsales[[#This Row],[Contract Value USD]]="",tblsales[[#This Row],[Cost Estimate USD]]=""),"",tblsales[[#This Row],[Contract Value USD]]-tblsales[[#This Row],[Cost Estimate USD]])</f>
        <v>2607771.7699999996</v>
      </c>
      <c r="BD299" s="23">
        <f>IF(tblsales[[#This Row],[Invoice Value USD]]="","",tblsales[[#This Row],[Collected Amount USD]]/tblsales[[#This Row],[Invoice Value USD]])</f>
        <v>0.87577156207964435</v>
      </c>
      <c r="BE299" s="11">
        <f>IF(tblsales[[#This Row],[SalesStage]]="Won",1,0)</f>
        <v>1</v>
      </c>
      <c r="BF299" s="21" t="str">
        <f>IF(tblsales[[#This Row],[Win Flag]]=1,"Won","Lost")</f>
        <v>Won</v>
      </c>
      <c r="BG299" s="8"/>
      <c r="BH299" t="s">
        <v>5716</v>
      </c>
      <c r="BI299" s="26">
        <f>IFERROR(BI178/BI175,0)</f>
        <v>0</v>
      </c>
    </row>
    <row r="300" spans="1:61" x14ac:dyDescent="0.3">
      <c r="A300" s="10" t="s">
        <v>1222</v>
      </c>
      <c r="B300" s="9">
        <v>46061</v>
      </c>
      <c r="C300" s="10" t="s">
        <v>243</v>
      </c>
      <c r="D300" s="10" t="s">
        <v>394</v>
      </c>
      <c r="E300" s="10" t="s">
        <v>20</v>
      </c>
      <c r="F300" s="10" t="s">
        <v>35</v>
      </c>
      <c r="G300" s="10" t="s">
        <v>50</v>
      </c>
      <c r="H300" s="10" t="s">
        <v>332</v>
      </c>
      <c r="I300" s="10" t="s">
        <v>191</v>
      </c>
      <c r="J300" s="10" t="s">
        <v>136</v>
      </c>
      <c r="K300" s="10" t="s">
        <v>184</v>
      </c>
      <c r="L300" s="10" t="s">
        <v>1223</v>
      </c>
      <c r="M300" s="9">
        <v>46037</v>
      </c>
      <c r="N300" s="9">
        <v>46107</v>
      </c>
      <c r="O300" s="9"/>
      <c r="P300" s="11">
        <v>33</v>
      </c>
      <c r="Q300" s="12">
        <v>15398423</v>
      </c>
      <c r="R300">
        <v>4192990.5828999998</v>
      </c>
      <c r="S300" s="22">
        <v>0.3</v>
      </c>
      <c r="T300" s="22">
        <v>0.11</v>
      </c>
      <c r="U300" s="12">
        <v>11964574.67</v>
      </c>
      <c r="V300" s="24">
        <v>3257953.682641</v>
      </c>
      <c r="W300" s="8">
        <v>8063153.6100000003</v>
      </c>
      <c r="X300" s="24">
        <v>2195596.7280029999</v>
      </c>
      <c r="Y300" s="22">
        <v>0.36</v>
      </c>
      <c r="Z300" s="22">
        <v>0.06</v>
      </c>
      <c r="AA300" s="8" t="s">
        <v>1224</v>
      </c>
      <c r="AB300" s="8">
        <v>9945543.3000000007</v>
      </c>
      <c r="AC300" s="24">
        <v>2708171.4405900002</v>
      </c>
      <c r="AD300" s="8">
        <v>7969086.1500000004</v>
      </c>
      <c r="AE300" s="24">
        <v>2169982.1586449998</v>
      </c>
      <c r="AF300" s="8">
        <v>60</v>
      </c>
      <c r="AG300" s="8">
        <v>140</v>
      </c>
      <c r="AH300" s="8" t="s">
        <v>329</v>
      </c>
      <c r="AI300" s="8" t="s">
        <v>320</v>
      </c>
      <c r="AJ300" s="22">
        <v>0.45</v>
      </c>
      <c r="AK300" s="8" t="s">
        <v>153</v>
      </c>
      <c r="AL300" s="22">
        <v>0.15</v>
      </c>
      <c r="AM300" s="22">
        <v>0.06</v>
      </c>
      <c r="AN300" s="8">
        <v>7</v>
      </c>
      <c r="AO300" s="8">
        <v>1870</v>
      </c>
      <c r="AP300" s="8">
        <v>1719285.66</v>
      </c>
      <c r="AQ300" s="24">
        <v>468161.48521799996</v>
      </c>
      <c r="AR300" s="8">
        <v>5061033.7699999996</v>
      </c>
      <c r="AS300" s="37">
        <v>1378119.4955709998</v>
      </c>
      <c r="AT300" s="8" t="s">
        <v>385</v>
      </c>
      <c r="AU300" s="8" t="s">
        <v>321</v>
      </c>
      <c r="AV300" s="8"/>
      <c r="AW300" s="8">
        <v>36</v>
      </c>
      <c r="AX300" s="8" t="s">
        <v>392</v>
      </c>
      <c r="AY300" s="8" t="s">
        <v>186</v>
      </c>
      <c r="AZ300" s="8" t="s">
        <v>332</v>
      </c>
      <c r="BA300" s="21">
        <f>IF(OR(tblsales[[#This Row],[Invoice Value USD]]="",tblsales[[#This Row],[Collected Amount USD]]=""),"",tblsales[[#This Row],[Invoice Value USD]]-tblsales[[#This Row],[Collected Amount USD]])</f>
        <v>538189.2819450004</v>
      </c>
      <c r="BB300" s="21">
        <f>IF(OR(tblsales[[#This Row],[Contract Value USD]]="",tblsales[[#This Row],[Cost Estimate USD]]=""),"",tblsales[[#This Row],[Contract Value USD]]-tblsales[[#This Row],[Cost Estimate USD]])</f>
        <v>1062356.9546380001</v>
      </c>
      <c r="BC300" s="21">
        <f>IF(OR(tblsales[[#This Row],[Contract Value USD]]="",tblsales[[#This Row],[Cost Estimate USD]]=""),"",tblsales[[#This Row],[Contract Value USD]]-tblsales[[#This Row],[Cost Estimate USD]])</f>
        <v>1062356.9546380001</v>
      </c>
      <c r="BD300" s="23">
        <f>IF(tblsales[[#This Row],[Invoice Value USD]]="","",tblsales[[#This Row],[Collected Amount USD]]/tblsales[[#This Row],[Invoice Value USD]])</f>
        <v>0.80127207831873792</v>
      </c>
      <c r="BE300" s="11">
        <f>IF(tblsales[[#This Row],[SalesStage]]="Won",1,0)</f>
        <v>1</v>
      </c>
      <c r="BF300" s="21" t="str">
        <f>IF(tblsales[[#This Row],[Win Flag]]=1,"Won","Lost")</f>
        <v>Won</v>
      </c>
      <c r="BG300" s="8"/>
    </row>
    <row r="301" spans="1:61" x14ac:dyDescent="0.3">
      <c r="A301" s="10" t="s">
        <v>1225</v>
      </c>
      <c r="B301" s="9">
        <v>45825</v>
      </c>
      <c r="C301" s="10" t="s">
        <v>273</v>
      </c>
      <c r="D301" s="10" t="s">
        <v>262</v>
      </c>
      <c r="E301" s="10" t="s">
        <v>20</v>
      </c>
      <c r="F301" s="10" t="s">
        <v>196</v>
      </c>
      <c r="G301" s="10" t="s">
        <v>332</v>
      </c>
      <c r="H301" s="10" t="s">
        <v>182</v>
      </c>
      <c r="I301" s="10" t="s">
        <v>233</v>
      </c>
      <c r="J301" s="10" t="s">
        <v>136</v>
      </c>
      <c r="K301" s="10" t="s">
        <v>184</v>
      </c>
      <c r="L301" s="10" t="s">
        <v>1226</v>
      </c>
      <c r="M301" s="9">
        <v>45776</v>
      </c>
      <c r="N301" s="9">
        <v>45937</v>
      </c>
      <c r="O301" s="9">
        <v>45898</v>
      </c>
      <c r="P301" s="11">
        <v>53</v>
      </c>
      <c r="Q301" s="12">
        <v>25190560</v>
      </c>
      <c r="R301">
        <v>25190560</v>
      </c>
      <c r="S301" s="22">
        <v>0.21</v>
      </c>
      <c r="T301" s="22">
        <v>0.04</v>
      </c>
      <c r="U301" s="12">
        <v>20696564.100000001</v>
      </c>
      <c r="V301" s="24">
        <v>20696564.100000001</v>
      </c>
      <c r="W301" s="8">
        <v>17186460.280000001</v>
      </c>
      <c r="X301" s="24">
        <v>17186460.280000001</v>
      </c>
      <c r="Y301" s="22">
        <v>0.12</v>
      </c>
      <c r="Z301" s="22">
        <v>0.13</v>
      </c>
      <c r="AA301" s="8" t="s">
        <v>1227</v>
      </c>
      <c r="AB301" s="8">
        <v>1169906</v>
      </c>
      <c r="AC301" s="24">
        <v>1169906</v>
      </c>
      <c r="AD301" s="8">
        <v>374157.65</v>
      </c>
      <c r="AE301" s="24">
        <v>374157.65</v>
      </c>
      <c r="AF301" s="8">
        <v>120</v>
      </c>
      <c r="AG301" s="8">
        <v>78</v>
      </c>
      <c r="AH301" s="8" t="s">
        <v>353</v>
      </c>
      <c r="AI301" s="8" t="s">
        <v>320</v>
      </c>
      <c r="AJ301" s="22">
        <v>0.81</v>
      </c>
      <c r="AK301" s="8" t="s">
        <v>152</v>
      </c>
      <c r="AL301" s="22">
        <v>0.1</v>
      </c>
      <c r="AM301" s="22">
        <v>0.06</v>
      </c>
      <c r="AN301" s="8">
        <v>8</v>
      </c>
      <c r="AO301" s="8">
        <v>2124</v>
      </c>
      <c r="AP301" s="8">
        <v>4583330.67</v>
      </c>
      <c r="AQ301" s="24">
        <v>4583330.67</v>
      </c>
      <c r="AR301" s="8">
        <v>9141988.8100000005</v>
      </c>
      <c r="AS301" s="37">
        <v>9141988.8100000005</v>
      </c>
      <c r="AT301" s="8" t="s">
        <v>332</v>
      </c>
      <c r="AU301" s="8" t="s">
        <v>348</v>
      </c>
      <c r="AV301" s="8"/>
      <c r="AW301" s="8">
        <v>48</v>
      </c>
      <c r="AX301" s="8" t="s">
        <v>323</v>
      </c>
      <c r="AY301" s="8" t="s">
        <v>206</v>
      </c>
      <c r="AZ301" s="8" t="s">
        <v>377</v>
      </c>
      <c r="BA301" s="21">
        <f>IF(OR(tblsales[[#This Row],[Invoice Value USD]]="",tblsales[[#This Row],[Collected Amount USD]]=""),"",tblsales[[#This Row],[Invoice Value USD]]-tblsales[[#This Row],[Collected Amount USD]])</f>
        <v>795748.35</v>
      </c>
      <c r="BB301" s="21">
        <f>IF(OR(tblsales[[#This Row],[Contract Value USD]]="",tblsales[[#This Row],[Cost Estimate USD]]=""),"",tblsales[[#This Row],[Contract Value USD]]-tblsales[[#This Row],[Cost Estimate USD]])</f>
        <v>3510103.8200000003</v>
      </c>
      <c r="BC301" s="21">
        <f>IF(OR(tblsales[[#This Row],[Contract Value USD]]="",tblsales[[#This Row],[Cost Estimate USD]]=""),"",tblsales[[#This Row],[Contract Value USD]]-tblsales[[#This Row],[Cost Estimate USD]])</f>
        <v>3510103.8200000003</v>
      </c>
      <c r="BD301" s="23">
        <f>IF(tblsales[[#This Row],[Invoice Value USD]]="","",tblsales[[#This Row],[Collected Amount USD]]/tblsales[[#This Row],[Invoice Value USD]])</f>
        <v>0.31981855807218701</v>
      </c>
      <c r="BE301" s="11">
        <f>IF(tblsales[[#This Row],[SalesStage]]="Won",1,0)</f>
        <v>1</v>
      </c>
      <c r="BF301" s="21" t="str">
        <f>IF(tblsales[[#This Row],[Win Flag]]=1,"Won","Lost")</f>
        <v>Won</v>
      </c>
      <c r="BG301" s="8"/>
    </row>
    <row r="302" spans="1:61" x14ac:dyDescent="0.3">
      <c r="A302" s="10" t="s">
        <v>1228</v>
      </c>
      <c r="B302" s="9">
        <v>45835</v>
      </c>
      <c r="C302" s="10" t="s">
        <v>208</v>
      </c>
      <c r="D302" s="10" t="s">
        <v>250</v>
      </c>
      <c r="E302" s="10" t="s">
        <v>113</v>
      </c>
      <c r="F302" s="10" t="s">
        <v>367</v>
      </c>
      <c r="G302" s="10" t="s">
        <v>66</v>
      </c>
      <c r="H302" s="10" t="s">
        <v>332</v>
      </c>
      <c r="I302" s="10" t="s">
        <v>203</v>
      </c>
      <c r="J302" s="10" t="s">
        <v>127</v>
      </c>
      <c r="K302" s="10" t="s">
        <v>223</v>
      </c>
      <c r="L302" s="10" t="s">
        <v>1229</v>
      </c>
      <c r="M302" s="9">
        <v>45761</v>
      </c>
      <c r="N302" s="9">
        <v>45868</v>
      </c>
      <c r="O302" s="9">
        <v>45865</v>
      </c>
      <c r="P302" s="11">
        <v>40</v>
      </c>
      <c r="Q302" s="12">
        <v>15561360</v>
      </c>
      <c r="R302">
        <v>18066738.960000001</v>
      </c>
      <c r="S302" s="22">
        <v>0.32</v>
      </c>
      <c r="T302" s="22">
        <v>-0.05</v>
      </c>
      <c r="U302" s="12">
        <v>10052638.560000001</v>
      </c>
      <c r="V302" s="24">
        <v>11671113.36816</v>
      </c>
      <c r="W302" s="8">
        <v>7226080.75</v>
      </c>
      <c r="X302" s="24">
        <v>8389479.7507499997</v>
      </c>
      <c r="Y302" s="22">
        <v>0.4</v>
      </c>
      <c r="Z302" s="22">
        <v>7.0000000000000007E-2</v>
      </c>
      <c r="AA302" s="8" t="s">
        <v>1230</v>
      </c>
      <c r="AB302" s="8">
        <v>8465609.4399999995</v>
      </c>
      <c r="AC302" s="24">
        <v>9828572.5598399993</v>
      </c>
      <c r="AD302" s="8">
        <v>5421346.7599999998</v>
      </c>
      <c r="AE302" s="24">
        <v>6294183.5883599995</v>
      </c>
      <c r="AF302" s="8">
        <v>45</v>
      </c>
      <c r="AG302" s="8">
        <v>31</v>
      </c>
      <c r="AH302" s="8" t="s">
        <v>332</v>
      </c>
      <c r="AI302" s="8" t="s">
        <v>336</v>
      </c>
      <c r="AJ302" s="22">
        <v>0.21</v>
      </c>
      <c r="AK302" s="8" t="s">
        <v>159</v>
      </c>
      <c r="AL302" s="22">
        <v>0.1</v>
      </c>
      <c r="AM302" s="22">
        <v>0.03</v>
      </c>
      <c r="AN302" s="8">
        <v>14</v>
      </c>
      <c r="AO302" s="8">
        <v>121</v>
      </c>
      <c r="AP302" s="8">
        <v>832713.7</v>
      </c>
      <c r="AQ302" s="24">
        <v>966780.60569999996</v>
      </c>
      <c r="AR302" s="8">
        <v>3893500.8</v>
      </c>
      <c r="AS302" s="37">
        <v>4520354.4287999999</v>
      </c>
      <c r="AT302" s="8" t="s">
        <v>355</v>
      </c>
      <c r="AU302" s="8" t="s">
        <v>332</v>
      </c>
      <c r="AV302" s="8"/>
      <c r="AW302" s="8">
        <v>24</v>
      </c>
      <c r="AX302" s="8" t="s">
        <v>392</v>
      </c>
      <c r="AY302" s="8" t="s">
        <v>192</v>
      </c>
      <c r="AZ302" s="8" t="s">
        <v>188</v>
      </c>
      <c r="BA302" s="21">
        <f>IF(OR(tblsales[[#This Row],[Invoice Value USD]]="",tblsales[[#This Row],[Collected Amount USD]]=""),"",tblsales[[#This Row],[Invoice Value USD]]-tblsales[[#This Row],[Collected Amount USD]])</f>
        <v>3534388.9714799998</v>
      </c>
      <c r="BB302" s="21">
        <f>IF(OR(tblsales[[#This Row],[Contract Value USD]]="",tblsales[[#This Row],[Cost Estimate USD]]=""),"",tblsales[[#This Row],[Contract Value USD]]-tblsales[[#This Row],[Cost Estimate USD]])</f>
        <v>3281633.6174100004</v>
      </c>
      <c r="BC302" s="21">
        <f>IF(OR(tblsales[[#This Row],[Contract Value USD]]="",tblsales[[#This Row],[Cost Estimate USD]]=""),"",tblsales[[#This Row],[Contract Value USD]]-tblsales[[#This Row],[Cost Estimate USD]])</f>
        <v>3281633.6174100004</v>
      </c>
      <c r="BD302" s="23">
        <f>IF(tblsales[[#This Row],[Invoice Value USD]]="","",tblsales[[#This Row],[Collected Amount USD]]/tblsales[[#This Row],[Invoice Value USD]])</f>
        <v>0.64039651231536143</v>
      </c>
      <c r="BE302" s="11">
        <f>IF(tblsales[[#This Row],[SalesStage]]="Won",1,0)</f>
        <v>0</v>
      </c>
      <c r="BF302" s="21" t="str">
        <f>IF(tblsales[[#This Row],[Win Flag]]=1,"Won","Lost")</f>
        <v>Lost</v>
      </c>
      <c r="BG302" s="8"/>
    </row>
    <row r="303" spans="1:61" x14ac:dyDescent="0.3">
      <c r="A303" s="10" t="s">
        <v>1231</v>
      </c>
      <c r="B303" s="9">
        <v>45762</v>
      </c>
      <c r="C303" s="10" t="s">
        <v>217</v>
      </c>
      <c r="D303" s="10" t="s">
        <v>281</v>
      </c>
      <c r="E303" s="10" t="s">
        <v>36</v>
      </c>
      <c r="F303" s="10" t="s">
        <v>339</v>
      </c>
      <c r="G303" s="10" t="s">
        <v>78</v>
      </c>
      <c r="H303" s="10" t="s">
        <v>216</v>
      </c>
      <c r="I303" s="10" t="s">
        <v>191</v>
      </c>
      <c r="J303" s="10" t="s">
        <v>115</v>
      </c>
      <c r="K303" s="10" t="s">
        <v>199</v>
      </c>
      <c r="L303" s="10" t="s">
        <v>1232</v>
      </c>
      <c r="M303" s="9">
        <v>45746</v>
      </c>
      <c r="N303" s="9">
        <v>45996</v>
      </c>
      <c r="O303" s="9">
        <v>45664</v>
      </c>
      <c r="P303" s="11">
        <v>24</v>
      </c>
      <c r="Q303" s="12">
        <v>35684609</v>
      </c>
      <c r="R303">
        <v>9716919.0307</v>
      </c>
      <c r="S303" s="22">
        <v>0.1</v>
      </c>
      <c r="T303" s="22">
        <v>0.13</v>
      </c>
      <c r="U303" s="12">
        <v>36291247.350000001</v>
      </c>
      <c r="V303" s="24">
        <v>9882106.6534049995</v>
      </c>
      <c r="W303" s="8">
        <v>31245352.190000001</v>
      </c>
      <c r="X303" s="24">
        <v>8508109.4013369996</v>
      </c>
      <c r="Y303" s="22">
        <v>0.08</v>
      </c>
      <c r="Z303" s="22">
        <v>7.0000000000000007E-2</v>
      </c>
      <c r="AA303" s="8" t="s">
        <v>1233</v>
      </c>
      <c r="AB303" s="8">
        <v>29099165.989999998</v>
      </c>
      <c r="AC303" s="24">
        <v>7923702.8990769992</v>
      </c>
      <c r="AD303" s="8">
        <v>16694781.07</v>
      </c>
      <c r="AE303" s="24">
        <v>4545988.885361</v>
      </c>
      <c r="AF303" s="8">
        <v>90</v>
      </c>
      <c r="AG303" s="8">
        <v>89</v>
      </c>
      <c r="AH303" s="8" t="s">
        <v>329</v>
      </c>
      <c r="AI303" s="8" t="s">
        <v>354</v>
      </c>
      <c r="AJ303" s="22">
        <v>0.7</v>
      </c>
      <c r="AK303" s="8" t="s">
        <v>153</v>
      </c>
      <c r="AL303" s="22">
        <v>0.15</v>
      </c>
      <c r="AM303" s="22">
        <v>0.04</v>
      </c>
      <c r="AN303" s="8">
        <v>1</v>
      </c>
      <c r="AO303" s="8">
        <v>4034</v>
      </c>
      <c r="AP303" s="8">
        <v>5907551.21</v>
      </c>
      <c r="AQ303" s="24">
        <v>1608626.1944829999</v>
      </c>
      <c r="AR303" s="8">
        <v>4861093.37</v>
      </c>
      <c r="AS303" s="37">
        <v>1323675.724651</v>
      </c>
      <c r="AT303" s="8" t="s">
        <v>332</v>
      </c>
      <c r="AU303" s="8" t="s">
        <v>322</v>
      </c>
      <c r="AV303" s="8">
        <v>85.6</v>
      </c>
      <c r="AW303" s="8">
        <v>48</v>
      </c>
      <c r="AX303" s="8" t="s">
        <v>332</v>
      </c>
      <c r="AY303" s="8" t="s">
        <v>224</v>
      </c>
      <c r="AZ303" s="8" t="s">
        <v>188</v>
      </c>
      <c r="BA303" s="21">
        <f>IF(OR(tblsales[[#This Row],[Invoice Value USD]]="",tblsales[[#This Row],[Collected Amount USD]]=""),"",tblsales[[#This Row],[Invoice Value USD]]-tblsales[[#This Row],[Collected Amount USD]])</f>
        <v>3377714.0137159992</v>
      </c>
      <c r="BB303" s="21">
        <f>IF(OR(tblsales[[#This Row],[Contract Value USD]]="",tblsales[[#This Row],[Cost Estimate USD]]=""),"",tblsales[[#This Row],[Contract Value USD]]-tblsales[[#This Row],[Cost Estimate USD]])</f>
        <v>1373997.2520679999</v>
      </c>
      <c r="BC303" s="21">
        <f>IF(OR(tblsales[[#This Row],[Contract Value USD]]="",tblsales[[#This Row],[Cost Estimate USD]]=""),"",tblsales[[#This Row],[Contract Value USD]]-tblsales[[#This Row],[Cost Estimate USD]])</f>
        <v>1373997.2520679999</v>
      </c>
      <c r="BD303" s="23">
        <f>IF(tblsales[[#This Row],[Invoice Value USD]]="","",tblsales[[#This Row],[Collected Amount USD]]/tblsales[[#This Row],[Invoice Value USD]])</f>
        <v>0.57372025973999408</v>
      </c>
      <c r="BE303" s="11">
        <f>IF(tblsales[[#This Row],[SalesStage]]="Won",1,0)</f>
        <v>0</v>
      </c>
      <c r="BF303" s="21" t="str">
        <f>IF(tblsales[[#This Row],[Win Flag]]=1,"Won","Lost")</f>
        <v>Lost</v>
      </c>
      <c r="BG303" s="8"/>
    </row>
    <row r="304" spans="1:61" x14ac:dyDescent="0.3">
      <c r="A304" s="10" t="s">
        <v>1234</v>
      </c>
      <c r="B304" s="9">
        <v>45673</v>
      </c>
      <c r="C304" s="10" t="s">
        <v>195</v>
      </c>
      <c r="D304" s="10" t="s">
        <v>220</v>
      </c>
      <c r="E304" s="10" t="s">
        <v>332</v>
      </c>
      <c r="F304" s="10" t="s">
        <v>35</v>
      </c>
      <c r="G304" s="10" t="s">
        <v>62</v>
      </c>
      <c r="H304" s="10" t="s">
        <v>332</v>
      </c>
      <c r="I304" s="10" t="s">
        <v>233</v>
      </c>
      <c r="J304" s="10" t="s">
        <v>130</v>
      </c>
      <c r="K304" s="10" t="s">
        <v>204</v>
      </c>
      <c r="L304" s="10" t="s">
        <v>1235</v>
      </c>
      <c r="M304" s="9">
        <v>45629</v>
      </c>
      <c r="N304" s="9">
        <v>45687</v>
      </c>
      <c r="O304" s="9"/>
      <c r="P304" s="11">
        <v>58</v>
      </c>
      <c r="Q304" s="12">
        <v>13059947</v>
      </c>
      <c r="R304">
        <v>3483087.8648999999</v>
      </c>
      <c r="S304" s="22">
        <v>0.3</v>
      </c>
      <c r="T304" s="22">
        <v>0.09</v>
      </c>
      <c r="U304" s="12">
        <v>9964739.5600000005</v>
      </c>
      <c r="V304" s="24">
        <v>2657596.0406519999</v>
      </c>
      <c r="W304" s="8">
        <v>7875240.8700000001</v>
      </c>
      <c r="X304" s="24">
        <v>2100326.7400289997</v>
      </c>
      <c r="Y304" s="22">
        <v>7.0000000000000007E-2</v>
      </c>
      <c r="Z304" s="22">
        <v>0.18</v>
      </c>
      <c r="AA304" s="8" t="s">
        <v>1236</v>
      </c>
      <c r="AB304" s="8">
        <v>3712671.9</v>
      </c>
      <c r="AC304" s="24">
        <v>990169.59572999994</v>
      </c>
      <c r="AD304" s="8">
        <v>1617881.29</v>
      </c>
      <c r="AE304" s="24">
        <v>431488.94004299998</v>
      </c>
      <c r="AF304" s="8">
        <v>30</v>
      </c>
      <c r="AG304" s="8">
        <v>122</v>
      </c>
      <c r="AH304" s="8" t="s">
        <v>329</v>
      </c>
      <c r="AI304" s="8" t="s">
        <v>320</v>
      </c>
      <c r="AJ304" s="22">
        <v>0.38</v>
      </c>
      <c r="AK304" s="8" t="s">
        <v>162</v>
      </c>
      <c r="AL304" s="22">
        <v>0.05</v>
      </c>
      <c r="AM304" s="22">
        <v>7.0000000000000007E-2</v>
      </c>
      <c r="AN304" s="8">
        <v>1</v>
      </c>
      <c r="AO304" s="8">
        <v>2294</v>
      </c>
      <c r="AP304" s="8">
        <v>2300476.1800000002</v>
      </c>
      <c r="AQ304" s="24">
        <v>613536.99720600003</v>
      </c>
      <c r="AR304" s="8">
        <v>2039394.61</v>
      </c>
      <c r="AS304" s="37">
        <v>543906.542487</v>
      </c>
      <c r="AT304" s="8" t="s">
        <v>355</v>
      </c>
      <c r="AU304" s="8" t="s">
        <v>330</v>
      </c>
      <c r="AV304" s="8">
        <v>64.3</v>
      </c>
      <c r="AW304" s="8">
        <v>60</v>
      </c>
      <c r="AX304" s="8" t="s">
        <v>332</v>
      </c>
      <c r="AY304" s="8" t="s">
        <v>206</v>
      </c>
      <c r="AZ304" s="8" t="s">
        <v>332</v>
      </c>
      <c r="BA304" s="21">
        <f>IF(OR(tblsales[[#This Row],[Invoice Value USD]]="",tblsales[[#This Row],[Collected Amount USD]]=""),"",tblsales[[#This Row],[Invoice Value USD]]-tblsales[[#This Row],[Collected Amount USD]])</f>
        <v>558680.6556869999</v>
      </c>
      <c r="BB304" s="21">
        <f>IF(OR(tblsales[[#This Row],[Contract Value USD]]="",tblsales[[#This Row],[Cost Estimate USD]]=""),"",tblsales[[#This Row],[Contract Value USD]]-tblsales[[#This Row],[Cost Estimate USD]])</f>
        <v>557269.30062300013</v>
      </c>
      <c r="BC304" s="21">
        <f>IF(OR(tblsales[[#This Row],[Contract Value USD]]="",tblsales[[#This Row],[Cost Estimate USD]]=""),"",tblsales[[#This Row],[Contract Value USD]]-tblsales[[#This Row],[Cost Estimate USD]])</f>
        <v>557269.30062300013</v>
      </c>
      <c r="BD304" s="23">
        <f>IF(tblsales[[#This Row],[Invoice Value USD]]="","",tblsales[[#This Row],[Collected Amount USD]]/tblsales[[#This Row],[Invoice Value USD]])</f>
        <v>0.4357727624679143</v>
      </c>
      <c r="BE304" s="11">
        <f>IF(tblsales[[#This Row],[SalesStage]]="Won",1,0)</f>
        <v>1</v>
      </c>
      <c r="BF304" s="21" t="str">
        <f>IF(tblsales[[#This Row],[Win Flag]]=1,"Won","Lost")</f>
        <v>Won</v>
      </c>
      <c r="BG304" s="8"/>
    </row>
    <row r="305" spans="1:59" x14ac:dyDescent="0.3">
      <c r="A305" s="10" t="s">
        <v>1237</v>
      </c>
      <c r="B305" s="9">
        <v>45769</v>
      </c>
      <c r="C305" s="10" t="s">
        <v>271</v>
      </c>
      <c r="D305" s="10" t="s">
        <v>248</v>
      </c>
      <c r="E305" s="10" t="s">
        <v>52</v>
      </c>
      <c r="F305" s="10" t="s">
        <v>75</v>
      </c>
      <c r="G305" s="10" t="s">
        <v>38</v>
      </c>
      <c r="H305" s="10" t="s">
        <v>212</v>
      </c>
      <c r="I305" s="10" t="s">
        <v>198</v>
      </c>
      <c r="J305" s="10" t="s">
        <v>119</v>
      </c>
      <c r="K305" s="10" t="s">
        <v>199</v>
      </c>
      <c r="L305" s="10" t="s">
        <v>1238</v>
      </c>
      <c r="M305" s="9">
        <v>45719</v>
      </c>
      <c r="N305" s="9" t="s">
        <v>1053</v>
      </c>
      <c r="O305" s="9"/>
      <c r="P305" s="11">
        <v>46</v>
      </c>
      <c r="Q305" s="12">
        <v>30421567</v>
      </c>
      <c r="R305">
        <v>30421567</v>
      </c>
      <c r="S305" s="22">
        <v>0.25</v>
      </c>
      <c r="T305" s="22">
        <v>0.09</v>
      </c>
      <c r="U305" s="12">
        <v>24869631.02</v>
      </c>
      <c r="V305" s="24">
        <v>24869631.02</v>
      </c>
      <c r="W305" s="8">
        <v>17733356.289999999</v>
      </c>
      <c r="X305" s="24">
        <v>17733356.289999999</v>
      </c>
      <c r="Y305" s="22"/>
      <c r="Z305" s="22">
        <v>0.06</v>
      </c>
      <c r="AA305" s="8" t="s">
        <v>1239</v>
      </c>
      <c r="AB305" s="8">
        <v>1572610.12</v>
      </c>
      <c r="AC305" s="24">
        <v>1572610.12</v>
      </c>
      <c r="AD305" s="8">
        <v>1335133.93</v>
      </c>
      <c r="AE305" s="24">
        <v>1335133.93</v>
      </c>
      <c r="AF305" s="8">
        <v>60</v>
      </c>
      <c r="AG305" s="8">
        <v>62</v>
      </c>
      <c r="AH305" s="8" t="s">
        <v>347</v>
      </c>
      <c r="AI305" s="8" t="s">
        <v>354</v>
      </c>
      <c r="AJ305" s="22">
        <v>0.66</v>
      </c>
      <c r="AK305" s="8" t="s">
        <v>152</v>
      </c>
      <c r="AL305" s="22">
        <v>0.05</v>
      </c>
      <c r="AM305" s="22">
        <v>0.02</v>
      </c>
      <c r="AN305" s="8">
        <v>14</v>
      </c>
      <c r="AO305" s="8">
        <v>1678</v>
      </c>
      <c r="AP305" s="8">
        <v>4207952.04</v>
      </c>
      <c r="AQ305" s="24">
        <v>4207952.04</v>
      </c>
      <c r="AR305" s="8">
        <v>4105817.27</v>
      </c>
      <c r="AS305" s="37">
        <v>4105817.27</v>
      </c>
      <c r="AT305" s="8" t="s">
        <v>343</v>
      </c>
      <c r="AU305" s="8" t="s">
        <v>356</v>
      </c>
      <c r="AV305" s="8">
        <v>77</v>
      </c>
      <c r="AW305" s="8">
        <v>60</v>
      </c>
      <c r="AX305" s="8" t="s">
        <v>332</v>
      </c>
      <c r="AY305" s="8" t="s">
        <v>192</v>
      </c>
      <c r="AZ305" s="8" t="s">
        <v>188</v>
      </c>
      <c r="BA305" s="21">
        <f>IF(OR(tblsales[[#This Row],[Invoice Value USD]]="",tblsales[[#This Row],[Collected Amount USD]]=""),"",tblsales[[#This Row],[Invoice Value USD]]-tblsales[[#This Row],[Collected Amount USD]])</f>
        <v>237476.19000000018</v>
      </c>
      <c r="BB305" s="21">
        <f>IF(OR(tblsales[[#This Row],[Contract Value USD]]="",tblsales[[#This Row],[Cost Estimate USD]]=""),"",tblsales[[#This Row],[Contract Value USD]]-tblsales[[#This Row],[Cost Estimate USD]])</f>
        <v>7136274.7300000004</v>
      </c>
      <c r="BC305" s="21">
        <f>IF(OR(tblsales[[#This Row],[Contract Value USD]]="",tblsales[[#This Row],[Cost Estimate USD]]=""),"",tblsales[[#This Row],[Contract Value USD]]-tblsales[[#This Row],[Cost Estimate USD]])</f>
        <v>7136274.7300000004</v>
      </c>
      <c r="BD305" s="23">
        <f>IF(tblsales[[#This Row],[Invoice Value USD]]="","",tblsales[[#This Row],[Collected Amount USD]]/tblsales[[#This Row],[Invoice Value USD]])</f>
        <v>0.84899233002519392</v>
      </c>
      <c r="BE305" s="11">
        <f>IF(tblsales[[#This Row],[SalesStage]]="Won",1,0)</f>
        <v>0</v>
      </c>
      <c r="BF305" s="21" t="str">
        <f>IF(tblsales[[#This Row],[Win Flag]]=1,"Won","Lost")</f>
        <v>Lost</v>
      </c>
      <c r="BG305" s="8"/>
    </row>
    <row r="306" spans="1:59" x14ac:dyDescent="0.3">
      <c r="A306" s="10" t="s">
        <v>1240</v>
      </c>
      <c r="B306" s="9">
        <v>45858</v>
      </c>
      <c r="C306" s="10" t="s">
        <v>208</v>
      </c>
      <c r="D306" s="10" t="s">
        <v>332</v>
      </c>
      <c r="E306" s="10" t="s">
        <v>41</v>
      </c>
      <c r="F306" s="10" t="s">
        <v>350</v>
      </c>
      <c r="G306" s="10" t="s">
        <v>78</v>
      </c>
      <c r="H306" s="10" t="s">
        <v>263</v>
      </c>
      <c r="I306" s="10" t="s">
        <v>198</v>
      </c>
      <c r="J306" s="10" t="s">
        <v>105</v>
      </c>
      <c r="K306" s="10" t="s">
        <v>333</v>
      </c>
      <c r="L306" s="10" t="s">
        <v>1241</v>
      </c>
      <c r="M306" s="9">
        <v>45799</v>
      </c>
      <c r="N306" s="9"/>
      <c r="O306" s="9"/>
      <c r="P306" s="11">
        <v>26</v>
      </c>
      <c r="Q306" s="12">
        <v>10743900</v>
      </c>
      <c r="R306">
        <v>12473667.9</v>
      </c>
      <c r="S306" s="22">
        <v>0.33</v>
      </c>
      <c r="T306" s="22">
        <v>0.09</v>
      </c>
      <c r="U306" s="12">
        <v>7846270.1699999999</v>
      </c>
      <c r="V306" s="24">
        <v>9109519.6673700009</v>
      </c>
      <c r="W306" s="8">
        <v>4926532.92</v>
      </c>
      <c r="X306" s="24">
        <v>5719704.7201199997</v>
      </c>
      <c r="Y306" s="22">
        <v>0.3</v>
      </c>
      <c r="Z306" s="22">
        <v>0.18</v>
      </c>
      <c r="AA306" s="8" t="s">
        <v>1242</v>
      </c>
      <c r="AB306" s="8">
        <v>6950968.5300000003</v>
      </c>
      <c r="AC306" s="24">
        <v>8070074.4633300006</v>
      </c>
      <c r="AD306" s="8">
        <v>4960662.1399999997</v>
      </c>
      <c r="AE306" s="24">
        <v>5759328.7445399994</v>
      </c>
      <c r="AF306" s="8">
        <v>120</v>
      </c>
      <c r="AG306" s="8">
        <v>13</v>
      </c>
      <c r="AH306" s="8" t="s">
        <v>329</v>
      </c>
      <c r="AI306" s="8" t="s">
        <v>455</v>
      </c>
      <c r="AJ306" s="22">
        <v>0.72</v>
      </c>
      <c r="AK306" s="8" t="s">
        <v>159</v>
      </c>
      <c r="AL306" s="22">
        <v>0.15</v>
      </c>
      <c r="AM306" s="22">
        <v>0.09</v>
      </c>
      <c r="AN306" s="8">
        <v>5</v>
      </c>
      <c r="AO306" s="8">
        <v>398</v>
      </c>
      <c r="AP306" s="8">
        <v>655662.77</v>
      </c>
      <c r="AQ306" s="24">
        <v>761224.47597000003</v>
      </c>
      <c r="AR306" s="8">
        <v>3190087.45</v>
      </c>
      <c r="AS306" s="37">
        <v>3703691.5294500003</v>
      </c>
      <c r="AT306" s="8" t="s">
        <v>73</v>
      </c>
      <c r="AU306" s="8" t="s">
        <v>386</v>
      </c>
      <c r="AV306" s="8">
        <v>82.5</v>
      </c>
      <c r="AW306" s="8">
        <v>24</v>
      </c>
      <c r="AX306" s="8" t="s">
        <v>332</v>
      </c>
      <c r="AY306" s="8" t="s">
        <v>192</v>
      </c>
      <c r="AZ306" s="8" t="s">
        <v>361</v>
      </c>
      <c r="BA306" s="21">
        <f>IF(OR(tblsales[[#This Row],[Invoice Value USD]]="",tblsales[[#This Row],[Collected Amount USD]]=""),"",tblsales[[#This Row],[Invoice Value USD]]-tblsales[[#This Row],[Collected Amount USD]])</f>
        <v>2310745.7187900012</v>
      </c>
      <c r="BB306" s="21">
        <f>IF(OR(tblsales[[#This Row],[Contract Value USD]]="",tblsales[[#This Row],[Cost Estimate USD]]=""),"",tblsales[[#This Row],[Contract Value USD]]-tblsales[[#This Row],[Cost Estimate USD]])</f>
        <v>3389814.9472500011</v>
      </c>
      <c r="BC306" s="21">
        <f>IF(OR(tblsales[[#This Row],[Contract Value USD]]="",tblsales[[#This Row],[Cost Estimate USD]]=""),"",tblsales[[#This Row],[Contract Value USD]]-tblsales[[#This Row],[Cost Estimate USD]])</f>
        <v>3389814.9472500011</v>
      </c>
      <c r="BD306" s="23">
        <f>IF(tblsales[[#This Row],[Invoice Value USD]]="","",tblsales[[#This Row],[Collected Amount USD]]/tblsales[[#This Row],[Invoice Value USD]])</f>
        <v>0.7136648826116897</v>
      </c>
      <c r="BE306" s="11">
        <f>IF(tblsales[[#This Row],[SalesStage]]="Won",1,0)</f>
        <v>0</v>
      </c>
      <c r="BF306" s="21" t="str">
        <f>IF(tblsales[[#This Row],[Win Flag]]=1,"Won","Lost")</f>
        <v>Lost</v>
      </c>
      <c r="BG306" s="8"/>
    </row>
    <row r="307" spans="1:59" x14ac:dyDescent="0.3">
      <c r="A307" s="10" t="s">
        <v>1243</v>
      </c>
      <c r="B307" s="9">
        <v>45759</v>
      </c>
      <c r="C307" s="10" t="s">
        <v>257</v>
      </c>
      <c r="D307" s="10" t="s">
        <v>245</v>
      </c>
      <c r="E307" s="10" t="s">
        <v>52</v>
      </c>
      <c r="F307" s="10" t="s">
        <v>75</v>
      </c>
      <c r="G307" s="10" t="s">
        <v>46</v>
      </c>
      <c r="H307" s="10" t="s">
        <v>182</v>
      </c>
      <c r="I307" s="10" t="s">
        <v>183</v>
      </c>
      <c r="J307" s="10" t="s">
        <v>119</v>
      </c>
      <c r="K307" s="10" t="s">
        <v>210</v>
      </c>
      <c r="L307" s="10" t="s">
        <v>1244</v>
      </c>
      <c r="M307" s="9">
        <v>45738</v>
      </c>
      <c r="N307" s="9">
        <v>45995</v>
      </c>
      <c r="O307" s="9">
        <v>45801</v>
      </c>
      <c r="P307" s="11">
        <v>40</v>
      </c>
      <c r="Q307" s="12">
        <v>49413295</v>
      </c>
      <c r="R307">
        <v>13455240.228499999</v>
      </c>
      <c r="S307" s="22">
        <v>0.27</v>
      </c>
      <c r="T307" s="22">
        <v>-0.05</v>
      </c>
      <c r="U307" s="12">
        <v>34268120.079999998</v>
      </c>
      <c r="V307" s="24">
        <v>9331209.0977839995</v>
      </c>
      <c r="W307" s="8">
        <v>26920491.239999998</v>
      </c>
      <c r="X307" s="24">
        <v>7330449.7646519989</v>
      </c>
      <c r="Y307" s="22"/>
      <c r="Z307" s="22">
        <v>0.14000000000000001</v>
      </c>
      <c r="AA307" s="8" t="s">
        <v>1245</v>
      </c>
      <c r="AB307" s="8">
        <v>26043973.969999999</v>
      </c>
      <c r="AC307" s="24">
        <v>7091774.1120309997</v>
      </c>
      <c r="AD307" s="8">
        <v>16236390.59</v>
      </c>
      <c r="AE307" s="24">
        <v>4421169.1576569993</v>
      </c>
      <c r="AF307" s="8">
        <v>45</v>
      </c>
      <c r="AG307" s="8">
        <v>1</v>
      </c>
      <c r="AH307" s="8" t="s">
        <v>342</v>
      </c>
      <c r="AI307" s="8" t="s">
        <v>320</v>
      </c>
      <c r="AJ307" s="22">
        <v>0.4</v>
      </c>
      <c r="AK307" s="8" t="s">
        <v>153</v>
      </c>
      <c r="AL307" s="22">
        <v>0.1</v>
      </c>
      <c r="AM307" s="22">
        <v>0.09</v>
      </c>
      <c r="AN307" s="8">
        <v>12</v>
      </c>
      <c r="AO307" s="8">
        <v>4548</v>
      </c>
      <c r="AP307" s="8">
        <v>4896504.5599999996</v>
      </c>
      <c r="AQ307" s="24">
        <v>1333318.1916879998</v>
      </c>
      <c r="AR307" s="8">
        <v>11950391.130000001</v>
      </c>
      <c r="AS307" s="37">
        <v>3254091.5046990002</v>
      </c>
      <c r="AT307" s="8" t="s">
        <v>73</v>
      </c>
      <c r="AU307" s="8" t="s">
        <v>386</v>
      </c>
      <c r="AV307" s="8">
        <v>88</v>
      </c>
      <c r="AW307" s="8">
        <v>60</v>
      </c>
      <c r="AX307" s="8" t="s">
        <v>392</v>
      </c>
      <c r="AY307" s="8" t="s">
        <v>206</v>
      </c>
      <c r="AZ307" s="8" t="s">
        <v>324</v>
      </c>
      <c r="BA307" s="21">
        <f>IF(OR(tblsales[[#This Row],[Invoice Value USD]]="",tblsales[[#This Row],[Collected Amount USD]]=""),"",tblsales[[#This Row],[Invoice Value USD]]-tblsales[[#This Row],[Collected Amount USD]])</f>
        <v>2670604.9543740004</v>
      </c>
      <c r="BB307" s="21">
        <f>IF(OR(tblsales[[#This Row],[Contract Value USD]]="",tblsales[[#This Row],[Cost Estimate USD]]=""),"",tblsales[[#This Row],[Contract Value USD]]-tblsales[[#This Row],[Cost Estimate USD]])</f>
        <v>2000759.3331320006</v>
      </c>
      <c r="BC307" s="21">
        <f>IF(OR(tblsales[[#This Row],[Contract Value USD]]="",tblsales[[#This Row],[Cost Estimate USD]]=""),"",tblsales[[#This Row],[Contract Value USD]]-tblsales[[#This Row],[Cost Estimate USD]])</f>
        <v>2000759.3331320006</v>
      </c>
      <c r="BD307" s="23">
        <f>IF(tblsales[[#This Row],[Invoice Value USD]]="","",tblsales[[#This Row],[Collected Amount USD]]/tblsales[[#This Row],[Invoice Value USD]])</f>
        <v>0.62342216317304966</v>
      </c>
      <c r="BE307" s="11">
        <f>IF(tblsales[[#This Row],[SalesStage]]="Won",1,0)</f>
        <v>1</v>
      </c>
      <c r="BF307" s="21" t="str">
        <f>IF(tblsales[[#This Row],[Win Flag]]=1,"Won","Lost")</f>
        <v>Won</v>
      </c>
      <c r="BG307" s="8"/>
    </row>
    <row r="308" spans="1:59" x14ac:dyDescent="0.3">
      <c r="A308" s="10" t="s">
        <v>5783</v>
      </c>
      <c r="B308" s="9">
        <v>45924</v>
      </c>
      <c r="C308" s="10" t="s">
        <v>211</v>
      </c>
      <c r="D308" s="10" t="s">
        <v>265</v>
      </c>
      <c r="E308" s="10" t="s">
        <v>41</v>
      </c>
      <c r="F308" s="10" t="s">
        <v>350</v>
      </c>
      <c r="G308" s="10" t="s">
        <v>78</v>
      </c>
      <c r="H308" s="10" t="s">
        <v>263</v>
      </c>
      <c r="I308" s="10" t="s">
        <v>191</v>
      </c>
      <c r="J308" s="10" t="s">
        <v>105</v>
      </c>
      <c r="K308" s="10" t="s">
        <v>204</v>
      </c>
      <c r="L308" s="10" t="s">
        <v>3794</v>
      </c>
      <c r="M308" s="9">
        <v>45866</v>
      </c>
      <c r="N308" s="9">
        <v>45929</v>
      </c>
      <c r="O308" s="9">
        <v>46027</v>
      </c>
      <c r="P308" s="11">
        <v>7</v>
      </c>
      <c r="Q308" s="12">
        <v>42832856</v>
      </c>
      <c r="R308">
        <v>49728945.816</v>
      </c>
      <c r="S308" s="22">
        <v>0.2</v>
      </c>
      <c r="T308" s="22">
        <v>7.0000000000000007E-2</v>
      </c>
      <c r="U308" s="12">
        <v>36664924.740000002</v>
      </c>
      <c r="V308" s="24">
        <v>42567977.623140007</v>
      </c>
      <c r="W308" s="8">
        <v>25972042.140000001</v>
      </c>
      <c r="X308" s="24">
        <v>30153540.924540002</v>
      </c>
      <c r="Y308" s="22">
        <v>0.39</v>
      </c>
      <c r="Z308" s="22">
        <v>7.0000000000000007E-2</v>
      </c>
      <c r="AA308" s="8" t="s">
        <v>3797</v>
      </c>
      <c r="AB308" s="8">
        <v>32842809.120000001</v>
      </c>
      <c r="AC308" s="24">
        <v>38130501.388319999</v>
      </c>
      <c r="AD308" s="8">
        <v>27204666.719999999</v>
      </c>
      <c r="AE308" s="24">
        <v>31584618.061919998</v>
      </c>
      <c r="AF308" s="8">
        <v>90</v>
      </c>
      <c r="AG308" s="8">
        <v>158</v>
      </c>
      <c r="AH308" s="8" t="s">
        <v>353</v>
      </c>
      <c r="AI308" s="8" t="s">
        <v>406</v>
      </c>
      <c r="AJ308" s="22">
        <v>0.12</v>
      </c>
      <c r="AK308" s="8" t="s">
        <v>159</v>
      </c>
      <c r="AL308" s="22">
        <v>0.05</v>
      </c>
      <c r="AM308" s="22">
        <v>0.04</v>
      </c>
      <c r="AN308" s="8">
        <v>13</v>
      </c>
      <c r="AO308" s="8">
        <v>4942</v>
      </c>
      <c r="AP308" s="8">
        <v>1362633.81</v>
      </c>
      <c r="AQ308" s="24">
        <v>1582017.8534100002</v>
      </c>
      <c r="AR308" s="8">
        <v>15358711.9</v>
      </c>
      <c r="AS308" s="37">
        <v>17831464.515900001</v>
      </c>
      <c r="AT308" s="8" t="s">
        <v>391</v>
      </c>
      <c r="AU308" s="8" t="s">
        <v>330</v>
      </c>
      <c r="AV308" s="8">
        <v>85.3</v>
      </c>
      <c r="AW308" s="8">
        <v>24</v>
      </c>
      <c r="AX308" s="8" t="s">
        <v>387</v>
      </c>
      <c r="AY308" s="8" t="s">
        <v>224</v>
      </c>
      <c r="AZ308" s="8" t="s">
        <v>357</v>
      </c>
      <c r="BA308" s="21">
        <f>IF(OR(tblsales[[#This Row],[Invoice Value USD]]="",tblsales[[#This Row],[Collected Amount USD]]=""),"",tblsales[[#This Row],[Invoice Value USD]]-tblsales[[#This Row],[Collected Amount USD]])</f>
        <v>6545883.3264000006</v>
      </c>
      <c r="BB308" s="21">
        <f>IF(OR(tblsales[[#This Row],[Contract Value USD]]="",tblsales[[#This Row],[Cost Estimate USD]]=""),"",tblsales[[#This Row],[Contract Value USD]]-tblsales[[#This Row],[Cost Estimate USD]])</f>
        <v>12414436.698600005</v>
      </c>
      <c r="BC308" s="21">
        <f>IF(OR(tblsales[[#This Row],[Contract Value USD]]="",tblsales[[#This Row],[Cost Estimate USD]]=""),"",tblsales[[#This Row],[Contract Value USD]]-tblsales[[#This Row],[Cost Estimate USD]])</f>
        <v>12414436.698600005</v>
      </c>
      <c r="BD308" s="23">
        <f>IF(tblsales[[#This Row],[Invoice Value USD]]="","",tblsales[[#This Row],[Collected Amount USD]]/tblsales[[#This Row],[Invoice Value USD]])</f>
        <v>0.82832947147122715</v>
      </c>
      <c r="BE308" s="11">
        <f>IF(tblsales[[#This Row],[SalesStage]]="Won",1,0)</f>
        <v>0</v>
      </c>
      <c r="BF308" s="21" t="str">
        <f>IF(tblsales[[#This Row],[Win Flag]]=1,"Won","Lost")</f>
        <v>Lost</v>
      </c>
      <c r="BG308" s="8"/>
    </row>
    <row r="309" spans="1:59" x14ac:dyDescent="0.3">
      <c r="A309" s="10" t="s">
        <v>1246</v>
      </c>
      <c r="B309" s="9">
        <v>45741</v>
      </c>
      <c r="C309" s="10" t="s">
        <v>285</v>
      </c>
      <c r="D309" s="10" t="s">
        <v>248</v>
      </c>
      <c r="E309" s="10" t="s">
        <v>113</v>
      </c>
      <c r="F309" s="10" t="s">
        <v>367</v>
      </c>
      <c r="G309" s="10" t="s">
        <v>46</v>
      </c>
      <c r="H309" s="10" t="s">
        <v>216</v>
      </c>
      <c r="I309" s="10" t="s">
        <v>240</v>
      </c>
      <c r="J309" s="10" t="s">
        <v>111</v>
      </c>
      <c r="K309" s="10" t="s">
        <v>333</v>
      </c>
      <c r="L309" s="10" t="s">
        <v>1247</v>
      </c>
      <c r="M309" s="9">
        <v>45731</v>
      </c>
      <c r="N309" s="9">
        <v>45744</v>
      </c>
      <c r="O309" s="9">
        <v>45799</v>
      </c>
      <c r="P309" s="11">
        <v>6</v>
      </c>
      <c r="Q309" s="12">
        <v>9656529</v>
      </c>
      <c r="R309">
        <v>2629472.8466999996</v>
      </c>
      <c r="S309" s="22">
        <v>0.22</v>
      </c>
      <c r="T309" s="22">
        <v>7.0000000000000007E-2</v>
      </c>
      <c r="U309" s="12">
        <v>8059339.0999999996</v>
      </c>
      <c r="V309" s="24">
        <v>2194558.0369299999</v>
      </c>
      <c r="W309" s="8">
        <v>5346417.5599999996</v>
      </c>
      <c r="X309" s="24">
        <v>1455829.5015879998</v>
      </c>
      <c r="Y309" s="22">
        <v>0.35</v>
      </c>
      <c r="Z309" s="22">
        <v>0.12</v>
      </c>
      <c r="AA309" s="8" t="s">
        <v>1248</v>
      </c>
      <c r="AB309" s="8"/>
      <c r="AC309" s="24"/>
      <c r="AD309" s="8">
        <v>1406573.02</v>
      </c>
      <c r="AE309" s="24">
        <v>383009.833346</v>
      </c>
      <c r="AF309" s="8">
        <v>30</v>
      </c>
      <c r="AG309" s="8">
        <v>68</v>
      </c>
      <c r="AH309" s="8" t="s">
        <v>329</v>
      </c>
      <c r="AI309" s="8" t="s">
        <v>455</v>
      </c>
      <c r="AJ309" s="22">
        <v>0.73</v>
      </c>
      <c r="AK309" s="8" t="s">
        <v>153</v>
      </c>
      <c r="AL309" s="22">
        <v>0.1</v>
      </c>
      <c r="AM309" s="22">
        <v>0.03</v>
      </c>
      <c r="AN309" s="8">
        <v>4</v>
      </c>
      <c r="AO309" s="8">
        <v>2303</v>
      </c>
      <c r="AP309" s="8"/>
      <c r="AQ309" s="24"/>
      <c r="AR309" s="8">
        <v>2482826.5699999998</v>
      </c>
      <c r="AS309" s="37">
        <v>676073.6750109999</v>
      </c>
      <c r="AT309" s="8" t="s">
        <v>385</v>
      </c>
      <c r="AU309" s="8" t="s">
        <v>322</v>
      </c>
      <c r="AV309" s="8">
        <v>96</v>
      </c>
      <c r="AW309" s="8">
        <v>60</v>
      </c>
      <c r="AX309" s="8" t="s">
        <v>332</v>
      </c>
      <c r="AY309" s="8" t="s">
        <v>224</v>
      </c>
      <c r="AZ309" s="8" t="s">
        <v>377</v>
      </c>
      <c r="BA309" s="21" t="str">
        <f>IF(OR(tblsales[[#This Row],[Invoice Value USD]]="",tblsales[[#This Row],[Collected Amount USD]]=""),"",tblsales[[#This Row],[Invoice Value USD]]-tblsales[[#This Row],[Collected Amount USD]])</f>
        <v/>
      </c>
      <c r="BB309" s="21">
        <f>IF(OR(tblsales[[#This Row],[Contract Value USD]]="",tblsales[[#This Row],[Cost Estimate USD]]=""),"",tblsales[[#This Row],[Contract Value USD]]-tblsales[[#This Row],[Cost Estimate USD]])</f>
        <v>738728.53534200019</v>
      </c>
      <c r="BC309" s="21">
        <f>IF(OR(tblsales[[#This Row],[Contract Value USD]]="",tblsales[[#This Row],[Cost Estimate USD]]=""),"",tblsales[[#This Row],[Contract Value USD]]-tblsales[[#This Row],[Cost Estimate USD]])</f>
        <v>738728.53534200019</v>
      </c>
      <c r="BD309" s="23" t="str">
        <f>IF(tblsales[[#This Row],[Invoice Value USD]]="","",tblsales[[#This Row],[Collected Amount USD]]/tblsales[[#This Row],[Invoice Value USD]])</f>
        <v/>
      </c>
      <c r="BE309" s="11">
        <f>IF(tblsales[[#This Row],[SalesStage]]="Won",1,0)</f>
        <v>0</v>
      </c>
      <c r="BF309" s="21" t="str">
        <f>IF(tblsales[[#This Row],[Win Flag]]=1,"Won","Lost")</f>
        <v>Lost</v>
      </c>
      <c r="BG309" s="8"/>
    </row>
    <row r="310" spans="1:59" x14ac:dyDescent="0.3">
      <c r="A310" s="10" t="s">
        <v>1249</v>
      </c>
      <c r="B310" s="9">
        <v>45872</v>
      </c>
      <c r="C310" s="10" t="s">
        <v>244</v>
      </c>
      <c r="D310" s="10" t="s">
        <v>238</v>
      </c>
      <c r="E310" s="10" t="s">
        <v>41</v>
      </c>
      <c r="F310" s="10" t="s">
        <v>350</v>
      </c>
      <c r="G310" s="10" t="s">
        <v>46</v>
      </c>
      <c r="H310" s="10" t="s">
        <v>182</v>
      </c>
      <c r="I310" s="10" t="s">
        <v>191</v>
      </c>
      <c r="J310" s="10" t="s">
        <v>105</v>
      </c>
      <c r="K310" s="10" t="s">
        <v>333</v>
      </c>
      <c r="L310" s="10" t="s">
        <v>1250</v>
      </c>
      <c r="M310" s="9">
        <v>45856</v>
      </c>
      <c r="N310" s="9"/>
      <c r="O310" s="9"/>
      <c r="P310" s="11"/>
      <c r="Q310" s="12">
        <v>5064586</v>
      </c>
      <c r="R310">
        <v>5879984.3459999999</v>
      </c>
      <c r="S310" s="22">
        <v>0.14000000000000001</v>
      </c>
      <c r="T310" s="22">
        <v>0.18</v>
      </c>
      <c r="U310" s="12">
        <v>5139541.87</v>
      </c>
      <c r="V310" s="24">
        <v>5967008.1110700006</v>
      </c>
      <c r="W310" s="8">
        <v>3567731.36</v>
      </c>
      <c r="X310" s="24">
        <v>4142136.1089599999</v>
      </c>
      <c r="Y310" s="22"/>
      <c r="Z310" s="22">
        <v>0.19</v>
      </c>
      <c r="AA310" s="8" t="s">
        <v>1251</v>
      </c>
      <c r="AB310" s="8">
        <v>4294429.45</v>
      </c>
      <c r="AC310" s="24">
        <v>4985832.5914500002</v>
      </c>
      <c r="AD310" s="8">
        <v>4019040.75</v>
      </c>
      <c r="AE310" s="24">
        <v>4666106.3107500002</v>
      </c>
      <c r="AF310" s="8">
        <v>60</v>
      </c>
      <c r="AG310" s="8">
        <v>2</v>
      </c>
      <c r="AH310" s="8" t="s">
        <v>376</v>
      </c>
      <c r="AI310" s="8" t="s">
        <v>226</v>
      </c>
      <c r="AJ310" s="22">
        <v>0.5</v>
      </c>
      <c r="AK310" s="8" t="s">
        <v>159</v>
      </c>
      <c r="AL310" s="22">
        <v>0.05</v>
      </c>
      <c r="AM310" s="22">
        <v>0.08</v>
      </c>
      <c r="AN310" s="8">
        <v>1</v>
      </c>
      <c r="AO310" s="8">
        <v>2568</v>
      </c>
      <c r="AP310" s="8">
        <v>489606.25</v>
      </c>
      <c r="AQ310" s="24">
        <v>568432.85625000007</v>
      </c>
      <c r="AR310" s="8">
        <v>2180662.73</v>
      </c>
      <c r="AS310" s="37">
        <v>2531749.4295299998</v>
      </c>
      <c r="AT310" s="8" t="s">
        <v>73</v>
      </c>
      <c r="AU310" s="8" t="s">
        <v>386</v>
      </c>
      <c r="AV310" s="8">
        <v>91.5</v>
      </c>
      <c r="AW310" s="8">
        <v>60</v>
      </c>
      <c r="AX310" s="8" t="s">
        <v>332</v>
      </c>
      <c r="AY310" s="8" t="s">
        <v>229</v>
      </c>
      <c r="AZ310" s="8" t="s">
        <v>324</v>
      </c>
      <c r="BA310" s="21">
        <f>IF(OR(tblsales[[#This Row],[Invoice Value USD]]="",tblsales[[#This Row],[Collected Amount USD]]=""),"",tblsales[[#This Row],[Invoice Value USD]]-tblsales[[#This Row],[Collected Amount USD]])</f>
        <v>319726.2807</v>
      </c>
      <c r="BB310" s="21">
        <f>IF(OR(tblsales[[#This Row],[Contract Value USD]]="",tblsales[[#This Row],[Cost Estimate USD]]=""),"",tblsales[[#This Row],[Contract Value USD]]-tblsales[[#This Row],[Cost Estimate USD]])</f>
        <v>1824872.0021100007</v>
      </c>
      <c r="BC310" s="21">
        <f>IF(OR(tblsales[[#This Row],[Contract Value USD]]="",tblsales[[#This Row],[Cost Estimate USD]]=""),"",tblsales[[#This Row],[Contract Value USD]]-tblsales[[#This Row],[Cost Estimate USD]])</f>
        <v>1824872.0021100007</v>
      </c>
      <c r="BD310" s="23">
        <f>IF(tblsales[[#This Row],[Invoice Value USD]]="","",tblsales[[#This Row],[Collected Amount USD]]/tblsales[[#This Row],[Invoice Value USD]])</f>
        <v>0.93587304129539262</v>
      </c>
      <c r="BE310" s="11">
        <f>IF(tblsales[[#This Row],[SalesStage]]="Won",1,0)</f>
        <v>0</v>
      </c>
      <c r="BF310" s="21" t="str">
        <f>IF(tblsales[[#This Row],[Win Flag]]=1,"Won","Lost")</f>
        <v>Lost</v>
      </c>
      <c r="BG310" s="8"/>
    </row>
    <row r="311" spans="1:59" x14ac:dyDescent="0.3">
      <c r="A311" s="10" t="s">
        <v>1252</v>
      </c>
      <c r="B311" s="9">
        <v>45834</v>
      </c>
      <c r="C311" s="10" t="s">
        <v>249</v>
      </c>
      <c r="D311" s="10" t="s">
        <v>281</v>
      </c>
      <c r="E311" s="10" t="s">
        <v>113</v>
      </c>
      <c r="F311" s="10" t="s">
        <v>181</v>
      </c>
      <c r="G311" s="10" t="s">
        <v>73</v>
      </c>
      <c r="H311" s="10" t="s">
        <v>236</v>
      </c>
      <c r="I311" s="10" t="s">
        <v>203</v>
      </c>
      <c r="J311" s="10" t="s">
        <v>111</v>
      </c>
      <c r="K311" s="10" t="s">
        <v>199</v>
      </c>
      <c r="L311" s="10" t="s">
        <v>1253</v>
      </c>
      <c r="M311" s="9">
        <v>45797</v>
      </c>
      <c r="N311" s="9">
        <v>45867</v>
      </c>
      <c r="O311" s="9">
        <v>45883</v>
      </c>
      <c r="P311" s="11">
        <v>28</v>
      </c>
      <c r="Q311" s="12">
        <v>9025155</v>
      </c>
      <c r="R311">
        <v>2407008.8385000001</v>
      </c>
      <c r="S311" s="22">
        <v>0.21</v>
      </c>
      <c r="T311" s="22">
        <v>0.02</v>
      </c>
      <c r="U311" s="12">
        <v>7272469.9000000004</v>
      </c>
      <c r="V311" s="24">
        <v>1939567.72233</v>
      </c>
      <c r="W311" s="8">
        <v>6499436.0099999998</v>
      </c>
      <c r="X311" s="24">
        <v>1733399.583867</v>
      </c>
      <c r="Y311" s="22">
        <v>0.31</v>
      </c>
      <c r="Z311" s="22">
        <v>0.12</v>
      </c>
      <c r="AA311" s="8" t="s">
        <v>1254</v>
      </c>
      <c r="AB311" s="8">
        <v>3282682.26</v>
      </c>
      <c r="AC311" s="24">
        <v>875491.35874199995</v>
      </c>
      <c r="AD311" s="8">
        <v>1288300.69</v>
      </c>
      <c r="AE311" s="24">
        <v>343589.79402299999</v>
      </c>
      <c r="AF311" s="8">
        <v>30</v>
      </c>
      <c r="AG311" s="8">
        <v>160</v>
      </c>
      <c r="AH311" s="8" t="s">
        <v>342</v>
      </c>
      <c r="AI311" s="8" t="s">
        <v>455</v>
      </c>
      <c r="AJ311" s="22">
        <v>0.8</v>
      </c>
      <c r="AK311" s="8" t="s">
        <v>162</v>
      </c>
      <c r="AL311" s="22">
        <v>0.15</v>
      </c>
      <c r="AM311" s="22">
        <v>0.09</v>
      </c>
      <c r="AN311" s="8">
        <v>15</v>
      </c>
      <c r="AO311" s="8">
        <v>4492</v>
      </c>
      <c r="AP311" s="8">
        <v>441305.48</v>
      </c>
      <c r="AQ311" s="24">
        <v>117696.17151599999</v>
      </c>
      <c r="AR311" s="8">
        <v>1840298.74</v>
      </c>
      <c r="AS311" s="37">
        <v>490807.67395799997</v>
      </c>
      <c r="AT311" s="8" t="s">
        <v>73</v>
      </c>
      <c r="AU311" s="8" t="s">
        <v>348</v>
      </c>
      <c r="AV311" s="8">
        <v>99.5</v>
      </c>
      <c r="AW311" s="8">
        <v>36</v>
      </c>
      <c r="AX311" s="8" t="s">
        <v>323</v>
      </c>
      <c r="AY311" s="8" t="s">
        <v>229</v>
      </c>
      <c r="AZ311" s="8" t="s">
        <v>361</v>
      </c>
      <c r="BA311" s="21">
        <f>IF(OR(tblsales[[#This Row],[Invoice Value USD]]="",tblsales[[#This Row],[Collected Amount USD]]=""),"",tblsales[[#This Row],[Invoice Value USD]]-tblsales[[#This Row],[Collected Amount USD]])</f>
        <v>531901.5647189999</v>
      </c>
      <c r="BB311" s="21">
        <f>IF(OR(tblsales[[#This Row],[Contract Value USD]]="",tblsales[[#This Row],[Cost Estimate USD]]=""),"",tblsales[[#This Row],[Contract Value USD]]-tblsales[[#This Row],[Cost Estimate USD]])</f>
        <v>206168.13846300007</v>
      </c>
      <c r="BC311" s="21">
        <f>IF(OR(tblsales[[#This Row],[Contract Value USD]]="",tblsales[[#This Row],[Cost Estimate USD]]=""),"",tblsales[[#This Row],[Contract Value USD]]-tblsales[[#This Row],[Cost Estimate USD]])</f>
        <v>206168.13846300007</v>
      </c>
      <c r="BD311" s="23">
        <f>IF(tblsales[[#This Row],[Invoice Value USD]]="","",tblsales[[#This Row],[Collected Amount USD]]/tblsales[[#This Row],[Invoice Value USD]])</f>
        <v>0.39245366683767929</v>
      </c>
      <c r="BE311" s="11">
        <f>IF(tblsales[[#This Row],[SalesStage]]="Won",1,0)</f>
        <v>0</v>
      </c>
      <c r="BF311" s="21" t="str">
        <f>IF(tblsales[[#This Row],[Win Flag]]=1,"Won","Lost")</f>
        <v>Lost</v>
      </c>
      <c r="BG311" s="8"/>
    </row>
    <row r="312" spans="1:59" x14ac:dyDescent="0.3">
      <c r="A312" s="10" t="s">
        <v>1255</v>
      </c>
      <c r="B312" s="9">
        <v>46075</v>
      </c>
      <c r="C312" s="10" t="s">
        <v>282</v>
      </c>
      <c r="D312" s="10" t="s">
        <v>232</v>
      </c>
      <c r="E312" s="10" t="s">
        <v>52</v>
      </c>
      <c r="F312" s="10" t="s">
        <v>332</v>
      </c>
      <c r="G312" s="10" t="s">
        <v>62</v>
      </c>
      <c r="H312" s="10" t="s">
        <v>182</v>
      </c>
      <c r="I312" s="10" t="s">
        <v>198</v>
      </c>
      <c r="J312" s="10" t="s">
        <v>133</v>
      </c>
      <c r="K312" s="10" t="s">
        <v>210</v>
      </c>
      <c r="L312" s="10" t="s">
        <v>1256</v>
      </c>
      <c r="M312" s="9">
        <v>46006</v>
      </c>
      <c r="N312" s="9"/>
      <c r="O312" s="9">
        <v>46107</v>
      </c>
      <c r="P312" s="11">
        <v>21</v>
      </c>
      <c r="Q312" s="12">
        <v>30018716</v>
      </c>
      <c r="R312">
        <v>8174096.3668</v>
      </c>
      <c r="S312" s="22">
        <v>0.33</v>
      </c>
      <c r="T312" s="22">
        <v>0.13</v>
      </c>
      <c r="U312" s="12">
        <v>22727169.879999999</v>
      </c>
      <c r="V312" s="24">
        <v>6188608.3583239997</v>
      </c>
      <c r="W312" s="8">
        <v>16671641.91</v>
      </c>
      <c r="X312" s="24">
        <v>4539688.0920930002</v>
      </c>
      <c r="Y312" s="22">
        <v>0.28999999999999998</v>
      </c>
      <c r="Z312" s="22">
        <v>0.08</v>
      </c>
      <c r="AA312" s="8" t="s">
        <v>1257</v>
      </c>
      <c r="AB312" s="8">
        <v>8737517.5999999996</v>
      </c>
      <c r="AC312" s="24">
        <v>2379226.0424799998</v>
      </c>
      <c r="AD312" s="8">
        <v>5759671.2300000004</v>
      </c>
      <c r="AE312" s="24">
        <v>1568358.4759289999</v>
      </c>
      <c r="AF312" s="8">
        <v>60</v>
      </c>
      <c r="AG312" s="8">
        <v>91</v>
      </c>
      <c r="AH312" s="8" t="s">
        <v>347</v>
      </c>
      <c r="AI312" s="8" t="s">
        <v>406</v>
      </c>
      <c r="AJ312" s="22">
        <v>0.13</v>
      </c>
      <c r="AK312" s="8" t="s">
        <v>153</v>
      </c>
      <c r="AL312" s="22">
        <v>0.1</v>
      </c>
      <c r="AM312" s="22">
        <v>0.02</v>
      </c>
      <c r="AN312" s="8">
        <v>5</v>
      </c>
      <c r="AO312" s="8">
        <v>2591</v>
      </c>
      <c r="AP312" s="8">
        <v>5327215.26</v>
      </c>
      <c r="AQ312" s="24">
        <v>1450600.7152979998</v>
      </c>
      <c r="AR312" s="8">
        <v>3028693.82</v>
      </c>
      <c r="AS312" s="37">
        <v>824713.32718599995</v>
      </c>
      <c r="AT312" s="8" t="s">
        <v>355</v>
      </c>
      <c r="AU312" s="8" t="s">
        <v>356</v>
      </c>
      <c r="AV312" s="8"/>
      <c r="AW312" s="8">
        <v>12</v>
      </c>
      <c r="AX312" s="8" t="s">
        <v>387</v>
      </c>
      <c r="AY312" s="8" t="s">
        <v>192</v>
      </c>
      <c r="AZ312" s="8" t="s">
        <v>361</v>
      </c>
      <c r="BA312" s="21">
        <f>IF(OR(tblsales[[#This Row],[Invoice Value USD]]="",tblsales[[#This Row],[Collected Amount USD]]=""),"",tblsales[[#This Row],[Invoice Value USD]]-tblsales[[#This Row],[Collected Amount USD]])</f>
        <v>810867.56655099988</v>
      </c>
      <c r="BB312" s="21">
        <f>IF(OR(tblsales[[#This Row],[Contract Value USD]]="",tblsales[[#This Row],[Cost Estimate USD]]=""),"",tblsales[[#This Row],[Contract Value USD]]-tblsales[[#This Row],[Cost Estimate USD]])</f>
        <v>1648920.2662309995</v>
      </c>
      <c r="BC312" s="21">
        <f>IF(OR(tblsales[[#This Row],[Contract Value USD]]="",tblsales[[#This Row],[Cost Estimate USD]]=""),"",tblsales[[#This Row],[Contract Value USD]]-tblsales[[#This Row],[Cost Estimate USD]])</f>
        <v>1648920.2662309995</v>
      </c>
      <c r="BD312" s="23">
        <f>IF(tblsales[[#This Row],[Invoice Value USD]]="","",tblsales[[#This Row],[Collected Amount USD]]/tblsales[[#This Row],[Invoice Value USD]])</f>
        <v>0.65918851253587174</v>
      </c>
      <c r="BE312" s="11">
        <f>IF(tblsales[[#This Row],[SalesStage]]="Won",1,0)</f>
        <v>0</v>
      </c>
      <c r="BF312" s="21" t="str">
        <f>IF(tblsales[[#This Row],[Win Flag]]=1,"Won","Lost")</f>
        <v>Lost</v>
      </c>
      <c r="BG312" s="8"/>
    </row>
    <row r="313" spans="1:59" x14ac:dyDescent="0.3">
      <c r="A313" s="10" t="s">
        <v>1258</v>
      </c>
      <c r="B313" s="9">
        <v>45809</v>
      </c>
      <c r="C313" s="10" t="s">
        <v>214</v>
      </c>
      <c r="D313" s="10" t="s">
        <v>202</v>
      </c>
      <c r="E313" s="10" t="s">
        <v>332</v>
      </c>
      <c r="F313" s="10" t="s">
        <v>35</v>
      </c>
      <c r="G313" s="10" t="s">
        <v>66</v>
      </c>
      <c r="H313" s="10" t="s">
        <v>263</v>
      </c>
      <c r="I313" s="10" t="s">
        <v>240</v>
      </c>
      <c r="J313" s="10" t="s">
        <v>130</v>
      </c>
      <c r="K313" s="10" t="s">
        <v>223</v>
      </c>
      <c r="L313" s="10" t="s">
        <v>1259</v>
      </c>
      <c r="M313" s="9">
        <v>45578</v>
      </c>
      <c r="N313" s="9">
        <v>45721</v>
      </c>
      <c r="O313" s="9">
        <v>45701</v>
      </c>
      <c r="P313" s="11"/>
      <c r="Q313" s="12">
        <v>10797071</v>
      </c>
      <c r="R313">
        <v>12535399.431</v>
      </c>
      <c r="S313" s="22">
        <v>0.3</v>
      </c>
      <c r="T313" s="22">
        <v>0.14000000000000001</v>
      </c>
      <c r="U313" s="12">
        <v>8616062.6600000001</v>
      </c>
      <c r="V313" s="24">
        <v>10003248.748260001</v>
      </c>
      <c r="W313" s="8">
        <v>7644324.0499999998</v>
      </c>
      <c r="X313" s="24">
        <v>8875060.22205</v>
      </c>
      <c r="Y313" s="22">
        <v>0.39</v>
      </c>
      <c r="Z313" s="22">
        <v>0.17</v>
      </c>
      <c r="AA313" s="8" t="s">
        <v>1260</v>
      </c>
      <c r="AB313" s="8">
        <v>5554694.9100000001</v>
      </c>
      <c r="AC313" s="24">
        <v>6449000.7905100007</v>
      </c>
      <c r="AD313" s="8">
        <v>1892035.31</v>
      </c>
      <c r="AE313" s="24">
        <v>2196652.9949100004</v>
      </c>
      <c r="AF313" s="8">
        <v>60</v>
      </c>
      <c r="AG313" s="8">
        <v>29</v>
      </c>
      <c r="AH313" s="8" t="s">
        <v>347</v>
      </c>
      <c r="AI313" s="8" t="s">
        <v>381</v>
      </c>
      <c r="AJ313" s="22">
        <v>0.37</v>
      </c>
      <c r="AK313" s="8" t="s">
        <v>159</v>
      </c>
      <c r="AL313" s="22">
        <v>0.15</v>
      </c>
      <c r="AM313" s="22">
        <v>0.09</v>
      </c>
      <c r="AN313" s="8">
        <v>11</v>
      </c>
      <c r="AO313" s="8">
        <v>267</v>
      </c>
      <c r="AP313" s="8">
        <v>1021295.47</v>
      </c>
      <c r="AQ313" s="24">
        <v>1185724.04067</v>
      </c>
      <c r="AR313" s="8">
        <v>3269725.8</v>
      </c>
      <c r="AS313" s="37">
        <v>3796151.6538</v>
      </c>
      <c r="AT313" s="8" t="s">
        <v>355</v>
      </c>
      <c r="AU313" s="8" t="s">
        <v>321</v>
      </c>
      <c r="AV313" s="8">
        <v>94.9</v>
      </c>
      <c r="AW313" s="8">
        <v>12</v>
      </c>
      <c r="AX313" s="8" t="s">
        <v>332</v>
      </c>
      <c r="AY313" s="8" t="s">
        <v>186</v>
      </c>
      <c r="AZ313" s="8" t="s">
        <v>332</v>
      </c>
      <c r="BA313" s="21">
        <f>IF(OR(tblsales[[#This Row],[Invoice Value USD]]="",tblsales[[#This Row],[Collected Amount USD]]=""),"",tblsales[[#This Row],[Invoice Value USD]]-tblsales[[#This Row],[Collected Amount USD]])</f>
        <v>4252347.7956000008</v>
      </c>
      <c r="BB313" s="21">
        <f>IF(OR(tblsales[[#This Row],[Contract Value USD]]="",tblsales[[#This Row],[Cost Estimate USD]]=""),"",tblsales[[#This Row],[Contract Value USD]]-tblsales[[#This Row],[Cost Estimate USD]])</f>
        <v>1128188.5262100007</v>
      </c>
      <c r="BC313" s="21">
        <f>IF(OR(tblsales[[#This Row],[Contract Value USD]]="",tblsales[[#This Row],[Cost Estimate USD]]=""),"",tblsales[[#This Row],[Contract Value USD]]-tblsales[[#This Row],[Cost Estimate USD]])</f>
        <v>1128188.5262100007</v>
      </c>
      <c r="BD313" s="23">
        <f>IF(tblsales[[#This Row],[Invoice Value USD]]="","",tblsales[[#This Row],[Collected Amount USD]]/tblsales[[#This Row],[Invoice Value USD]])</f>
        <v>0.34061912322021665</v>
      </c>
      <c r="BE313" s="11">
        <f>IF(tblsales[[#This Row],[SalesStage]]="Won",1,0)</f>
        <v>0</v>
      </c>
      <c r="BF313" s="21" t="str">
        <f>IF(tblsales[[#This Row],[Win Flag]]=1,"Won","Lost")</f>
        <v>Lost</v>
      </c>
      <c r="BG313" s="8"/>
    </row>
    <row r="314" spans="1:59" x14ac:dyDescent="0.3">
      <c r="A314" s="10" t="s">
        <v>1261</v>
      </c>
      <c r="B314" s="9">
        <v>45973</v>
      </c>
      <c r="C314" s="10" t="s">
        <v>269</v>
      </c>
      <c r="D314" s="10" t="s">
        <v>248</v>
      </c>
      <c r="E314" s="10" t="s">
        <v>36</v>
      </c>
      <c r="F314" s="10" t="s">
        <v>19</v>
      </c>
      <c r="G314" s="10" t="s">
        <v>16</v>
      </c>
      <c r="H314" s="10" t="s">
        <v>182</v>
      </c>
      <c r="I314" s="10" t="s">
        <v>246</v>
      </c>
      <c r="J314" s="10" t="s">
        <v>115</v>
      </c>
      <c r="K314" s="10" t="s">
        <v>221</v>
      </c>
      <c r="L314" s="10" t="s">
        <v>1262</v>
      </c>
      <c r="M314" s="9">
        <v>45697</v>
      </c>
      <c r="N314" s="9">
        <v>45981</v>
      </c>
      <c r="O314" s="9">
        <v>46075</v>
      </c>
      <c r="P314" s="11">
        <v>47</v>
      </c>
      <c r="Q314" s="12">
        <v>41579289</v>
      </c>
      <c r="R314">
        <v>11322040.3947</v>
      </c>
      <c r="S314" s="22">
        <v>0.31</v>
      </c>
      <c r="T314" s="22">
        <v>0.19</v>
      </c>
      <c r="U314" s="12">
        <v>34140754.200000003</v>
      </c>
      <c r="V314" s="24">
        <v>9296527.3686600011</v>
      </c>
      <c r="W314" s="8">
        <v>24324966.170000002</v>
      </c>
      <c r="X314" s="24">
        <v>6623688.2880910002</v>
      </c>
      <c r="Y314" s="22">
        <v>0.05</v>
      </c>
      <c r="Z314" s="22">
        <v>0.12</v>
      </c>
      <c r="AA314" s="8" t="s">
        <v>1263</v>
      </c>
      <c r="AB314" s="8">
        <v>12130143.27</v>
      </c>
      <c r="AC314" s="24">
        <v>3303038.0124209998</v>
      </c>
      <c r="AD314" s="8">
        <v>11013832.33</v>
      </c>
      <c r="AE314" s="24">
        <v>2999066.5434590001</v>
      </c>
      <c r="AF314" s="8">
        <v>45</v>
      </c>
      <c r="AG314" s="8">
        <v>96</v>
      </c>
      <c r="AH314" s="8" t="s">
        <v>329</v>
      </c>
      <c r="AI314" s="8" t="s">
        <v>320</v>
      </c>
      <c r="AJ314" s="22">
        <v>0.69</v>
      </c>
      <c r="AK314" s="8" t="s">
        <v>153</v>
      </c>
      <c r="AL314" s="22">
        <v>0.1</v>
      </c>
      <c r="AM314" s="22">
        <v>0.02</v>
      </c>
      <c r="AN314" s="8">
        <v>11</v>
      </c>
      <c r="AO314" s="8">
        <v>2860</v>
      </c>
      <c r="AP314" s="8">
        <v>1255084.56</v>
      </c>
      <c r="AQ314" s="24">
        <v>341759.52568800002</v>
      </c>
      <c r="AR314" s="8">
        <v>8596408.9600000009</v>
      </c>
      <c r="AS314" s="37">
        <v>2340802.1598080001</v>
      </c>
      <c r="AT314" s="8" t="s">
        <v>321</v>
      </c>
      <c r="AU314" s="8" t="s">
        <v>330</v>
      </c>
      <c r="AV314" s="8">
        <v>92.3</v>
      </c>
      <c r="AW314" s="8">
        <v>48</v>
      </c>
      <c r="AX314" s="8" t="s">
        <v>332</v>
      </c>
      <c r="AY314" s="8" t="s">
        <v>192</v>
      </c>
      <c r="AZ314" s="8" t="s">
        <v>361</v>
      </c>
      <c r="BA314" s="21">
        <f>IF(OR(tblsales[[#This Row],[Invoice Value USD]]="",tblsales[[#This Row],[Collected Amount USD]]=""),"",tblsales[[#This Row],[Invoice Value USD]]-tblsales[[#This Row],[Collected Amount USD]])</f>
        <v>303971.46896199975</v>
      </c>
      <c r="BB314" s="21">
        <f>IF(OR(tblsales[[#This Row],[Contract Value USD]]="",tblsales[[#This Row],[Cost Estimate USD]]=""),"",tblsales[[#This Row],[Contract Value USD]]-tblsales[[#This Row],[Cost Estimate USD]])</f>
        <v>2672839.0805690009</v>
      </c>
      <c r="BC314" s="21">
        <f>IF(OR(tblsales[[#This Row],[Contract Value USD]]="",tblsales[[#This Row],[Cost Estimate USD]]=""),"",tblsales[[#This Row],[Contract Value USD]]-tblsales[[#This Row],[Cost Estimate USD]])</f>
        <v>2672839.0805690009</v>
      </c>
      <c r="BD314" s="23">
        <f>IF(tblsales[[#This Row],[Invoice Value USD]]="","",tblsales[[#This Row],[Collected Amount USD]]/tblsales[[#This Row],[Invoice Value USD]])</f>
        <v>0.90797215538576248</v>
      </c>
      <c r="BE314" s="11">
        <f>IF(tblsales[[#This Row],[SalesStage]]="Won",1,0)</f>
        <v>1</v>
      </c>
      <c r="BF314" s="21" t="str">
        <f>IF(tblsales[[#This Row],[Win Flag]]=1,"Won","Lost")</f>
        <v>Won</v>
      </c>
      <c r="BG314" s="8"/>
    </row>
    <row r="315" spans="1:59" x14ac:dyDescent="0.3">
      <c r="A315" s="10" t="s">
        <v>1264</v>
      </c>
      <c r="B315" s="9">
        <v>45979</v>
      </c>
      <c r="C315" s="10" t="s">
        <v>284</v>
      </c>
      <c r="D315" s="10" t="s">
        <v>332</v>
      </c>
      <c r="E315" s="10" t="s">
        <v>36</v>
      </c>
      <c r="F315" s="10" t="s">
        <v>19</v>
      </c>
      <c r="G315" s="10" t="s">
        <v>332</v>
      </c>
      <c r="H315" s="10" t="s">
        <v>182</v>
      </c>
      <c r="I315" s="10" t="s">
        <v>332</v>
      </c>
      <c r="J315" s="10" t="s">
        <v>115</v>
      </c>
      <c r="K315" s="10" t="s">
        <v>210</v>
      </c>
      <c r="L315" s="10" t="s">
        <v>1265</v>
      </c>
      <c r="M315" s="9">
        <v>45958</v>
      </c>
      <c r="N315" s="9">
        <v>45700</v>
      </c>
      <c r="O315" s="9">
        <v>46009</v>
      </c>
      <c r="P315" s="11">
        <v>24</v>
      </c>
      <c r="Q315" s="12">
        <v>12733933</v>
      </c>
      <c r="R315">
        <v>12733933</v>
      </c>
      <c r="S315" s="22">
        <v>0.23</v>
      </c>
      <c r="T315" s="22">
        <v>0.09</v>
      </c>
      <c r="U315" s="12">
        <v>10687589.970000001</v>
      </c>
      <c r="V315" s="24">
        <v>10687589.970000001</v>
      </c>
      <c r="W315" s="8">
        <v>9373645.7400000002</v>
      </c>
      <c r="X315" s="24">
        <v>9373645.7400000002</v>
      </c>
      <c r="Y315" s="22">
        <v>0.31</v>
      </c>
      <c r="Z315" s="22">
        <v>0.2</v>
      </c>
      <c r="AA315" s="8" t="s">
        <v>1266</v>
      </c>
      <c r="AB315" s="8">
        <v>7612060.8399999999</v>
      </c>
      <c r="AC315" s="24">
        <v>7612060.8399999999</v>
      </c>
      <c r="AD315" s="8">
        <v>3616247.35</v>
      </c>
      <c r="AE315" s="24">
        <v>3616247.35</v>
      </c>
      <c r="AF315" s="8">
        <v>45</v>
      </c>
      <c r="AG315" s="8">
        <v>79</v>
      </c>
      <c r="AH315" s="8" t="s">
        <v>329</v>
      </c>
      <c r="AI315" s="8" t="s">
        <v>354</v>
      </c>
      <c r="AJ315" s="22"/>
      <c r="AK315" s="8" t="s">
        <v>152</v>
      </c>
      <c r="AL315" s="22">
        <v>0.05</v>
      </c>
      <c r="AM315" s="22">
        <v>0.02</v>
      </c>
      <c r="AN315" s="8">
        <v>1</v>
      </c>
      <c r="AO315" s="8">
        <v>1410</v>
      </c>
      <c r="AP315" s="8">
        <v>1672898.96</v>
      </c>
      <c r="AQ315" s="24">
        <v>1672898.96</v>
      </c>
      <c r="AR315" s="8">
        <v>1784772.36</v>
      </c>
      <c r="AS315" s="37">
        <v>1784772.36</v>
      </c>
      <c r="AT315" s="8" t="s">
        <v>332</v>
      </c>
      <c r="AU315" s="8" t="s">
        <v>348</v>
      </c>
      <c r="AV315" s="8">
        <v>77.2</v>
      </c>
      <c r="AW315" s="8"/>
      <c r="AX315" s="8" t="s">
        <v>323</v>
      </c>
      <c r="AY315" s="8" t="s">
        <v>186</v>
      </c>
      <c r="AZ315" s="8" t="s">
        <v>188</v>
      </c>
      <c r="BA315" s="21">
        <f>IF(OR(tblsales[[#This Row],[Invoice Value USD]]="",tblsales[[#This Row],[Collected Amount USD]]=""),"",tblsales[[#This Row],[Invoice Value USD]]-tblsales[[#This Row],[Collected Amount USD]])</f>
        <v>3995813.4899999998</v>
      </c>
      <c r="BB315" s="21">
        <f>IF(OR(tblsales[[#This Row],[Contract Value USD]]="",tblsales[[#This Row],[Cost Estimate USD]]=""),"",tblsales[[#This Row],[Contract Value USD]]-tblsales[[#This Row],[Cost Estimate USD]])</f>
        <v>1313944.2300000004</v>
      </c>
      <c r="BC315" s="21">
        <f>IF(OR(tblsales[[#This Row],[Contract Value USD]]="",tblsales[[#This Row],[Cost Estimate USD]]=""),"",tblsales[[#This Row],[Contract Value USD]]-tblsales[[#This Row],[Cost Estimate USD]])</f>
        <v>1313944.2300000004</v>
      </c>
      <c r="BD315" s="23">
        <f>IF(tblsales[[#This Row],[Invoice Value USD]]="","",tblsales[[#This Row],[Collected Amount USD]]/tblsales[[#This Row],[Invoice Value USD]])</f>
        <v>0.47506810915084596</v>
      </c>
      <c r="BE315" s="11">
        <f>IF(tblsales[[#This Row],[SalesStage]]="Won",1,0)</f>
        <v>0</v>
      </c>
      <c r="BF315" s="21" t="str">
        <f>IF(tblsales[[#This Row],[Win Flag]]=1,"Won","Lost")</f>
        <v>Lost</v>
      </c>
      <c r="BG315" s="8"/>
    </row>
    <row r="316" spans="1:59" x14ac:dyDescent="0.3">
      <c r="A316" s="10" t="s">
        <v>1267</v>
      </c>
      <c r="B316" s="9">
        <v>45839</v>
      </c>
      <c r="C316" s="10" t="s">
        <v>214</v>
      </c>
      <c r="D316" s="10" t="s">
        <v>209</v>
      </c>
      <c r="E316" s="10" t="s">
        <v>332</v>
      </c>
      <c r="F316" s="10" t="s">
        <v>339</v>
      </c>
      <c r="G316" s="10" t="s">
        <v>70</v>
      </c>
      <c r="H316" s="10" t="s">
        <v>332</v>
      </c>
      <c r="I316" s="10" t="s">
        <v>198</v>
      </c>
      <c r="J316" s="10" t="s">
        <v>130</v>
      </c>
      <c r="K316" s="10" t="s">
        <v>210</v>
      </c>
      <c r="L316" s="10" t="s">
        <v>1268</v>
      </c>
      <c r="M316" s="9">
        <v>45763</v>
      </c>
      <c r="N316" s="9">
        <v>45882</v>
      </c>
      <c r="O316" s="9">
        <v>45924</v>
      </c>
      <c r="P316" s="11">
        <v>35</v>
      </c>
      <c r="Q316" s="12">
        <v>35140951</v>
      </c>
      <c r="R316">
        <v>9568880.9572999999</v>
      </c>
      <c r="S316" s="22">
        <v>7.0000000000000007E-2</v>
      </c>
      <c r="T316" s="22">
        <v>0.01</v>
      </c>
      <c r="U316" s="12">
        <v>33007895.27</v>
      </c>
      <c r="V316" s="24">
        <v>8988049.8820209987</v>
      </c>
      <c r="W316" s="8">
        <v>25107758.030000001</v>
      </c>
      <c r="X316" s="24">
        <v>6836842.5115689998</v>
      </c>
      <c r="Y316" s="22">
        <v>0.24</v>
      </c>
      <c r="Z316" s="22">
        <v>0.16</v>
      </c>
      <c r="AA316" s="8" t="s">
        <v>1269</v>
      </c>
      <c r="AB316" s="8">
        <v>29238653.059999999</v>
      </c>
      <c r="AC316" s="24">
        <v>7961685.2282379996</v>
      </c>
      <c r="AD316" s="8">
        <v>29587835.850000001</v>
      </c>
      <c r="AE316" s="24">
        <v>8056767.7019549999</v>
      </c>
      <c r="AF316" s="8">
        <v>120</v>
      </c>
      <c r="AG316" s="8">
        <v>33</v>
      </c>
      <c r="AH316" s="8" t="s">
        <v>329</v>
      </c>
      <c r="AI316" s="8" t="s">
        <v>354</v>
      </c>
      <c r="AJ316" s="22">
        <v>0.05</v>
      </c>
      <c r="AK316" s="8" t="s">
        <v>153</v>
      </c>
      <c r="AL316" s="22">
        <v>0.1</v>
      </c>
      <c r="AM316" s="22">
        <v>0.02</v>
      </c>
      <c r="AN316" s="8">
        <v>11</v>
      </c>
      <c r="AO316" s="8">
        <v>3137</v>
      </c>
      <c r="AP316" s="8">
        <v>997667.78</v>
      </c>
      <c r="AQ316" s="24">
        <v>271664.93649400002</v>
      </c>
      <c r="AR316" s="8"/>
      <c r="AS316" s="37"/>
      <c r="AT316" s="8" t="s">
        <v>385</v>
      </c>
      <c r="AU316" s="8" t="s">
        <v>386</v>
      </c>
      <c r="AV316" s="8">
        <v>73.2</v>
      </c>
      <c r="AW316" s="8">
        <v>36</v>
      </c>
      <c r="AX316" s="8" t="s">
        <v>392</v>
      </c>
      <c r="AY316" s="8" t="s">
        <v>206</v>
      </c>
      <c r="AZ316" s="8" t="s">
        <v>332</v>
      </c>
      <c r="BA316" s="21">
        <f>IF(OR(tblsales[[#This Row],[Invoice Value USD]]="",tblsales[[#This Row],[Collected Amount USD]]=""),"",tblsales[[#This Row],[Invoice Value USD]]-tblsales[[#This Row],[Collected Amount USD]])</f>
        <v>-95082.473717000335</v>
      </c>
      <c r="BB316" s="21">
        <f>IF(OR(tblsales[[#This Row],[Contract Value USD]]="",tblsales[[#This Row],[Cost Estimate USD]]=""),"",tblsales[[#This Row],[Contract Value USD]]-tblsales[[#This Row],[Cost Estimate USD]])</f>
        <v>2151207.3704519989</v>
      </c>
      <c r="BC316" s="21">
        <f>IF(OR(tblsales[[#This Row],[Contract Value USD]]="",tblsales[[#This Row],[Cost Estimate USD]]=""),"",tblsales[[#This Row],[Contract Value USD]]-tblsales[[#This Row],[Cost Estimate USD]])</f>
        <v>2151207.3704519989</v>
      </c>
      <c r="BD316" s="23">
        <f>IF(tblsales[[#This Row],[Invoice Value USD]]="","",tblsales[[#This Row],[Collected Amount USD]]/tblsales[[#This Row],[Invoice Value USD]])</f>
        <v>1.0119425060136475</v>
      </c>
      <c r="BE316" s="11">
        <f>IF(tblsales[[#This Row],[SalesStage]]="Won",1,0)</f>
        <v>0</v>
      </c>
      <c r="BF316" s="21" t="str">
        <f>IF(tblsales[[#This Row],[Win Flag]]=1,"Won","Lost")</f>
        <v>Lost</v>
      </c>
      <c r="BG316" s="8"/>
    </row>
    <row r="317" spans="1:59" x14ac:dyDescent="0.3">
      <c r="A317" s="10" t="s">
        <v>1270</v>
      </c>
      <c r="B317" s="9">
        <v>45737</v>
      </c>
      <c r="C317" s="10" t="s">
        <v>219</v>
      </c>
      <c r="D317" s="10" t="s">
        <v>262</v>
      </c>
      <c r="E317" s="10" t="s">
        <v>20</v>
      </c>
      <c r="F317" s="10" t="s">
        <v>31</v>
      </c>
      <c r="G317" s="10" t="s">
        <v>66</v>
      </c>
      <c r="H317" s="10" t="s">
        <v>236</v>
      </c>
      <c r="I317" s="10" t="s">
        <v>198</v>
      </c>
      <c r="J317" s="10" t="s">
        <v>136</v>
      </c>
      <c r="K317" s="10" t="s">
        <v>199</v>
      </c>
      <c r="L317" s="10" t="s">
        <v>1271</v>
      </c>
      <c r="M317" s="9">
        <v>45716</v>
      </c>
      <c r="N317" s="9"/>
      <c r="O317" s="9">
        <v>45850</v>
      </c>
      <c r="P317" s="11">
        <v>50</v>
      </c>
      <c r="Q317" s="12">
        <v>34326220</v>
      </c>
      <c r="R317">
        <v>9347029.7060000002</v>
      </c>
      <c r="S317" s="22">
        <v>0.32</v>
      </c>
      <c r="T317" s="22">
        <v>7.0000000000000007E-2</v>
      </c>
      <c r="U317" s="12">
        <v>24975757.670000002</v>
      </c>
      <c r="V317" s="24">
        <v>6800898.8135409998</v>
      </c>
      <c r="W317" s="8">
        <v>20588311.149999999</v>
      </c>
      <c r="X317" s="24">
        <v>5606197.1261449996</v>
      </c>
      <c r="Y317" s="22">
        <v>0.39</v>
      </c>
      <c r="Z317" s="22">
        <v>0.19</v>
      </c>
      <c r="AA317" s="8" t="s">
        <v>1272</v>
      </c>
      <c r="AB317" s="8">
        <v>4908273.63</v>
      </c>
      <c r="AC317" s="24">
        <v>1336522.9094489999</v>
      </c>
      <c r="AD317" s="8">
        <v>3471384.46</v>
      </c>
      <c r="AE317" s="24">
        <v>945257.98845799989</v>
      </c>
      <c r="AF317" s="8">
        <v>60</v>
      </c>
      <c r="AG317" s="8">
        <v>80</v>
      </c>
      <c r="AH317" s="8" t="s">
        <v>329</v>
      </c>
      <c r="AI317" s="8" t="s">
        <v>406</v>
      </c>
      <c r="AJ317" s="22">
        <v>0.86</v>
      </c>
      <c r="AK317" s="8" t="s">
        <v>153</v>
      </c>
      <c r="AL317" s="22">
        <v>0.15</v>
      </c>
      <c r="AM317" s="22">
        <v>0.02</v>
      </c>
      <c r="AN317" s="8">
        <v>4</v>
      </c>
      <c r="AO317" s="8">
        <v>116</v>
      </c>
      <c r="AP317" s="8">
        <v>4141732.12</v>
      </c>
      <c r="AQ317" s="24">
        <v>1127793.656276</v>
      </c>
      <c r="AR317" s="8">
        <v>5264871.95</v>
      </c>
      <c r="AS317" s="37">
        <v>1433624.6319849999</v>
      </c>
      <c r="AT317" s="8" t="s">
        <v>343</v>
      </c>
      <c r="AU317" s="8" t="s">
        <v>348</v>
      </c>
      <c r="AV317" s="8">
        <v>59.8</v>
      </c>
      <c r="AW317" s="8">
        <v>24</v>
      </c>
      <c r="AX317" s="8" t="s">
        <v>332</v>
      </c>
      <c r="AY317" s="8" t="s">
        <v>224</v>
      </c>
      <c r="AZ317" s="8" t="s">
        <v>377</v>
      </c>
      <c r="BA317" s="21">
        <f>IF(OR(tblsales[[#This Row],[Invoice Value USD]]="",tblsales[[#This Row],[Collected Amount USD]]=""),"",tblsales[[#This Row],[Invoice Value USD]]-tblsales[[#This Row],[Collected Amount USD]])</f>
        <v>391264.92099100002</v>
      </c>
      <c r="BB317" s="21">
        <f>IF(OR(tblsales[[#This Row],[Contract Value USD]]="",tblsales[[#This Row],[Cost Estimate USD]]=""),"",tblsales[[#This Row],[Contract Value USD]]-tblsales[[#This Row],[Cost Estimate USD]])</f>
        <v>1194701.6873960001</v>
      </c>
      <c r="BC317" s="21">
        <f>IF(OR(tblsales[[#This Row],[Contract Value USD]]="",tblsales[[#This Row],[Cost Estimate USD]]=""),"",tblsales[[#This Row],[Contract Value USD]]-tblsales[[#This Row],[Cost Estimate USD]])</f>
        <v>1194701.6873960001</v>
      </c>
      <c r="BD317" s="23">
        <f>IF(tblsales[[#This Row],[Invoice Value USD]]="","",tblsales[[#This Row],[Collected Amount USD]]/tblsales[[#This Row],[Invoice Value USD]])</f>
        <v>0.70725161669521674</v>
      </c>
      <c r="BE317" s="11">
        <f>IF(tblsales[[#This Row],[SalesStage]]="Won",1,0)</f>
        <v>0</v>
      </c>
      <c r="BF317" s="21" t="str">
        <f>IF(tblsales[[#This Row],[Win Flag]]=1,"Won","Lost")</f>
        <v>Lost</v>
      </c>
      <c r="BG317" s="8"/>
    </row>
    <row r="318" spans="1:59" x14ac:dyDescent="0.3">
      <c r="A318" s="10" t="s">
        <v>1273</v>
      </c>
      <c r="B318" s="9">
        <v>46014</v>
      </c>
      <c r="C318" s="10" t="s">
        <v>260</v>
      </c>
      <c r="D318" s="10" t="s">
        <v>242</v>
      </c>
      <c r="E318" s="10" t="s">
        <v>113</v>
      </c>
      <c r="F318" s="10" t="s">
        <v>181</v>
      </c>
      <c r="G318" s="10" t="s">
        <v>16</v>
      </c>
      <c r="H318" s="10" t="s">
        <v>216</v>
      </c>
      <c r="I318" s="10" t="s">
        <v>332</v>
      </c>
      <c r="J318" s="10" t="s">
        <v>127</v>
      </c>
      <c r="K318" s="10" t="s">
        <v>210</v>
      </c>
      <c r="L318" s="10" t="s">
        <v>1274</v>
      </c>
      <c r="M318" s="9">
        <v>45973</v>
      </c>
      <c r="N318" s="9">
        <v>46019</v>
      </c>
      <c r="O318" s="9">
        <v>46131</v>
      </c>
      <c r="P318" s="11">
        <v>27</v>
      </c>
      <c r="Q318" s="12">
        <v>7128011</v>
      </c>
      <c r="R318">
        <v>1940957.3953</v>
      </c>
      <c r="S318" s="22">
        <v>0.09</v>
      </c>
      <c r="T318" s="22">
        <v>0.13</v>
      </c>
      <c r="U318" s="12">
        <v>7329733.71</v>
      </c>
      <c r="V318" s="24">
        <v>1995886.489233</v>
      </c>
      <c r="W318" s="8">
        <v>4487724.68</v>
      </c>
      <c r="X318" s="24">
        <v>1222007.4303639999</v>
      </c>
      <c r="Y318" s="22">
        <v>0.25</v>
      </c>
      <c r="Z318" s="22">
        <v>0.19</v>
      </c>
      <c r="AA318" s="8" t="s">
        <v>1275</v>
      </c>
      <c r="AB318" s="8">
        <v>624599.65</v>
      </c>
      <c r="AC318" s="24">
        <v>170078.48469499999</v>
      </c>
      <c r="AD318" s="8">
        <v>575554.13</v>
      </c>
      <c r="AE318" s="24">
        <v>156723.38959899999</v>
      </c>
      <c r="AF318" s="8">
        <v>45</v>
      </c>
      <c r="AG318" s="8">
        <v>129</v>
      </c>
      <c r="AH318" s="8" t="s">
        <v>347</v>
      </c>
      <c r="AI318" s="8" t="s">
        <v>354</v>
      </c>
      <c r="AJ318" s="22">
        <v>0.14000000000000001</v>
      </c>
      <c r="AK318" s="8" t="s">
        <v>153</v>
      </c>
      <c r="AL318" s="22">
        <v>0.1</v>
      </c>
      <c r="AM318" s="22">
        <v>0.09</v>
      </c>
      <c r="AN318" s="8">
        <v>13</v>
      </c>
      <c r="AO318" s="8">
        <v>4443</v>
      </c>
      <c r="AP318" s="8">
        <v>259344.98</v>
      </c>
      <c r="AQ318" s="24">
        <v>70619.638053999995</v>
      </c>
      <c r="AR318" s="8">
        <v>1208533.4099999999</v>
      </c>
      <c r="AS318" s="37">
        <v>329083.64754299994</v>
      </c>
      <c r="AT318" s="8" t="s">
        <v>332</v>
      </c>
      <c r="AU318" s="8" t="s">
        <v>322</v>
      </c>
      <c r="AV318" s="8">
        <v>89.3</v>
      </c>
      <c r="AW318" s="8">
        <v>24</v>
      </c>
      <c r="AX318" s="8" t="s">
        <v>332</v>
      </c>
      <c r="AY318" s="8" t="s">
        <v>206</v>
      </c>
      <c r="AZ318" s="8" t="s">
        <v>332</v>
      </c>
      <c r="BA318" s="21">
        <f>IF(OR(tblsales[[#This Row],[Invoice Value USD]]="",tblsales[[#This Row],[Collected Amount USD]]=""),"",tblsales[[#This Row],[Invoice Value USD]]-tblsales[[#This Row],[Collected Amount USD]])</f>
        <v>13355.095096000005</v>
      </c>
      <c r="BB318" s="21">
        <f>IF(OR(tblsales[[#This Row],[Contract Value USD]]="",tblsales[[#This Row],[Cost Estimate USD]]=""),"",tblsales[[#This Row],[Contract Value USD]]-tblsales[[#This Row],[Cost Estimate USD]])</f>
        <v>773879.05886900006</v>
      </c>
      <c r="BC318" s="21">
        <f>IF(OR(tblsales[[#This Row],[Contract Value USD]]="",tblsales[[#This Row],[Cost Estimate USD]]=""),"",tblsales[[#This Row],[Contract Value USD]]-tblsales[[#This Row],[Cost Estimate USD]])</f>
        <v>773879.05886900006</v>
      </c>
      <c r="BD318" s="23">
        <f>IF(tblsales[[#This Row],[Invoice Value USD]]="","",tblsales[[#This Row],[Collected Amount USD]]/tblsales[[#This Row],[Invoice Value USD]])</f>
        <v>0.9214768692233497</v>
      </c>
      <c r="BE318" s="11">
        <f>IF(tblsales[[#This Row],[SalesStage]]="Won",1,0)</f>
        <v>0</v>
      </c>
      <c r="BF318" s="21" t="str">
        <f>IF(tblsales[[#This Row],[Win Flag]]=1,"Won","Lost")</f>
        <v>Lost</v>
      </c>
      <c r="BG318" s="8"/>
    </row>
    <row r="319" spans="1:59" x14ac:dyDescent="0.3">
      <c r="A319" s="10" t="s">
        <v>1276</v>
      </c>
      <c r="B319" s="9">
        <v>45846</v>
      </c>
      <c r="C319" s="10" t="s">
        <v>243</v>
      </c>
      <c r="D319" s="10" t="s">
        <v>180</v>
      </c>
      <c r="E319" s="10" t="s">
        <v>41</v>
      </c>
      <c r="F319" s="10" t="s">
        <v>350</v>
      </c>
      <c r="G319" s="10" t="s">
        <v>50</v>
      </c>
      <c r="H319" s="10" t="s">
        <v>197</v>
      </c>
      <c r="I319" s="10" t="s">
        <v>213</v>
      </c>
      <c r="J319" s="10" t="s">
        <v>105</v>
      </c>
      <c r="K319" s="10" t="s">
        <v>221</v>
      </c>
      <c r="L319" s="10" t="s">
        <v>1277</v>
      </c>
      <c r="M319" s="9">
        <v>45808</v>
      </c>
      <c r="N319" s="9">
        <v>45865</v>
      </c>
      <c r="O319" s="9"/>
      <c r="P319" s="11">
        <v>57</v>
      </c>
      <c r="Q319" s="12">
        <v>28230301</v>
      </c>
      <c r="R319">
        <v>7687110.9622999998</v>
      </c>
      <c r="S319" s="22">
        <v>0.3</v>
      </c>
      <c r="T319" s="22">
        <v>0.18</v>
      </c>
      <c r="U319" s="12">
        <v>23318228.629999999</v>
      </c>
      <c r="V319" s="24">
        <v>6349553.6559489993</v>
      </c>
      <c r="W319" s="8">
        <v>14933154.27</v>
      </c>
      <c r="X319" s="24">
        <v>4066297.9077209998</v>
      </c>
      <c r="Y319" s="22">
        <v>0.09</v>
      </c>
      <c r="Z319" s="22">
        <v>0.09</v>
      </c>
      <c r="AA319" s="8" t="s">
        <v>1278</v>
      </c>
      <c r="AB319" s="8">
        <v>10293339.779999999</v>
      </c>
      <c r="AC319" s="24">
        <v>2802876.4220939996</v>
      </c>
      <c r="AD319" s="8">
        <v>9289886.7300000004</v>
      </c>
      <c r="AE319" s="24">
        <v>2529636.1565789999</v>
      </c>
      <c r="AF319" s="8">
        <v>30</v>
      </c>
      <c r="AG319" s="8">
        <v>99</v>
      </c>
      <c r="AH319" s="8" t="s">
        <v>376</v>
      </c>
      <c r="AI319" s="8" t="s">
        <v>381</v>
      </c>
      <c r="AJ319" s="22">
        <v>0.27</v>
      </c>
      <c r="AK319" s="8" t="s">
        <v>153</v>
      </c>
      <c r="AL319" s="22">
        <v>0.1</v>
      </c>
      <c r="AM319" s="22">
        <v>0.09</v>
      </c>
      <c r="AN319" s="8">
        <v>2</v>
      </c>
      <c r="AO319" s="8">
        <v>4554</v>
      </c>
      <c r="AP319" s="8">
        <v>1895950.66</v>
      </c>
      <c r="AQ319" s="24">
        <v>516267.36471799994</v>
      </c>
      <c r="AR319" s="8">
        <v>8666712.1699999999</v>
      </c>
      <c r="AS319" s="37">
        <v>2359945.7238909998</v>
      </c>
      <c r="AT319" s="8" t="s">
        <v>332</v>
      </c>
      <c r="AU319" s="8" t="s">
        <v>322</v>
      </c>
      <c r="AV319" s="8">
        <v>89.3</v>
      </c>
      <c r="AW319" s="8">
        <v>12</v>
      </c>
      <c r="AX319" s="8" t="s">
        <v>332</v>
      </c>
      <c r="AY319" s="8" t="s">
        <v>206</v>
      </c>
      <c r="AZ319" s="8" t="s">
        <v>324</v>
      </c>
      <c r="BA319" s="21">
        <f>IF(OR(tblsales[[#This Row],[Invoice Value USD]]="",tblsales[[#This Row],[Collected Amount USD]]=""),"",tblsales[[#This Row],[Invoice Value USD]]-tblsales[[#This Row],[Collected Amount USD]])</f>
        <v>273240.26551499963</v>
      </c>
      <c r="BB319" s="21">
        <f>IF(OR(tblsales[[#This Row],[Contract Value USD]]="",tblsales[[#This Row],[Cost Estimate USD]]=""),"",tblsales[[#This Row],[Contract Value USD]]-tblsales[[#This Row],[Cost Estimate USD]])</f>
        <v>2283255.7482279995</v>
      </c>
      <c r="BC319" s="21">
        <f>IF(OR(tblsales[[#This Row],[Contract Value USD]]="",tblsales[[#This Row],[Cost Estimate USD]]=""),"",tblsales[[#This Row],[Contract Value USD]]-tblsales[[#This Row],[Cost Estimate USD]])</f>
        <v>2283255.7482279995</v>
      </c>
      <c r="BD319" s="23">
        <f>IF(tblsales[[#This Row],[Invoice Value USD]]="","",tblsales[[#This Row],[Collected Amount USD]]/tblsales[[#This Row],[Invoice Value USD]])</f>
        <v>0.90251433728538599</v>
      </c>
      <c r="BE319" s="11">
        <f>IF(tblsales[[#This Row],[SalesStage]]="Won",1,0)</f>
        <v>0</v>
      </c>
      <c r="BF319" s="21" t="str">
        <f>IF(tblsales[[#This Row],[Win Flag]]=1,"Won","Lost")</f>
        <v>Lost</v>
      </c>
      <c r="BG319" s="8"/>
    </row>
    <row r="320" spans="1:59" x14ac:dyDescent="0.3">
      <c r="A320" s="10" t="s">
        <v>1279</v>
      </c>
      <c r="B320" s="9">
        <v>45866</v>
      </c>
      <c r="C320" s="10" t="s">
        <v>268</v>
      </c>
      <c r="D320" s="10" t="s">
        <v>190</v>
      </c>
      <c r="E320" s="10" t="s">
        <v>332</v>
      </c>
      <c r="F320" s="10" t="s">
        <v>332</v>
      </c>
      <c r="G320" s="10" t="s">
        <v>28</v>
      </c>
      <c r="H320" s="10" t="s">
        <v>332</v>
      </c>
      <c r="I320" s="10" t="s">
        <v>240</v>
      </c>
      <c r="J320" s="10" t="s">
        <v>130</v>
      </c>
      <c r="K320" s="10" t="s">
        <v>221</v>
      </c>
      <c r="L320" s="10" t="s">
        <v>1280</v>
      </c>
      <c r="M320" s="9">
        <v>45907</v>
      </c>
      <c r="N320" s="9" t="s">
        <v>1281</v>
      </c>
      <c r="O320" s="9">
        <v>45943</v>
      </c>
      <c r="P320" s="11">
        <v>32</v>
      </c>
      <c r="Q320" s="12">
        <v>10099826</v>
      </c>
      <c r="R320">
        <v>11725897.986</v>
      </c>
      <c r="S320" s="22">
        <v>0.23</v>
      </c>
      <c r="T320" s="22">
        <v>0.13</v>
      </c>
      <c r="U320" s="12">
        <v>8787858.5999999996</v>
      </c>
      <c r="V320" s="24">
        <v>10202703.8346</v>
      </c>
      <c r="W320" s="8">
        <v>6301960.5099999998</v>
      </c>
      <c r="X320" s="24">
        <v>7316576.1521100001</v>
      </c>
      <c r="Y320" s="22">
        <v>0.28999999999999998</v>
      </c>
      <c r="Z320" s="22">
        <v>0.12</v>
      </c>
      <c r="AA320" s="8" t="s">
        <v>1282</v>
      </c>
      <c r="AB320" s="8">
        <v>7217678.2199999997</v>
      </c>
      <c r="AC320" s="24">
        <v>8379724.4134200001</v>
      </c>
      <c r="AD320" s="8">
        <v>6271964.7800000003</v>
      </c>
      <c r="AE320" s="24">
        <v>7281751.1095800009</v>
      </c>
      <c r="AF320" s="8">
        <v>120</v>
      </c>
      <c r="AG320" s="8">
        <v>147</v>
      </c>
      <c r="AH320" s="8" t="s">
        <v>342</v>
      </c>
      <c r="AI320" s="8" t="s">
        <v>354</v>
      </c>
      <c r="AJ320" s="22">
        <v>0.69</v>
      </c>
      <c r="AK320" s="8" t="s">
        <v>159</v>
      </c>
      <c r="AL320" s="22">
        <v>0.1</v>
      </c>
      <c r="AM320" s="22">
        <v>0.03</v>
      </c>
      <c r="AN320" s="8">
        <v>10</v>
      </c>
      <c r="AO320" s="8">
        <v>2758</v>
      </c>
      <c r="AP320" s="8">
        <v>904387.53</v>
      </c>
      <c r="AQ320" s="24">
        <v>1049993.92233</v>
      </c>
      <c r="AR320" s="8">
        <v>2181915.71</v>
      </c>
      <c r="AS320" s="37">
        <v>2533204.13931</v>
      </c>
      <c r="AT320" s="8" t="s">
        <v>385</v>
      </c>
      <c r="AU320" s="8" t="s">
        <v>332</v>
      </c>
      <c r="AV320" s="8">
        <v>79.3</v>
      </c>
      <c r="AW320" s="8">
        <v>36</v>
      </c>
      <c r="AX320" s="8" t="s">
        <v>332</v>
      </c>
      <c r="AY320" s="8" t="s">
        <v>224</v>
      </c>
      <c r="AZ320" s="8" t="s">
        <v>377</v>
      </c>
      <c r="BA320" s="21">
        <f>IF(OR(tblsales[[#This Row],[Invoice Value USD]]="",tblsales[[#This Row],[Collected Amount USD]]=""),"",tblsales[[#This Row],[Invoice Value USD]]-tblsales[[#This Row],[Collected Amount USD]])</f>
        <v>1097973.3038399993</v>
      </c>
      <c r="BB320" s="21">
        <f>IF(OR(tblsales[[#This Row],[Contract Value USD]]="",tblsales[[#This Row],[Cost Estimate USD]]=""),"",tblsales[[#This Row],[Contract Value USD]]-tblsales[[#This Row],[Cost Estimate USD]])</f>
        <v>2886127.6824899996</v>
      </c>
      <c r="BC320" s="21">
        <f>IF(OR(tblsales[[#This Row],[Contract Value USD]]="",tblsales[[#This Row],[Cost Estimate USD]]=""),"",tblsales[[#This Row],[Contract Value USD]]-tblsales[[#This Row],[Cost Estimate USD]])</f>
        <v>2886127.6824899996</v>
      </c>
      <c r="BD320" s="23">
        <f>IF(tblsales[[#This Row],[Invoice Value USD]]="","",tblsales[[#This Row],[Collected Amount USD]]/tblsales[[#This Row],[Invoice Value USD]])</f>
        <v>0.86897262371998629</v>
      </c>
      <c r="BE320" s="11">
        <f>IF(tblsales[[#This Row],[SalesStage]]="Won",1,0)</f>
        <v>0</v>
      </c>
      <c r="BF320" s="21" t="str">
        <f>IF(tblsales[[#This Row],[Win Flag]]=1,"Won","Lost")</f>
        <v>Lost</v>
      </c>
      <c r="BG320" s="8"/>
    </row>
    <row r="321" spans="1:61" x14ac:dyDescent="0.3">
      <c r="A321" s="10" t="s">
        <v>1283</v>
      </c>
      <c r="B321" s="9">
        <v>45801</v>
      </c>
      <c r="C321" s="10" t="s">
        <v>252</v>
      </c>
      <c r="D321" s="10" t="s">
        <v>394</v>
      </c>
      <c r="E321" s="10" t="s">
        <v>20</v>
      </c>
      <c r="F321" s="10" t="s">
        <v>196</v>
      </c>
      <c r="G321" s="10" t="s">
        <v>46</v>
      </c>
      <c r="H321" s="10" t="s">
        <v>236</v>
      </c>
      <c r="I321" s="10" t="s">
        <v>240</v>
      </c>
      <c r="J321" s="10" t="s">
        <v>136</v>
      </c>
      <c r="K321" s="10" t="s">
        <v>333</v>
      </c>
      <c r="L321" s="10" t="s">
        <v>1284</v>
      </c>
      <c r="M321" s="9">
        <v>45904</v>
      </c>
      <c r="N321" s="9"/>
      <c r="O321" s="9">
        <v>45817</v>
      </c>
      <c r="P321" s="11">
        <v>27</v>
      </c>
      <c r="Q321" s="12">
        <v>8687470</v>
      </c>
      <c r="R321">
        <v>8687470</v>
      </c>
      <c r="S321" s="22">
        <v>0.04</v>
      </c>
      <c r="T321" s="22">
        <v>0.04</v>
      </c>
      <c r="U321" s="12">
        <v>8673570.0500000007</v>
      </c>
      <c r="V321" s="24">
        <v>8673570.0500000007</v>
      </c>
      <c r="W321" s="8">
        <v>7321285.1799999997</v>
      </c>
      <c r="X321" s="24">
        <v>7321285.1799999997</v>
      </c>
      <c r="Y321" s="22">
        <v>0.28000000000000003</v>
      </c>
      <c r="Z321" s="22">
        <v>0.09</v>
      </c>
      <c r="AA321" s="8" t="s">
        <v>1285</v>
      </c>
      <c r="AB321" s="8">
        <v>3161067.21</v>
      </c>
      <c r="AC321" s="24">
        <v>3161067.21</v>
      </c>
      <c r="AD321" s="8">
        <v>2302487.0299999998</v>
      </c>
      <c r="AE321" s="24">
        <v>2302487.0299999998</v>
      </c>
      <c r="AF321" s="8">
        <v>30</v>
      </c>
      <c r="AG321" s="8">
        <v>147</v>
      </c>
      <c r="AH321" s="8" t="s">
        <v>329</v>
      </c>
      <c r="AI321" s="8" t="s">
        <v>381</v>
      </c>
      <c r="AJ321" s="22">
        <v>0.36</v>
      </c>
      <c r="AK321" s="8" t="s">
        <v>152</v>
      </c>
      <c r="AL321" s="22">
        <v>0.15</v>
      </c>
      <c r="AM321" s="22">
        <v>0.09</v>
      </c>
      <c r="AN321" s="8">
        <v>9</v>
      </c>
      <c r="AO321" s="8">
        <v>2604</v>
      </c>
      <c r="AP321" s="8">
        <v>599369.04</v>
      </c>
      <c r="AQ321" s="24">
        <v>599369.04</v>
      </c>
      <c r="AR321" s="8">
        <v>2438331.9900000002</v>
      </c>
      <c r="AS321" s="37">
        <v>2438331.9900000002</v>
      </c>
      <c r="AT321" s="8" t="s">
        <v>332</v>
      </c>
      <c r="AU321" s="8" t="s">
        <v>348</v>
      </c>
      <c r="AV321" s="8">
        <v>62.4</v>
      </c>
      <c r="AW321" s="8">
        <v>48</v>
      </c>
      <c r="AX321" s="8" t="s">
        <v>323</v>
      </c>
      <c r="AY321" s="8" t="s">
        <v>192</v>
      </c>
      <c r="AZ321" s="8" t="s">
        <v>332</v>
      </c>
      <c r="BA321" s="21">
        <f>IF(OR(tblsales[[#This Row],[Invoice Value USD]]="",tblsales[[#This Row],[Collected Amount USD]]=""),"",tblsales[[#This Row],[Invoice Value USD]]-tblsales[[#This Row],[Collected Amount USD]])</f>
        <v>858580.18000000017</v>
      </c>
      <c r="BB321" s="21">
        <f>IF(OR(tblsales[[#This Row],[Contract Value USD]]="",tblsales[[#This Row],[Cost Estimate USD]]=""),"",tblsales[[#This Row],[Contract Value USD]]-tblsales[[#This Row],[Cost Estimate USD]])</f>
        <v>1352284.870000001</v>
      </c>
      <c r="BC321" s="21">
        <f>IF(OR(tblsales[[#This Row],[Contract Value USD]]="",tblsales[[#This Row],[Cost Estimate USD]]=""),"",tblsales[[#This Row],[Contract Value USD]]-tblsales[[#This Row],[Cost Estimate USD]])</f>
        <v>1352284.870000001</v>
      </c>
      <c r="BD321" s="23">
        <f>IF(tblsales[[#This Row],[Invoice Value USD]]="","",tblsales[[#This Row],[Collected Amount USD]]/tblsales[[#This Row],[Invoice Value USD]])</f>
        <v>0.72838914108377972</v>
      </c>
      <c r="BE321" s="11">
        <f>IF(tblsales[[#This Row],[SalesStage]]="Won",1,0)</f>
        <v>0</v>
      </c>
      <c r="BF321" s="21" t="str">
        <f>IF(tblsales[[#This Row],[Win Flag]]=1,"Won","Lost")</f>
        <v>Lost</v>
      </c>
      <c r="BG321" s="8"/>
    </row>
    <row r="322" spans="1:61" x14ac:dyDescent="0.3">
      <c r="A322" s="10" t="s">
        <v>1286</v>
      </c>
      <c r="B322" s="9">
        <v>45911</v>
      </c>
      <c r="C322" s="10" t="s">
        <v>237</v>
      </c>
      <c r="D322" s="10" t="s">
        <v>242</v>
      </c>
      <c r="E322" s="10" t="s">
        <v>113</v>
      </c>
      <c r="F322" s="10" t="s">
        <v>181</v>
      </c>
      <c r="G322" s="10" t="s">
        <v>66</v>
      </c>
      <c r="H322" s="10" t="s">
        <v>212</v>
      </c>
      <c r="I322" s="10" t="s">
        <v>183</v>
      </c>
      <c r="J322" s="10" t="s">
        <v>111</v>
      </c>
      <c r="K322" s="10" t="s">
        <v>221</v>
      </c>
      <c r="L322" s="10" t="s">
        <v>1287</v>
      </c>
      <c r="M322" s="9">
        <v>45999</v>
      </c>
      <c r="N322" s="9">
        <v>45937</v>
      </c>
      <c r="O322" s="9">
        <v>45959</v>
      </c>
      <c r="P322" s="11">
        <v>32</v>
      </c>
      <c r="Q322" s="12">
        <v>35823414</v>
      </c>
      <c r="R322">
        <v>41590983.653999999</v>
      </c>
      <c r="S322" s="22">
        <v>0.28999999999999998</v>
      </c>
      <c r="T322" s="22">
        <v>0.18</v>
      </c>
      <c r="U322" s="12">
        <v>30012856.25</v>
      </c>
      <c r="V322" s="24">
        <v>34844926.106250003</v>
      </c>
      <c r="W322" s="8">
        <v>23205682.789999999</v>
      </c>
      <c r="X322" s="24">
        <v>26941797.719190001</v>
      </c>
      <c r="Y322" s="22">
        <v>0.16</v>
      </c>
      <c r="Z322" s="22">
        <v>0.08</v>
      </c>
      <c r="AA322" s="8" t="s">
        <v>1288</v>
      </c>
      <c r="AB322" s="8">
        <v>5125458.6100000003</v>
      </c>
      <c r="AC322" s="24">
        <v>5950657.4462100007</v>
      </c>
      <c r="AD322" s="8">
        <v>2030695.44</v>
      </c>
      <c r="AE322" s="24">
        <v>2357637.4058400001</v>
      </c>
      <c r="AF322" s="8">
        <v>60</v>
      </c>
      <c r="AG322" s="8">
        <v>141</v>
      </c>
      <c r="AH322" s="8" t="s">
        <v>353</v>
      </c>
      <c r="AI322" s="8" t="s">
        <v>336</v>
      </c>
      <c r="AJ322" s="22">
        <v>0.47</v>
      </c>
      <c r="AK322" s="8" t="s">
        <v>159</v>
      </c>
      <c r="AL322" s="22">
        <v>0.15</v>
      </c>
      <c r="AM322" s="22">
        <v>0.04</v>
      </c>
      <c r="AN322" s="8">
        <v>5</v>
      </c>
      <c r="AO322" s="8">
        <v>2935</v>
      </c>
      <c r="AP322" s="8">
        <v>6216995.75</v>
      </c>
      <c r="AQ322" s="24">
        <v>7217932.0657500001</v>
      </c>
      <c r="AR322" s="8">
        <v>3756190.66</v>
      </c>
      <c r="AS322" s="37">
        <v>4360937.3562600007</v>
      </c>
      <c r="AT322" s="8" t="s">
        <v>385</v>
      </c>
      <c r="AU322" s="8" t="s">
        <v>330</v>
      </c>
      <c r="AV322" s="8"/>
      <c r="AW322" s="8">
        <v>36</v>
      </c>
      <c r="AX322" s="8" t="s">
        <v>323</v>
      </c>
      <c r="AY322" s="8" t="s">
        <v>229</v>
      </c>
      <c r="AZ322" s="8" t="s">
        <v>332</v>
      </c>
      <c r="BA322" s="21">
        <f>IF(OR(tblsales[[#This Row],[Invoice Value USD]]="",tblsales[[#This Row],[Collected Amount USD]]=""),"",tblsales[[#This Row],[Invoice Value USD]]-tblsales[[#This Row],[Collected Amount USD]])</f>
        <v>3593020.0403700005</v>
      </c>
      <c r="BB322" s="21">
        <f>IF(OR(tblsales[[#This Row],[Contract Value USD]]="",tblsales[[#This Row],[Cost Estimate USD]]=""),"",tblsales[[#This Row],[Contract Value USD]]-tblsales[[#This Row],[Cost Estimate USD]])</f>
        <v>7903128.3870600015</v>
      </c>
      <c r="BC322" s="21">
        <f>IF(OR(tblsales[[#This Row],[Contract Value USD]]="",tblsales[[#This Row],[Cost Estimate USD]]=""),"",tblsales[[#This Row],[Contract Value USD]]-tblsales[[#This Row],[Cost Estimate USD]])</f>
        <v>7903128.3870600015</v>
      </c>
      <c r="BD322" s="23">
        <f>IF(tblsales[[#This Row],[Invoice Value USD]]="","",tblsales[[#This Row],[Collected Amount USD]]/tblsales[[#This Row],[Invoice Value USD]])</f>
        <v>0.39619780287329254</v>
      </c>
      <c r="BE322" s="11">
        <f>IF(tblsales[[#This Row],[SalesStage]]="Won",1,0)</f>
        <v>0</v>
      </c>
      <c r="BF322" s="21" t="str">
        <f>IF(tblsales[[#This Row],[Win Flag]]=1,"Won","Lost")</f>
        <v>Lost</v>
      </c>
      <c r="BG322" s="8"/>
    </row>
    <row r="323" spans="1:61" x14ac:dyDescent="0.3">
      <c r="A323" s="10" t="s">
        <v>1289</v>
      </c>
      <c r="B323" s="9">
        <v>46007</v>
      </c>
      <c r="C323" s="10" t="s">
        <v>230</v>
      </c>
      <c r="D323" s="10" t="s">
        <v>562</v>
      </c>
      <c r="E323" s="10" t="s">
        <v>332</v>
      </c>
      <c r="F323" s="10" t="s">
        <v>339</v>
      </c>
      <c r="G323" s="10" t="s">
        <v>73</v>
      </c>
      <c r="H323" s="10" t="s">
        <v>182</v>
      </c>
      <c r="I323" s="10" t="s">
        <v>198</v>
      </c>
      <c r="J323" s="10" t="s">
        <v>130</v>
      </c>
      <c r="K323" s="10" t="s">
        <v>326</v>
      </c>
      <c r="L323" s="10" t="s">
        <v>1290</v>
      </c>
      <c r="M323" s="9">
        <v>45975</v>
      </c>
      <c r="N323" s="9" t="s">
        <v>1291</v>
      </c>
      <c r="O323" s="9">
        <v>46081</v>
      </c>
      <c r="P323" s="11">
        <v>42</v>
      </c>
      <c r="Q323" s="12">
        <v>12157551</v>
      </c>
      <c r="R323">
        <v>12157551</v>
      </c>
      <c r="S323" s="22">
        <v>0.26</v>
      </c>
      <c r="T323" s="22">
        <v>-0.03</v>
      </c>
      <c r="U323" s="12">
        <v>8726690.1099999994</v>
      </c>
      <c r="V323" s="24">
        <v>8726690.1099999994</v>
      </c>
      <c r="W323" s="8">
        <v>7574552.29</v>
      </c>
      <c r="X323" s="24">
        <v>7574552.29</v>
      </c>
      <c r="Y323" s="22">
        <v>0.12</v>
      </c>
      <c r="Z323" s="22">
        <v>0.09</v>
      </c>
      <c r="AA323" s="8" t="s">
        <v>1292</v>
      </c>
      <c r="AB323" s="8">
        <v>1818313.16</v>
      </c>
      <c r="AC323" s="24">
        <v>1818313.16</v>
      </c>
      <c r="AD323" s="8">
        <v>1219163.99</v>
      </c>
      <c r="AE323" s="24">
        <v>1219163.99</v>
      </c>
      <c r="AF323" s="8">
        <v>45</v>
      </c>
      <c r="AG323" s="8">
        <v>31</v>
      </c>
      <c r="AH323" s="8" t="s">
        <v>353</v>
      </c>
      <c r="AI323" s="8" t="s">
        <v>320</v>
      </c>
      <c r="AJ323" s="22">
        <v>0.45</v>
      </c>
      <c r="AK323" s="8" t="s">
        <v>152</v>
      </c>
      <c r="AL323" s="22">
        <v>0.15</v>
      </c>
      <c r="AM323" s="22">
        <v>0.04</v>
      </c>
      <c r="AN323" s="8">
        <v>3</v>
      </c>
      <c r="AO323" s="8">
        <v>4287</v>
      </c>
      <c r="AP323" s="8">
        <v>524390.79</v>
      </c>
      <c r="AQ323" s="24">
        <v>524390.79</v>
      </c>
      <c r="AR323" s="8">
        <v>3849741.29</v>
      </c>
      <c r="AS323" s="37">
        <v>3849741.29</v>
      </c>
      <c r="AT323" s="8" t="s">
        <v>385</v>
      </c>
      <c r="AU323" s="8" t="s">
        <v>322</v>
      </c>
      <c r="AV323" s="8">
        <v>84.7</v>
      </c>
      <c r="AW323" s="8">
        <v>24</v>
      </c>
      <c r="AX323" s="8" t="s">
        <v>387</v>
      </c>
      <c r="AY323" s="8" t="s">
        <v>186</v>
      </c>
      <c r="AZ323" s="8" t="s">
        <v>377</v>
      </c>
      <c r="BA323" s="21">
        <f>IF(OR(tblsales[[#This Row],[Invoice Value USD]]="",tblsales[[#This Row],[Collected Amount USD]]=""),"",tblsales[[#This Row],[Invoice Value USD]]-tblsales[[#This Row],[Collected Amount USD]])</f>
        <v>599149.16999999993</v>
      </c>
      <c r="BB323" s="21">
        <f>IF(OR(tblsales[[#This Row],[Contract Value USD]]="",tblsales[[#This Row],[Cost Estimate USD]]=""),"",tblsales[[#This Row],[Contract Value USD]]-tblsales[[#This Row],[Cost Estimate USD]])</f>
        <v>1152137.8199999994</v>
      </c>
      <c r="BC323" s="21">
        <f>IF(OR(tblsales[[#This Row],[Contract Value USD]]="",tblsales[[#This Row],[Cost Estimate USD]]=""),"",tblsales[[#This Row],[Contract Value USD]]-tblsales[[#This Row],[Cost Estimate USD]])</f>
        <v>1152137.8199999994</v>
      </c>
      <c r="BD323" s="23">
        <f>IF(tblsales[[#This Row],[Invoice Value USD]]="","",tblsales[[#This Row],[Collected Amount USD]]/tblsales[[#This Row],[Invoice Value USD]])</f>
        <v>0.67049175951627604</v>
      </c>
      <c r="BE323" s="11">
        <f>IF(tblsales[[#This Row],[SalesStage]]="Won",1,0)</f>
        <v>1</v>
      </c>
      <c r="BF323" s="21" t="str">
        <f>IF(tblsales[[#This Row],[Win Flag]]=1,"Won","Lost")</f>
        <v>Won</v>
      </c>
      <c r="BG323" s="8"/>
    </row>
    <row r="324" spans="1:61" x14ac:dyDescent="0.3">
      <c r="A324" s="10" t="s">
        <v>1293</v>
      </c>
      <c r="B324" s="9">
        <v>45675</v>
      </c>
      <c r="C324" s="10" t="s">
        <v>217</v>
      </c>
      <c r="D324" s="10" t="s">
        <v>332</v>
      </c>
      <c r="E324" s="10" t="s">
        <v>332</v>
      </c>
      <c r="F324" s="10" t="s">
        <v>228</v>
      </c>
      <c r="G324" s="10" t="s">
        <v>28</v>
      </c>
      <c r="H324" s="10" t="s">
        <v>212</v>
      </c>
      <c r="I324" s="10" t="s">
        <v>332</v>
      </c>
      <c r="J324" s="10" t="s">
        <v>130</v>
      </c>
      <c r="K324" s="10" t="s">
        <v>221</v>
      </c>
      <c r="L324" s="10" t="s">
        <v>1294</v>
      </c>
      <c r="M324" s="9">
        <v>45594</v>
      </c>
      <c r="N324" s="9" t="s">
        <v>1295</v>
      </c>
      <c r="O324" s="9">
        <v>45874</v>
      </c>
      <c r="P324" s="11">
        <v>51</v>
      </c>
      <c r="Q324" s="12">
        <v>31710459</v>
      </c>
      <c r="R324">
        <v>8457179.4153000005</v>
      </c>
      <c r="S324" s="22">
        <v>0.15</v>
      </c>
      <c r="T324" s="22">
        <v>0.18</v>
      </c>
      <c r="U324" s="12">
        <v>31805590.379999999</v>
      </c>
      <c r="V324" s="24">
        <v>8482550.9543459993</v>
      </c>
      <c r="W324" s="8">
        <v>27284705.170000002</v>
      </c>
      <c r="X324" s="24">
        <v>7276830.8688390004</v>
      </c>
      <c r="Y324" s="22">
        <v>0.22</v>
      </c>
      <c r="Z324" s="22">
        <v>0.1</v>
      </c>
      <c r="AA324" s="8" t="s">
        <v>1296</v>
      </c>
      <c r="AB324" s="8">
        <v>16492566.76</v>
      </c>
      <c r="AC324" s="24">
        <v>4398567.5548919998</v>
      </c>
      <c r="AD324" s="8">
        <v>11005354.01</v>
      </c>
      <c r="AE324" s="24">
        <v>2935127.9144669999</v>
      </c>
      <c r="AF324" s="8">
        <v>120</v>
      </c>
      <c r="AG324" s="8">
        <v>48</v>
      </c>
      <c r="AH324" s="8" t="s">
        <v>353</v>
      </c>
      <c r="AI324" s="8" t="s">
        <v>381</v>
      </c>
      <c r="AJ324" s="22">
        <v>0.42</v>
      </c>
      <c r="AK324" s="8" t="s">
        <v>162</v>
      </c>
      <c r="AL324" s="22">
        <v>0.1</v>
      </c>
      <c r="AM324" s="22">
        <v>0.08</v>
      </c>
      <c r="AN324" s="8">
        <v>3</v>
      </c>
      <c r="AO324" s="8">
        <v>4174</v>
      </c>
      <c r="AP324" s="8"/>
      <c r="AQ324" s="24"/>
      <c r="AR324" s="8">
        <v>10908403.98</v>
      </c>
      <c r="AS324" s="37">
        <v>2909271.3414659998</v>
      </c>
      <c r="AT324" s="8" t="s">
        <v>343</v>
      </c>
      <c r="AU324" s="8" t="s">
        <v>332</v>
      </c>
      <c r="AV324" s="8">
        <v>57.3</v>
      </c>
      <c r="AW324" s="8">
        <v>24</v>
      </c>
      <c r="AX324" s="8" t="s">
        <v>332</v>
      </c>
      <c r="AY324" s="8" t="s">
        <v>224</v>
      </c>
      <c r="AZ324" s="8" t="s">
        <v>324</v>
      </c>
      <c r="BA324" s="21">
        <f>IF(OR(tblsales[[#This Row],[Invoice Value USD]]="",tblsales[[#This Row],[Collected Amount USD]]=""),"",tblsales[[#This Row],[Invoice Value USD]]-tblsales[[#This Row],[Collected Amount USD]])</f>
        <v>1463439.6404249999</v>
      </c>
      <c r="BB324" s="21">
        <f>IF(OR(tblsales[[#This Row],[Contract Value USD]]="",tblsales[[#This Row],[Cost Estimate USD]]=""),"",tblsales[[#This Row],[Contract Value USD]]-tblsales[[#This Row],[Cost Estimate USD]])</f>
        <v>1205720.0855069989</v>
      </c>
      <c r="BC324" s="21">
        <f>IF(OR(tblsales[[#This Row],[Contract Value USD]]="",tblsales[[#This Row],[Cost Estimate USD]]=""),"",tblsales[[#This Row],[Contract Value USD]]-tblsales[[#This Row],[Cost Estimate USD]])</f>
        <v>1205720.0855069989</v>
      </c>
      <c r="BD324" s="23">
        <f>IF(tblsales[[#This Row],[Invoice Value USD]]="","",tblsales[[#This Row],[Collected Amount USD]]/tblsales[[#This Row],[Invoice Value USD]])</f>
        <v>0.6672917666576722</v>
      </c>
      <c r="BE324" s="11">
        <f>IF(tblsales[[#This Row],[SalesStage]]="Won",1,0)</f>
        <v>0</v>
      </c>
      <c r="BF324" s="21" t="str">
        <f>IF(tblsales[[#This Row],[Win Flag]]=1,"Won","Lost")</f>
        <v>Lost</v>
      </c>
      <c r="BG324" s="8"/>
    </row>
    <row r="325" spans="1:61" x14ac:dyDescent="0.3">
      <c r="A325" s="10" t="s">
        <v>1297</v>
      </c>
      <c r="B325" s="9">
        <v>45692</v>
      </c>
      <c r="C325" s="10" t="s">
        <v>201</v>
      </c>
      <c r="D325" s="10" t="s">
        <v>262</v>
      </c>
      <c r="E325" s="10" t="s">
        <v>113</v>
      </c>
      <c r="F325" s="10" t="s">
        <v>367</v>
      </c>
      <c r="G325" s="10" t="s">
        <v>66</v>
      </c>
      <c r="H325" s="10" t="s">
        <v>332</v>
      </c>
      <c r="I325" s="10" t="s">
        <v>183</v>
      </c>
      <c r="J325" s="10" t="s">
        <v>123</v>
      </c>
      <c r="K325" s="10" t="s">
        <v>333</v>
      </c>
      <c r="L325" s="10" t="s">
        <v>1298</v>
      </c>
      <c r="M325" s="9">
        <v>45699</v>
      </c>
      <c r="N325" s="9">
        <v>45663</v>
      </c>
      <c r="O325" s="9">
        <v>45862</v>
      </c>
      <c r="P325" s="11">
        <v>59</v>
      </c>
      <c r="Q325" s="12">
        <v>49474849</v>
      </c>
      <c r="R325">
        <v>57440299.689000003</v>
      </c>
      <c r="S325" s="22">
        <v>0.34</v>
      </c>
      <c r="T325" s="22">
        <v>0.05</v>
      </c>
      <c r="U325" s="12">
        <v>34286070.359999999</v>
      </c>
      <c r="V325" s="24">
        <v>39806127.687959999</v>
      </c>
      <c r="W325" s="8">
        <v>22831967.27</v>
      </c>
      <c r="X325" s="24">
        <v>26507914.000470001</v>
      </c>
      <c r="Y325" s="22">
        <v>0.19</v>
      </c>
      <c r="Z325" s="22">
        <v>0.06</v>
      </c>
      <c r="AA325" s="8" t="s">
        <v>1299</v>
      </c>
      <c r="AB325" s="8">
        <v>12702059.859999999</v>
      </c>
      <c r="AC325" s="24">
        <v>14747091.49746</v>
      </c>
      <c r="AD325" s="8">
        <v>12153868.279999999</v>
      </c>
      <c r="AE325" s="24">
        <v>14110641.07308</v>
      </c>
      <c r="AF325" s="8">
        <v>120</v>
      </c>
      <c r="AG325" s="8">
        <v>87</v>
      </c>
      <c r="AH325" s="8" t="s">
        <v>329</v>
      </c>
      <c r="AI325" s="8" t="s">
        <v>354</v>
      </c>
      <c r="AJ325" s="22">
        <v>0.25</v>
      </c>
      <c r="AK325" s="8" t="s">
        <v>159</v>
      </c>
      <c r="AL325" s="22">
        <v>0.15</v>
      </c>
      <c r="AM325" s="22">
        <v>0.01</v>
      </c>
      <c r="AN325" s="8">
        <v>12</v>
      </c>
      <c r="AO325" s="8">
        <v>528</v>
      </c>
      <c r="AP325" s="8">
        <v>2868895.02</v>
      </c>
      <c r="AQ325" s="24">
        <v>3330787.1182200001</v>
      </c>
      <c r="AR325" s="8">
        <v>8386813.3799999999</v>
      </c>
      <c r="AS325" s="37">
        <v>9737090.3341799993</v>
      </c>
      <c r="AT325" s="8" t="s">
        <v>385</v>
      </c>
      <c r="AU325" s="8" t="s">
        <v>332</v>
      </c>
      <c r="AV325" s="8">
        <v>70</v>
      </c>
      <c r="AW325" s="8">
        <v>12</v>
      </c>
      <c r="AX325" s="8" t="s">
        <v>323</v>
      </c>
      <c r="AY325" s="8" t="s">
        <v>186</v>
      </c>
      <c r="AZ325" s="8" t="s">
        <v>361</v>
      </c>
      <c r="BA325" s="21">
        <f>IF(OR(tblsales[[#This Row],[Invoice Value USD]]="",tblsales[[#This Row],[Collected Amount USD]]=""),"",tblsales[[#This Row],[Invoice Value USD]]-tblsales[[#This Row],[Collected Amount USD]])</f>
        <v>636450.42438000068</v>
      </c>
      <c r="BB325" s="21">
        <f>IF(OR(tblsales[[#This Row],[Contract Value USD]]="",tblsales[[#This Row],[Cost Estimate USD]]=""),"",tblsales[[#This Row],[Contract Value USD]]-tblsales[[#This Row],[Cost Estimate USD]])</f>
        <v>13298213.687489998</v>
      </c>
      <c r="BC325" s="21">
        <f>IF(OR(tblsales[[#This Row],[Contract Value USD]]="",tblsales[[#This Row],[Cost Estimate USD]]=""),"",tblsales[[#This Row],[Contract Value USD]]-tblsales[[#This Row],[Cost Estimate USD]])</f>
        <v>13298213.687489998</v>
      </c>
      <c r="BD325" s="23">
        <f>IF(tblsales[[#This Row],[Invoice Value USD]]="","",tblsales[[#This Row],[Collected Amount USD]]/tblsales[[#This Row],[Invoice Value USD]])</f>
        <v>0.95684230856710817</v>
      </c>
      <c r="BE325" s="11">
        <f>IF(tblsales[[#This Row],[SalesStage]]="Won",1,0)</f>
        <v>0</v>
      </c>
      <c r="BF325" s="21" t="str">
        <f>IF(tblsales[[#This Row],[Win Flag]]=1,"Won","Lost")</f>
        <v>Lost</v>
      </c>
      <c r="BG325" s="8"/>
    </row>
    <row r="326" spans="1:61" x14ac:dyDescent="0.3">
      <c r="A326" s="10" t="s">
        <v>1300</v>
      </c>
      <c r="B326" s="9">
        <v>45694</v>
      </c>
      <c r="C326" s="10" t="s">
        <v>179</v>
      </c>
      <c r="D326" s="10" t="s">
        <v>202</v>
      </c>
      <c r="E326" s="10" t="s">
        <v>20</v>
      </c>
      <c r="F326" s="10" t="s">
        <v>31</v>
      </c>
      <c r="G326" s="10" t="s">
        <v>62</v>
      </c>
      <c r="H326" s="10" t="s">
        <v>197</v>
      </c>
      <c r="I326" s="10" t="s">
        <v>246</v>
      </c>
      <c r="J326" s="10" t="s">
        <v>136</v>
      </c>
      <c r="K326" s="10" t="s">
        <v>210</v>
      </c>
      <c r="L326" s="10" t="s">
        <v>1301</v>
      </c>
      <c r="M326" s="9">
        <v>45546</v>
      </c>
      <c r="N326" s="9"/>
      <c r="O326" s="9">
        <v>45735</v>
      </c>
      <c r="P326" s="11">
        <v>15</v>
      </c>
      <c r="Q326" s="12">
        <v>5400478</v>
      </c>
      <c r="R326">
        <v>1470550.1594</v>
      </c>
      <c r="S326" s="22">
        <v>0.2</v>
      </c>
      <c r="T326" s="22">
        <v>0.18</v>
      </c>
      <c r="U326" s="12">
        <v>5098051.2300000004</v>
      </c>
      <c r="V326" s="24">
        <v>1388199.349929</v>
      </c>
      <c r="W326" s="8">
        <v>4208794.74</v>
      </c>
      <c r="X326" s="24">
        <v>1146054.807702</v>
      </c>
      <c r="Y326" s="22">
        <v>0.38</v>
      </c>
      <c r="Z326" s="22">
        <v>0.11</v>
      </c>
      <c r="AA326" s="8" t="s">
        <v>1302</v>
      </c>
      <c r="AB326" s="8"/>
      <c r="AC326" s="24"/>
      <c r="AD326" s="8">
        <v>1116772.1299999999</v>
      </c>
      <c r="AE326" s="24">
        <v>304097.05099899997</v>
      </c>
      <c r="AF326" s="8">
        <v>30</v>
      </c>
      <c r="AG326" s="8">
        <v>146</v>
      </c>
      <c r="AH326" s="8" t="s">
        <v>329</v>
      </c>
      <c r="AI326" s="8" t="s">
        <v>354</v>
      </c>
      <c r="AJ326" s="22">
        <v>0.93</v>
      </c>
      <c r="AK326" s="8" t="s">
        <v>153</v>
      </c>
      <c r="AL326" s="22">
        <v>0.05</v>
      </c>
      <c r="AM326" s="22">
        <v>0.06</v>
      </c>
      <c r="AN326" s="8">
        <v>12</v>
      </c>
      <c r="AO326" s="8">
        <v>617</v>
      </c>
      <c r="AP326" s="8">
        <v>677155.71</v>
      </c>
      <c r="AQ326" s="24">
        <v>184389.49983299998</v>
      </c>
      <c r="AR326" s="8">
        <v>672744.8</v>
      </c>
      <c r="AS326" s="37">
        <v>183188.40904</v>
      </c>
      <c r="AT326" s="8" t="s">
        <v>73</v>
      </c>
      <c r="AU326" s="8" t="s">
        <v>348</v>
      </c>
      <c r="AV326" s="8">
        <v>72.7</v>
      </c>
      <c r="AW326" s="8">
        <v>24</v>
      </c>
      <c r="AX326" s="8" t="s">
        <v>332</v>
      </c>
      <c r="AY326" s="8" t="s">
        <v>186</v>
      </c>
      <c r="AZ326" s="8" t="s">
        <v>332</v>
      </c>
      <c r="BA326" s="21" t="str">
        <f>IF(OR(tblsales[[#This Row],[Invoice Value USD]]="",tblsales[[#This Row],[Collected Amount USD]]=""),"",tblsales[[#This Row],[Invoice Value USD]]-tblsales[[#This Row],[Collected Amount USD]])</f>
        <v/>
      </c>
      <c r="BB326" s="21">
        <f>IF(OR(tblsales[[#This Row],[Contract Value USD]]="",tblsales[[#This Row],[Cost Estimate USD]]=""),"",tblsales[[#This Row],[Contract Value USD]]-tblsales[[#This Row],[Cost Estimate USD]])</f>
        <v>242144.542227</v>
      </c>
      <c r="BC326" s="21">
        <f>IF(OR(tblsales[[#This Row],[Contract Value USD]]="",tblsales[[#This Row],[Cost Estimate USD]]=""),"",tblsales[[#This Row],[Contract Value USD]]-tblsales[[#This Row],[Cost Estimate USD]])</f>
        <v>242144.542227</v>
      </c>
      <c r="BD326" s="23" t="str">
        <f>IF(tblsales[[#This Row],[Invoice Value USD]]="","",tblsales[[#This Row],[Collected Amount USD]]/tblsales[[#This Row],[Invoice Value USD]])</f>
        <v/>
      </c>
      <c r="BE326" s="11">
        <f>IF(tblsales[[#This Row],[SalesStage]]="Won",1,0)</f>
        <v>0</v>
      </c>
      <c r="BF326" s="21" t="str">
        <f>IF(tblsales[[#This Row],[Win Flag]]=1,"Won","Lost")</f>
        <v>Lost</v>
      </c>
      <c r="BG326" s="8"/>
    </row>
    <row r="327" spans="1:61" x14ac:dyDescent="0.3">
      <c r="A327" s="10" t="s">
        <v>1303</v>
      </c>
      <c r="B327" s="9">
        <v>46014</v>
      </c>
      <c r="C327" s="10" t="s">
        <v>266</v>
      </c>
      <c r="D327" s="10" t="s">
        <v>332</v>
      </c>
      <c r="E327" s="10" t="s">
        <v>36</v>
      </c>
      <c r="F327" s="10" t="s">
        <v>339</v>
      </c>
      <c r="G327" s="10" t="s">
        <v>23</v>
      </c>
      <c r="H327" s="10" t="s">
        <v>216</v>
      </c>
      <c r="I327" s="10" t="s">
        <v>240</v>
      </c>
      <c r="J327" s="10" t="s">
        <v>115</v>
      </c>
      <c r="K327" s="10" t="s">
        <v>184</v>
      </c>
      <c r="L327" s="10" t="s">
        <v>1304</v>
      </c>
      <c r="M327" s="9">
        <v>45984</v>
      </c>
      <c r="N327" s="9">
        <v>46036</v>
      </c>
      <c r="O327" s="9">
        <v>46106</v>
      </c>
      <c r="P327" s="11">
        <v>21</v>
      </c>
      <c r="Q327" s="12">
        <v>38906756</v>
      </c>
      <c r="R327">
        <v>38906756</v>
      </c>
      <c r="S327" s="22">
        <v>0.34</v>
      </c>
      <c r="T327" s="22">
        <v>0.08</v>
      </c>
      <c r="U327" s="12">
        <v>27732735.68</v>
      </c>
      <c r="V327" s="24">
        <v>27732735.68</v>
      </c>
      <c r="W327" s="8">
        <v>20434268.43</v>
      </c>
      <c r="X327" s="24">
        <v>20434268.43</v>
      </c>
      <c r="Y327" s="22">
        <v>0.22</v>
      </c>
      <c r="Z327" s="22">
        <v>0.16</v>
      </c>
      <c r="AA327" s="8" t="s">
        <v>1305</v>
      </c>
      <c r="AB327" s="8">
        <v>12587366.640000001</v>
      </c>
      <c r="AC327" s="24">
        <v>12587366.640000001</v>
      </c>
      <c r="AD327" s="8">
        <v>9261246.8900000006</v>
      </c>
      <c r="AE327" s="24">
        <v>9261246.8900000006</v>
      </c>
      <c r="AF327" s="8">
        <v>60</v>
      </c>
      <c r="AG327" s="8">
        <v>61</v>
      </c>
      <c r="AH327" s="8" t="s">
        <v>342</v>
      </c>
      <c r="AI327" s="8" t="s">
        <v>406</v>
      </c>
      <c r="AJ327" s="22">
        <v>0.84</v>
      </c>
      <c r="AK327" s="8" t="s">
        <v>152</v>
      </c>
      <c r="AL327" s="22">
        <v>0.05</v>
      </c>
      <c r="AM327" s="22">
        <v>0.09</v>
      </c>
      <c r="AN327" s="8">
        <v>9</v>
      </c>
      <c r="AO327" s="8">
        <v>3575</v>
      </c>
      <c r="AP327" s="8">
        <v>2453822.7200000002</v>
      </c>
      <c r="AQ327" s="24">
        <v>2453822.7200000002</v>
      </c>
      <c r="AR327" s="8">
        <v>7766707.1100000003</v>
      </c>
      <c r="AS327" s="37">
        <v>7766707.1100000003</v>
      </c>
      <c r="AT327" s="8" t="s">
        <v>355</v>
      </c>
      <c r="AU327" s="8" t="s">
        <v>321</v>
      </c>
      <c r="AV327" s="8">
        <v>98.4</v>
      </c>
      <c r="AW327" s="8">
        <v>12</v>
      </c>
      <c r="AX327" s="8" t="s">
        <v>337</v>
      </c>
      <c r="AY327" s="8" t="s">
        <v>186</v>
      </c>
      <c r="AZ327" s="8" t="s">
        <v>377</v>
      </c>
      <c r="BA327" s="21">
        <f>IF(OR(tblsales[[#This Row],[Invoice Value USD]]="",tblsales[[#This Row],[Collected Amount USD]]=""),"",tblsales[[#This Row],[Invoice Value USD]]-tblsales[[#This Row],[Collected Amount USD]])</f>
        <v>3326119.75</v>
      </c>
      <c r="BB327" s="21">
        <f>IF(OR(tblsales[[#This Row],[Contract Value USD]]="",tblsales[[#This Row],[Cost Estimate USD]]=""),"",tblsales[[#This Row],[Contract Value USD]]-tblsales[[#This Row],[Cost Estimate USD]])</f>
        <v>7298467.25</v>
      </c>
      <c r="BC327" s="21">
        <f>IF(OR(tblsales[[#This Row],[Contract Value USD]]="",tblsales[[#This Row],[Cost Estimate USD]]=""),"",tblsales[[#This Row],[Contract Value USD]]-tblsales[[#This Row],[Cost Estimate USD]])</f>
        <v>7298467.25</v>
      </c>
      <c r="BD327" s="23">
        <f>IF(tblsales[[#This Row],[Invoice Value USD]]="","",tblsales[[#This Row],[Collected Amount USD]]/tblsales[[#This Row],[Invoice Value USD]])</f>
        <v>0.73575729974923498</v>
      </c>
      <c r="BE327" s="11">
        <f>IF(tblsales[[#This Row],[SalesStage]]="Won",1,0)</f>
        <v>0</v>
      </c>
      <c r="BF327" s="21" t="str">
        <f>IF(tblsales[[#This Row],[Win Flag]]=1,"Won","Lost")</f>
        <v>Lost</v>
      </c>
      <c r="BG327" s="8"/>
      <c r="BH327" t="s">
        <v>5726</v>
      </c>
      <c r="BI327" s="26">
        <f>IFERROR(BN7/BI36,0)</f>
        <v>0</v>
      </c>
    </row>
    <row r="328" spans="1:61" x14ac:dyDescent="0.3">
      <c r="A328" s="10" t="s">
        <v>1306</v>
      </c>
      <c r="B328" s="9">
        <v>45674</v>
      </c>
      <c r="C328" s="10" t="s">
        <v>244</v>
      </c>
      <c r="D328" s="10" t="s">
        <v>274</v>
      </c>
      <c r="E328" s="10" t="s">
        <v>36</v>
      </c>
      <c r="F328" s="10" t="s">
        <v>19</v>
      </c>
      <c r="G328" s="10" t="s">
        <v>23</v>
      </c>
      <c r="H328" s="10" t="s">
        <v>216</v>
      </c>
      <c r="I328" s="10" t="s">
        <v>191</v>
      </c>
      <c r="J328" s="10" t="s">
        <v>115</v>
      </c>
      <c r="K328" s="10" t="s">
        <v>223</v>
      </c>
      <c r="L328" s="10" t="s">
        <v>1307</v>
      </c>
      <c r="M328" s="9">
        <v>45650</v>
      </c>
      <c r="N328" s="9">
        <v>45703</v>
      </c>
      <c r="O328" s="9">
        <v>45965</v>
      </c>
      <c r="P328" s="11">
        <v>8</v>
      </c>
      <c r="Q328" s="12">
        <v>1747100</v>
      </c>
      <c r="R328">
        <v>1747100</v>
      </c>
      <c r="S328" s="22">
        <v>0.15</v>
      </c>
      <c r="T328" s="22">
        <v>0.04</v>
      </c>
      <c r="U328" s="12">
        <v>1544436.4</v>
      </c>
      <c r="V328" s="24">
        <v>1544436.4</v>
      </c>
      <c r="W328" s="8">
        <v>1211184.8</v>
      </c>
      <c r="X328" s="24">
        <v>1211184.8</v>
      </c>
      <c r="Y328" s="22">
        <v>0.27</v>
      </c>
      <c r="Z328" s="22">
        <v>0.13</v>
      </c>
      <c r="AA328" s="8" t="s">
        <v>1308</v>
      </c>
      <c r="AB328" s="8">
        <v>994890.18</v>
      </c>
      <c r="AC328" s="24">
        <v>994890.18</v>
      </c>
      <c r="AD328" s="8">
        <v>672752.52</v>
      </c>
      <c r="AE328" s="24">
        <v>672752.52</v>
      </c>
      <c r="AF328" s="8">
        <v>30</v>
      </c>
      <c r="AG328" s="8">
        <v>151</v>
      </c>
      <c r="AH328" s="8" t="s">
        <v>353</v>
      </c>
      <c r="AI328" s="8" t="s">
        <v>354</v>
      </c>
      <c r="AJ328" s="22">
        <v>0.74</v>
      </c>
      <c r="AK328" s="8" t="s">
        <v>152</v>
      </c>
      <c r="AL328" s="22">
        <v>0.1</v>
      </c>
      <c r="AM328" s="22">
        <v>0.06</v>
      </c>
      <c r="AN328" s="8">
        <v>5</v>
      </c>
      <c r="AO328" s="8">
        <v>2041</v>
      </c>
      <c r="AP328" s="8">
        <v>148256.23000000001</v>
      </c>
      <c r="AQ328" s="24">
        <v>148256.23000000001</v>
      </c>
      <c r="AR328" s="8">
        <v>711136.71</v>
      </c>
      <c r="AS328" s="37">
        <v>711136.71</v>
      </c>
      <c r="AT328" s="8" t="s">
        <v>391</v>
      </c>
      <c r="AU328" s="8" t="s">
        <v>348</v>
      </c>
      <c r="AV328" s="8">
        <v>80.599999999999994</v>
      </c>
      <c r="AW328" s="8">
        <v>24</v>
      </c>
      <c r="AX328" s="8" t="s">
        <v>337</v>
      </c>
      <c r="AY328" s="8" t="s">
        <v>206</v>
      </c>
      <c r="AZ328" s="8" t="s">
        <v>324</v>
      </c>
      <c r="BA328" s="21">
        <f>IF(OR(tblsales[[#This Row],[Invoice Value USD]]="",tblsales[[#This Row],[Collected Amount USD]]=""),"",tblsales[[#This Row],[Invoice Value USD]]-tblsales[[#This Row],[Collected Amount USD]])</f>
        <v>322137.66000000003</v>
      </c>
      <c r="BB328" s="21">
        <f>IF(OR(tblsales[[#This Row],[Contract Value USD]]="",tblsales[[#This Row],[Cost Estimate USD]]=""),"",tblsales[[#This Row],[Contract Value USD]]-tblsales[[#This Row],[Cost Estimate USD]])</f>
        <v>333251.59999999986</v>
      </c>
      <c r="BC328" s="21">
        <f>IF(OR(tblsales[[#This Row],[Contract Value USD]]="",tblsales[[#This Row],[Cost Estimate USD]]=""),"",tblsales[[#This Row],[Contract Value USD]]-tblsales[[#This Row],[Cost Estimate USD]])</f>
        <v>333251.59999999986</v>
      </c>
      <c r="BD328" s="23">
        <f>IF(tblsales[[#This Row],[Invoice Value USD]]="","",tblsales[[#This Row],[Collected Amount USD]]/tblsales[[#This Row],[Invoice Value USD]])</f>
        <v>0.67620782024403936</v>
      </c>
      <c r="BE328" s="11">
        <f>IF(tblsales[[#This Row],[SalesStage]]="Won",1,0)</f>
        <v>0</v>
      </c>
      <c r="BF328" s="21" t="str">
        <f>IF(tblsales[[#This Row],[Win Flag]]=1,"Won","Lost")</f>
        <v>Lost</v>
      </c>
      <c r="BG328" s="8"/>
    </row>
    <row r="329" spans="1:61" x14ac:dyDescent="0.3">
      <c r="A329" s="10" t="s">
        <v>1309</v>
      </c>
      <c r="B329" s="9">
        <v>45966</v>
      </c>
      <c r="C329" s="10" t="s">
        <v>266</v>
      </c>
      <c r="D329" s="10" t="s">
        <v>215</v>
      </c>
      <c r="E329" s="10" t="s">
        <v>41</v>
      </c>
      <c r="F329" s="10" t="s">
        <v>350</v>
      </c>
      <c r="G329" s="10" t="s">
        <v>57</v>
      </c>
      <c r="H329" s="10" t="s">
        <v>332</v>
      </c>
      <c r="I329" s="10" t="s">
        <v>203</v>
      </c>
      <c r="J329" s="10" t="s">
        <v>105</v>
      </c>
      <c r="K329" s="10" t="s">
        <v>199</v>
      </c>
      <c r="L329" s="10" t="s">
        <v>1310</v>
      </c>
      <c r="M329" s="9">
        <v>45944</v>
      </c>
      <c r="N329" s="9"/>
      <c r="O329" s="9">
        <v>46069</v>
      </c>
      <c r="P329" s="11">
        <v>47</v>
      </c>
      <c r="Q329" s="12">
        <v>39733044</v>
      </c>
      <c r="R329">
        <v>39733044</v>
      </c>
      <c r="S329" s="22">
        <v>0.09</v>
      </c>
      <c r="T329" s="22">
        <v>0.1</v>
      </c>
      <c r="U329" s="12">
        <v>39772777.039999999</v>
      </c>
      <c r="V329" s="24">
        <v>39772777.039999999</v>
      </c>
      <c r="W329" s="8">
        <v>34130069.18</v>
      </c>
      <c r="X329" s="24">
        <v>34130069.18</v>
      </c>
      <c r="Y329" s="22">
        <v>0.22</v>
      </c>
      <c r="Z329" s="22">
        <v>0.1</v>
      </c>
      <c r="AA329" s="8" t="s">
        <v>1311</v>
      </c>
      <c r="AB329" s="8">
        <v>30176237.710000001</v>
      </c>
      <c r="AC329" s="24">
        <v>30176237.710000001</v>
      </c>
      <c r="AD329" s="8">
        <v>31860071.469999999</v>
      </c>
      <c r="AE329" s="24">
        <v>31860071.469999999</v>
      </c>
      <c r="AF329" s="8">
        <v>60</v>
      </c>
      <c r="AG329" s="8">
        <v>71</v>
      </c>
      <c r="AH329" s="8" t="s">
        <v>353</v>
      </c>
      <c r="AI329" s="8" t="s">
        <v>336</v>
      </c>
      <c r="AJ329" s="22">
        <v>0.59</v>
      </c>
      <c r="AK329" s="8" t="s">
        <v>152</v>
      </c>
      <c r="AL329" s="22">
        <v>0.1</v>
      </c>
      <c r="AM329" s="22">
        <v>0.03</v>
      </c>
      <c r="AN329" s="8">
        <v>8</v>
      </c>
      <c r="AO329" s="8">
        <v>4807</v>
      </c>
      <c r="AP329" s="8">
        <v>7910072.8799999999</v>
      </c>
      <c r="AQ329" s="24">
        <v>7910072.8799999999</v>
      </c>
      <c r="AR329" s="8"/>
      <c r="AS329" s="37"/>
      <c r="AT329" s="8" t="s">
        <v>355</v>
      </c>
      <c r="AU329" s="8" t="s">
        <v>332</v>
      </c>
      <c r="AV329" s="8">
        <v>59.6</v>
      </c>
      <c r="AW329" s="8"/>
      <c r="AX329" s="8" t="s">
        <v>337</v>
      </c>
      <c r="AY329" s="8" t="s">
        <v>206</v>
      </c>
      <c r="AZ329" s="8" t="s">
        <v>377</v>
      </c>
      <c r="BA329" s="21">
        <f>IF(OR(tblsales[[#This Row],[Invoice Value USD]]="",tblsales[[#This Row],[Collected Amount USD]]=""),"",tblsales[[#This Row],[Invoice Value USD]]-tblsales[[#This Row],[Collected Amount USD]])</f>
        <v>-1683833.7599999979</v>
      </c>
      <c r="BB329" s="21">
        <f>IF(OR(tblsales[[#This Row],[Contract Value USD]]="",tblsales[[#This Row],[Cost Estimate USD]]=""),"",tblsales[[#This Row],[Contract Value USD]]-tblsales[[#This Row],[Cost Estimate USD]])</f>
        <v>5642707.8599999994</v>
      </c>
      <c r="BC329" s="21">
        <f>IF(OR(tblsales[[#This Row],[Contract Value USD]]="",tblsales[[#This Row],[Cost Estimate USD]]=""),"",tblsales[[#This Row],[Contract Value USD]]-tblsales[[#This Row],[Cost Estimate USD]])</f>
        <v>5642707.8599999994</v>
      </c>
      <c r="BD329" s="23">
        <f>IF(tblsales[[#This Row],[Invoice Value USD]]="","",tblsales[[#This Row],[Collected Amount USD]]/tblsales[[#This Row],[Invoice Value USD]])</f>
        <v>1.0557999899186239</v>
      </c>
      <c r="BE329" s="11">
        <f>IF(tblsales[[#This Row],[SalesStage]]="Won",1,0)</f>
        <v>0</v>
      </c>
      <c r="BF329" s="21" t="str">
        <f>IF(tblsales[[#This Row],[Win Flag]]=1,"Won","Lost")</f>
        <v>Lost</v>
      </c>
      <c r="BG329" s="8"/>
    </row>
    <row r="330" spans="1:61" x14ac:dyDescent="0.3">
      <c r="A330" s="10" t="s">
        <v>1312</v>
      </c>
      <c r="B330" s="9">
        <v>45772</v>
      </c>
      <c r="C330" s="10" t="s">
        <v>179</v>
      </c>
      <c r="D330" s="10" t="s">
        <v>202</v>
      </c>
      <c r="E330" s="10" t="s">
        <v>41</v>
      </c>
      <c r="F330" s="10" t="s">
        <v>350</v>
      </c>
      <c r="G330" s="10" t="s">
        <v>78</v>
      </c>
      <c r="H330" s="10" t="s">
        <v>197</v>
      </c>
      <c r="I330" s="10" t="s">
        <v>198</v>
      </c>
      <c r="J330" s="10" t="s">
        <v>105</v>
      </c>
      <c r="K330" s="10" t="s">
        <v>210</v>
      </c>
      <c r="L330" s="10" t="s">
        <v>1313</v>
      </c>
      <c r="M330" s="9">
        <v>45729</v>
      </c>
      <c r="N330" s="9">
        <v>45843</v>
      </c>
      <c r="O330" s="9">
        <v>45852</v>
      </c>
      <c r="P330" s="11">
        <v>7</v>
      </c>
      <c r="Q330" s="12">
        <v>38222106</v>
      </c>
      <c r="R330">
        <v>38222106</v>
      </c>
      <c r="S330" s="22">
        <v>0.03</v>
      </c>
      <c r="T330" s="22">
        <v>-0.04</v>
      </c>
      <c r="U330" s="12">
        <v>35592425.109999999</v>
      </c>
      <c r="V330" s="24">
        <v>35592425.109999999</v>
      </c>
      <c r="W330" s="8">
        <v>27143207.890000001</v>
      </c>
      <c r="X330" s="24">
        <v>27143207.890000001</v>
      </c>
      <c r="Y330" s="22">
        <v>0.36</v>
      </c>
      <c r="Z330" s="22">
        <v>0.09</v>
      </c>
      <c r="AA330" s="8" t="s">
        <v>1314</v>
      </c>
      <c r="AB330" s="8">
        <v>28924292.030000001</v>
      </c>
      <c r="AC330" s="24">
        <v>28924292.030000001</v>
      </c>
      <c r="AD330" s="8">
        <v>28915999.030000001</v>
      </c>
      <c r="AE330" s="24">
        <v>28915999.030000001</v>
      </c>
      <c r="AF330" s="8">
        <v>30</v>
      </c>
      <c r="AG330" s="8">
        <v>35</v>
      </c>
      <c r="AH330" s="8" t="s">
        <v>329</v>
      </c>
      <c r="AI330" s="8" t="s">
        <v>226</v>
      </c>
      <c r="AJ330" s="22">
        <v>0.78</v>
      </c>
      <c r="AK330" s="8" t="s">
        <v>152</v>
      </c>
      <c r="AL330" s="22">
        <v>0.05</v>
      </c>
      <c r="AM330" s="22">
        <v>0.08</v>
      </c>
      <c r="AN330" s="8">
        <v>14</v>
      </c>
      <c r="AO330" s="8">
        <v>1606</v>
      </c>
      <c r="AP330" s="8">
        <v>3108417.14</v>
      </c>
      <c r="AQ330" s="24">
        <v>3108417.14</v>
      </c>
      <c r="AR330" s="8">
        <v>6519283.3899999997</v>
      </c>
      <c r="AS330" s="37">
        <v>6519283.3899999997</v>
      </c>
      <c r="AT330" s="8" t="s">
        <v>321</v>
      </c>
      <c r="AU330" s="8" t="s">
        <v>322</v>
      </c>
      <c r="AV330" s="8">
        <v>70.400000000000006</v>
      </c>
      <c r="AW330" s="8">
        <v>36</v>
      </c>
      <c r="AX330" s="8" t="s">
        <v>387</v>
      </c>
      <c r="AY330" s="8" t="s">
        <v>206</v>
      </c>
      <c r="AZ330" s="8" t="s">
        <v>324</v>
      </c>
      <c r="BA330" s="21">
        <f>IF(OR(tblsales[[#This Row],[Invoice Value USD]]="",tblsales[[#This Row],[Collected Amount USD]]=""),"",tblsales[[#This Row],[Invoice Value USD]]-tblsales[[#This Row],[Collected Amount USD]])</f>
        <v>8293</v>
      </c>
      <c r="BB330" s="21">
        <f>IF(OR(tblsales[[#This Row],[Contract Value USD]]="",tblsales[[#This Row],[Cost Estimate USD]]=""),"",tblsales[[#This Row],[Contract Value USD]]-tblsales[[#This Row],[Cost Estimate USD]])</f>
        <v>8449217.2199999988</v>
      </c>
      <c r="BC330" s="21">
        <f>IF(OR(tblsales[[#This Row],[Contract Value USD]]="",tblsales[[#This Row],[Cost Estimate USD]]=""),"",tblsales[[#This Row],[Contract Value USD]]-tblsales[[#This Row],[Cost Estimate USD]])</f>
        <v>8449217.2199999988</v>
      </c>
      <c r="BD330" s="23">
        <f>IF(tblsales[[#This Row],[Invoice Value USD]]="","",tblsales[[#This Row],[Collected Amount USD]]/tblsales[[#This Row],[Invoice Value USD]])</f>
        <v>0.99971328598150655</v>
      </c>
      <c r="BE330" s="11">
        <f>IF(tblsales[[#This Row],[SalesStage]]="Won",1,0)</f>
        <v>0</v>
      </c>
      <c r="BF330" s="21" t="str">
        <f>IF(tblsales[[#This Row],[Win Flag]]=1,"Won","Lost")</f>
        <v>Lost</v>
      </c>
      <c r="BG330" s="8"/>
    </row>
    <row r="331" spans="1:61" x14ac:dyDescent="0.3">
      <c r="A331" s="10" t="s">
        <v>1315</v>
      </c>
      <c r="B331" s="9">
        <v>45672</v>
      </c>
      <c r="C331" s="10" t="s">
        <v>237</v>
      </c>
      <c r="D331" s="10" t="s">
        <v>242</v>
      </c>
      <c r="E331" s="10" t="s">
        <v>113</v>
      </c>
      <c r="F331" s="10" t="s">
        <v>367</v>
      </c>
      <c r="G331" s="10" t="s">
        <v>66</v>
      </c>
      <c r="H331" s="10" t="s">
        <v>263</v>
      </c>
      <c r="I331" s="10" t="s">
        <v>203</v>
      </c>
      <c r="J331" s="10" t="s">
        <v>111</v>
      </c>
      <c r="K331" s="10" t="s">
        <v>223</v>
      </c>
      <c r="L331" s="10" t="s">
        <v>1316</v>
      </c>
      <c r="M331" s="9">
        <v>45656</v>
      </c>
      <c r="N331" s="9"/>
      <c r="O331" s="9">
        <v>45737</v>
      </c>
      <c r="P331" s="11">
        <v>14</v>
      </c>
      <c r="Q331" s="12">
        <v>2392415</v>
      </c>
      <c r="R331">
        <v>2392415</v>
      </c>
      <c r="S331" s="22">
        <v>0.2</v>
      </c>
      <c r="T331" s="22">
        <v>0.18</v>
      </c>
      <c r="U331" s="12">
        <v>2258439.7599999998</v>
      </c>
      <c r="V331" s="24">
        <v>2258439.7599999998</v>
      </c>
      <c r="W331" s="8">
        <v>1583239.06</v>
      </c>
      <c r="X331" s="24">
        <v>1583239.06</v>
      </c>
      <c r="Y331" s="22">
        <v>0.37</v>
      </c>
      <c r="Z331" s="22">
        <v>7.0000000000000007E-2</v>
      </c>
      <c r="AA331" s="8" t="s">
        <v>1317</v>
      </c>
      <c r="AB331" s="8">
        <v>1935730.58</v>
      </c>
      <c r="AC331" s="24">
        <v>1935730.58</v>
      </c>
      <c r="AD331" s="8">
        <v>1066653.47</v>
      </c>
      <c r="AE331" s="24">
        <v>1066653.47</v>
      </c>
      <c r="AF331" s="8">
        <v>45</v>
      </c>
      <c r="AG331" s="8">
        <v>146</v>
      </c>
      <c r="AH331" s="8" t="s">
        <v>347</v>
      </c>
      <c r="AI331" s="8" t="s">
        <v>455</v>
      </c>
      <c r="AJ331" s="22">
        <v>0.86</v>
      </c>
      <c r="AK331" s="8" t="s">
        <v>152</v>
      </c>
      <c r="AL331" s="22">
        <v>0.1</v>
      </c>
      <c r="AM331" s="22">
        <v>0.08</v>
      </c>
      <c r="AN331" s="8">
        <v>1</v>
      </c>
      <c r="AO331" s="8">
        <v>1111</v>
      </c>
      <c r="AP331" s="8">
        <v>343129.02</v>
      </c>
      <c r="AQ331" s="24">
        <v>343129.02</v>
      </c>
      <c r="AR331" s="8">
        <v>410504.11</v>
      </c>
      <c r="AS331" s="37">
        <v>410504.11</v>
      </c>
      <c r="AT331" s="8" t="s">
        <v>321</v>
      </c>
      <c r="AU331" s="8" t="s">
        <v>322</v>
      </c>
      <c r="AV331" s="8">
        <v>99.7</v>
      </c>
      <c r="AW331" s="8"/>
      <c r="AX331" s="8" t="s">
        <v>387</v>
      </c>
      <c r="AY331" s="8" t="s">
        <v>192</v>
      </c>
      <c r="AZ331" s="8" t="s">
        <v>377</v>
      </c>
      <c r="BA331" s="21">
        <f>IF(OR(tblsales[[#This Row],[Invoice Value USD]]="",tblsales[[#This Row],[Collected Amount USD]]=""),"",tblsales[[#This Row],[Invoice Value USD]]-tblsales[[#This Row],[Collected Amount USD]])</f>
        <v>869077.1100000001</v>
      </c>
      <c r="BB331" s="21">
        <f>IF(OR(tblsales[[#This Row],[Contract Value USD]]="",tblsales[[#This Row],[Cost Estimate USD]]=""),"",tblsales[[#This Row],[Contract Value USD]]-tblsales[[#This Row],[Cost Estimate USD]])</f>
        <v>675200.69999999972</v>
      </c>
      <c r="BC331" s="21">
        <f>IF(OR(tblsales[[#This Row],[Contract Value USD]]="",tblsales[[#This Row],[Cost Estimate USD]]=""),"",tblsales[[#This Row],[Contract Value USD]]-tblsales[[#This Row],[Cost Estimate USD]])</f>
        <v>675200.69999999972</v>
      </c>
      <c r="BD331" s="23">
        <f>IF(tblsales[[#This Row],[Invoice Value USD]]="","",tblsales[[#This Row],[Collected Amount USD]]/tblsales[[#This Row],[Invoice Value USD]])</f>
        <v>0.55103405454285892</v>
      </c>
      <c r="BE331" s="11">
        <f>IF(tblsales[[#This Row],[SalesStage]]="Won",1,0)</f>
        <v>0</v>
      </c>
      <c r="BF331" s="21" t="str">
        <f>IF(tblsales[[#This Row],[Win Flag]]=1,"Won","Lost")</f>
        <v>Lost</v>
      </c>
      <c r="BG331" s="8"/>
    </row>
    <row r="332" spans="1:61" x14ac:dyDescent="0.3">
      <c r="A332" s="10" t="s">
        <v>1318</v>
      </c>
      <c r="B332" s="9">
        <v>45942</v>
      </c>
      <c r="C332" s="10" t="s">
        <v>234</v>
      </c>
      <c r="D332" s="10" t="s">
        <v>209</v>
      </c>
      <c r="E332" s="10" t="s">
        <v>20</v>
      </c>
      <c r="F332" s="10" t="s">
        <v>196</v>
      </c>
      <c r="G332" s="10" t="s">
        <v>16</v>
      </c>
      <c r="H332" s="10" t="s">
        <v>236</v>
      </c>
      <c r="I332" s="10" t="s">
        <v>240</v>
      </c>
      <c r="J332" s="10" t="s">
        <v>136</v>
      </c>
      <c r="K332" s="10" t="s">
        <v>221</v>
      </c>
      <c r="L332" s="10" t="s">
        <v>1319</v>
      </c>
      <c r="M332" s="9">
        <v>45957</v>
      </c>
      <c r="N332" s="9"/>
      <c r="O332" s="9">
        <v>46237</v>
      </c>
      <c r="P332" s="11">
        <v>54</v>
      </c>
      <c r="Q332" s="12">
        <v>28907580</v>
      </c>
      <c r="R332">
        <v>28907580</v>
      </c>
      <c r="S332" s="22">
        <v>0.28000000000000003</v>
      </c>
      <c r="T332" s="22">
        <v>0.04</v>
      </c>
      <c r="U332" s="12">
        <v>21645995.899999999</v>
      </c>
      <c r="V332" s="24">
        <v>21645995.899999999</v>
      </c>
      <c r="W332" s="8">
        <v>17802092.800000001</v>
      </c>
      <c r="X332" s="24">
        <v>17802092.800000001</v>
      </c>
      <c r="Y332" s="22">
        <v>0.32</v>
      </c>
      <c r="Z332" s="22">
        <v>0.06</v>
      </c>
      <c r="AA332" s="8" t="s">
        <v>1320</v>
      </c>
      <c r="AB332" s="8">
        <v>16092008.359999999</v>
      </c>
      <c r="AC332" s="24">
        <v>16092008.359999999</v>
      </c>
      <c r="AD332" s="8">
        <v>10460315.119999999</v>
      </c>
      <c r="AE332" s="24">
        <v>10460315.119999999</v>
      </c>
      <c r="AF332" s="8">
        <v>90</v>
      </c>
      <c r="AG332" s="8">
        <v>37</v>
      </c>
      <c r="AH332" s="8" t="s">
        <v>342</v>
      </c>
      <c r="AI332" s="8" t="s">
        <v>406</v>
      </c>
      <c r="AJ332" s="22">
        <v>0.78</v>
      </c>
      <c r="AK332" s="8" t="s">
        <v>152</v>
      </c>
      <c r="AL332" s="22">
        <v>0.15</v>
      </c>
      <c r="AM332" s="22">
        <v>0.06</v>
      </c>
      <c r="AN332" s="8">
        <v>10</v>
      </c>
      <c r="AO332" s="8">
        <v>489</v>
      </c>
      <c r="AP332" s="8">
        <v>4807468.1100000003</v>
      </c>
      <c r="AQ332" s="24">
        <v>4807468.1100000003</v>
      </c>
      <c r="AR332" s="8">
        <v>9362546.6999999993</v>
      </c>
      <c r="AS332" s="37">
        <v>9362546.6999999993</v>
      </c>
      <c r="AT332" s="8" t="s">
        <v>321</v>
      </c>
      <c r="AU332" s="8" t="s">
        <v>356</v>
      </c>
      <c r="AV332" s="8">
        <v>58.2</v>
      </c>
      <c r="AW332" s="8">
        <v>60</v>
      </c>
      <c r="AX332" s="8" t="s">
        <v>387</v>
      </c>
      <c r="AY332" s="8" t="s">
        <v>186</v>
      </c>
      <c r="AZ332" s="8" t="s">
        <v>188</v>
      </c>
      <c r="BA332" s="21">
        <f>IF(OR(tblsales[[#This Row],[Invoice Value USD]]="",tblsales[[#This Row],[Collected Amount USD]]=""),"",tblsales[[#This Row],[Invoice Value USD]]-tblsales[[#This Row],[Collected Amount USD]])</f>
        <v>5631693.2400000002</v>
      </c>
      <c r="BB332" s="21">
        <f>IF(OR(tblsales[[#This Row],[Contract Value USD]]="",tblsales[[#This Row],[Cost Estimate USD]]=""),"",tblsales[[#This Row],[Contract Value USD]]-tblsales[[#This Row],[Cost Estimate USD]])</f>
        <v>3843903.0999999978</v>
      </c>
      <c r="BC332" s="21">
        <f>IF(OR(tblsales[[#This Row],[Contract Value USD]]="",tblsales[[#This Row],[Cost Estimate USD]]=""),"",tblsales[[#This Row],[Contract Value USD]]-tblsales[[#This Row],[Cost Estimate USD]])</f>
        <v>3843903.0999999978</v>
      </c>
      <c r="BD332" s="23">
        <f>IF(tblsales[[#This Row],[Invoice Value USD]]="","",tblsales[[#This Row],[Collected Amount USD]]/tblsales[[#This Row],[Invoice Value USD]])</f>
        <v>0.65003167323733602</v>
      </c>
      <c r="BE332" s="11">
        <f>IF(tblsales[[#This Row],[SalesStage]]="Won",1,0)</f>
        <v>0</v>
      </c>
      <c r="BF332" s="21" t="str">
        <f>IF(tblsales[[#This Row],[Win Flag]]=1,"Won","Lost")</f>
        <v>Lost</v>
      </c>
      <c r="BG332" s="8"/>
    </row>
    <row r="333" spans="1:61" x14ac:dyDescent="0.3">
      <c r="A333" s="10" t="s">
        <v>1321</v>
      </c>
      <c r="B333" s="9">
        <v>45869</v>
      </c>
      <c r="C333" s="10" t="s">
        <v>271</v>
      </c>
      <c r="D333" s="10" t="s">
        <v>562</v>
      </c>
      <c r="E333" s="10" t="s">
        <v>113</v>
      </c>
      <c r="F333" s="10" t="s">
        <v>332</v>
      </c>
      <c r="G333" s="10" t="s">
        <v>66</v>
      </c>
      <c r="H333" s="10" t="s">
        <v>216</v>
      </c>
      <c r="I333" s="10" t="s">
        <v>191</v>
      </c>
      <c r="J333" s="10" t="s">
        <v>127</v>
      </c>
      <c r="K333" s="10" t="s">
        <v>204</v>
      </c>
      <c r="L333" s="10" t="s">
        <v>1322</v>
      </c>
      <c r="M333" s="9">
        <v>45828</v>
      </c>
      <c r="N333" s="9"/>
      <c r="O333" s="9"/>
      <c r="P333" s="11">
        <v>7</v>
      </c>
      <c r="Q333" s="12">
        <v>7304872</v>
      </c>
      <c r="R333">
        <v>1989116.6455999999</v>
      </c>
      <c r="S333" s="22">
        <v>0.22</v>
      </c>
      <c r="T333" s="22">
        <v>0.16</v>
      </c>
      <c r="U333" s="12">
        <v>6609448.1900000004</v>
      </c>
      <c r="V333" s="24">
        <v>1799752.742137</v>
      </c>
      <c r="W333" s="8">
        <v>4163416.36</v>
      </c>
      <c r="X333" s="24">
        <v>1133698.274828</v>
      </c>
      <c r="Y333" s="22">
        <v>0.39</v>
      </c>
      <c r="Z333" s="22">
        <v>7.0000000000000007E-2</v>
      </c>
      <c r="AA333" s="8" t="s">
        <v>1323</v>
      </c>
      <c r="AB333" s="8">
        <v>5587349.3200000003</v>
      </c>
      <c r="AC333" s="24">
        <v>1521435.2198360001</v>
      </c>
      <c r="AD333" s="8">
        <v>2493641.7599999998</v>
      </c>
      <c r="AE333" s="24">
        <v>679018.65124799986</v>
      </c>
      <c r="AF333" s="8">
        <v>60</v>
      </c>
      <c r="AG333" s="8">
        <v>13</v>
      </c>
      <c r="AH333" s="8" t="s">
        <v>342</v>
      </c>
      <c r="AI333" s="8" t="s">
        <v>336</v>
      </c>
      <c r="AJ333" s="22">
        <v>0.41</v>
      </c>
      <c r="AK333" s="8" t="s">
        <v>153</v>
      </c>
      <c r="AL333" s="22">
        <v>0.15</v>
      </c>
      <c r="AM333" s="22">
        <v>0.06</v>
      </c>
      <c r="AN333" s="8">
        <v>14</v>
      </c>
      <c r="AO333" s="8">
        <v>419</v>
      </c>
      <c r="AP333" s="8">
        <v>1486443.37</v>
      </c>
      <c r="AQ333" s="24">
        <v>404758.52965099999</v>
      </c>
      <c r="AR333" s="8">
        <v>1862316.73</v>
      </c>
      <c r="AS333" s="37">
        <v>507108.84557899996</v>
      </c>
      <c r="AT333" s="8" t="s">
        <v>385</v>
      </c>
      <c r="AU333" s="8" t="s">
        <v>330</v>
      </c>
      <c r="AV333" s="8">
        <v>52.1</v>
      </c>
      <c r="AW333" s="8"/>
      <c r="AX333" s="8" t="s">
        <v>332</v>
      </c>
      <c r="AY333" s="8" t="s">
        <v>186</v>
      </c>
      <c r="AZ333" s="8" t="s">
        <v>357</v>
      </c>
      <c r="BA333" s="21">
        <f>IF(OR(tblsales[[#This Row],[Invoice Value USD]]="",tblsales[[#This Row],[Collected Amount USD]]=""),"",tblsales[[#This Row],[Invoice Value USD]]-tblsales[[#This Row],[Collected Amount USD]])</f>
        <v>842416.56858800026</v>
      </c>
      <c r="BB333" s="21">
        <f>IF(OR(tblsales[[#This Row],[Contract Value USD]]="",tblsales[[#This Row],[Cost Estimate USD]]=""),"",tblsales[[#This Row],[Contract Value USD]]-tblsales[[#This Row],[Cost Estimate USD]])</f>
        <v>666054.46730899997</v>
      </c>
      <c r="BC333" s="21">
        <f>IF(OR(tblsales[[#This Row],[Contract Value USD]]="",tblsales[[#This Row],[Cost Estimate USD]]=""),"",tblsales[[#This Row],[Contract Value USD]]-tblsales[[#This Row],[Cost Estimate USD]])</f>
        <v>666054.46730899997</v>
      </c>
      <c r="BD333" s="23">
        <f>IF(tblsales[[#This Row],[Invoice Value USD]]="","",tblsales[[#This Row],[Collected Amount USD]]/tblsales[[#This Row],[Invoice Value USD]])</f>
        <v>0.44630138858044394</v>
      </c>
      <c r="BE333" s="11">
        <f>IF(tblsales[[#This Row],[SalesStage]]="Won",1,0)</f>
        <v>0</v>
      </c>
      <c r="BF333" s="21" t="str">
        <f>IF(tblsales[[#This Row],[Win Flag]]=1,"Won","Lost")</f>
        <v>Lost</v>
      </c>
      <c r="BG333" s="8"/>
    </row>
    <row r="334" spans="1:61" x14ac:dyDescent="0.3">
      <c r="A334" s="10" t="s">
        <v>1324</v>
      </c>
      <c r="B334" s="9">
        <v>45711</v>
      </c>
      <c r="C334" s="10" t="s">
        <v>222</v>
      </c>
      <c r="D334" s="10" t="s">
        <v>232</v>
      </c>
      <c r="E334" s="10" t="s">
        <v>36</v>
      </c>
      <c r="F334" s="10" t="s">
        <v>339</v>
      </c>
      <c r="G334" s="10" t="s">
        <v>33</v>
      </c>
      <c r="H334" s="10" t="s">
        <v>216</v>
      </c>
      <c r="I334" s="10" t="s">
        <v>198</v>
      </c>
      <c r="J334" s="10" t="s">
        <v>115</v>
      </c>
      <c r="K334" s="10" t="s">
        <v>326</v>
      </c>
      <c r="L334" s="10" t="s">
        <v>1325</v>
      </c>
      <c r="M334" s="9">
        <v>45677</v>
      </c>
      <c r="N334" s="9">
        <v>45711</v>
      </c>
      <c r="O334" s="9">
        <v>45662</v>
      </c>
      <c r="P334" s="11">
        <v>59</v>
      </c>
      <c r="Q334" s="12">
        <v>39643701</v>
      </c>
      <c r="R334">
        <v>46026336.861000001</v>
      </c>
      <c r="S334" s="22">
        <v>0.34</v>
      </c>
      <c r="T334" s="22">
        <v>0.1</v>
      </c>
      <c r="U334" s="12">
        <v>28781326.93</v>
      </c>
      <c r="V334" s="24">
        <v>33415120.565730002</v>
      </c>
      <c r="W334" s="8">
        <v>17428719.75</v>
      </c>
      <c r="X334" s="24">
        <v>20234743.629750002</v>
      </c>
      <c r="Y334" s="22">
        <v>0.23</v>
      </c>
      <c r="Z334" s="22">
        <v>0.13</v>
      </c>
      <c r="AA334" s="8" t="s">
        <v>1326</v>
      </c>
      <c r="AB334" s="8">
        <v>18428055.859999999</v>
      </c>
      <c r="AC334" s="24">
        <v>21394972.853459999</v>
      </c>
      <c r="AD334" s="8">
        <v>8155561.6399999997</v>
      </c>
      <c r="AE334" s="24">
        <v>9468607.0640399996</v>
      </c>
      <c r="AF334" s="8">
        <v>60</v>
      </c>
      <c r="AG334" s="8">
        <v>29</v>
      </c>
      <c r="AH334" s="8" t="s">
        <v>329</v>
      </c>
      <c r="AI334" s="8" t="s">
        <v>381</v>
      </c>
      <c r="AJ334" s="22">
        <v>0.51</v>
      </c>
      <c r="AK334" s="8" t="s">
        <v>159</v>
      </c>
      <c r="AL334" s="22">
        <v>0.05</v>
      </c>
      <c r="AM334" s="22">
        <v>0.03</v>
      </c>
      <c r="AN334" s="8">
        <v>15</v>
      </c>
      <c r="AO334" s="8">
        <v>3075</v>
      </c>
      <c r="AP334" s="8">
        <v>3074718.56</v>
      </c>
      <c r="AQ334" s="24">
        <v>3569748.24816</v>
      </c>
      <c r="AR334" s="8">
        <v>6900160.4500000002</v>
      </c>
      <c r="AS334" s="37">
        <v>8011086.2824500008</v>
      </c>
      <c r="AT334" s="8" t="s">
        <v>332</v>
      </c>
      <c r="AU334" s="8" t="s">
        <v>348</v>
      </c>
      <c r="AV334" s="8">
        <v>50.6</v>
      </c>
      <c r="AW334" s="8">
        <v>36</v>
      </c>
      <c r="AX334" s="8" t="s">
        <v>387</v>
      </c>
      <c r="AY334" s="8" t="s">
        <v>224</v>
      </c>
      <c r="AZ334" s="8" t="s">
        <v>361</v>
      </c>
      <c r="BA334" s="21">
        <f>IF(OR(tblsales[[#This Row],[Invoice Value USD]]="",tblsales[[#This Row],[Collected Amount USD]]=""),"",tblsales[[#This Row],[Invoice Value USD]]-tblsales[[#This Row],[Collected Amount USD]])</f>
        <v>11926365.789419999</v>
      </c>
      <c r="BB334" s="21">
        <f>IF(OR(tblsales[[#This Row],[Contract Value USD]]="",tblsales[[#This Row],[Cost Estimate USD]]=""),"",tblsales[[#This Row],[Contract Value USD]]-tblsales[[#This Row],[Cost Estimate USD]])</f>
        <v>13180376.93598</v>
      </c>
      <c r="BC334" s="21">
        <f>IF(OR(tblsales[[#This Row],[Contract Value USD]]="",tblsales[[#This Row],[Cost Estimate USD]]=""),"",tblsales[[#This Row],[Contract Value USD]]-tblsales[[#This Row],[Cost Estimate USD]])</f>
        <v>13180376.93598</v>
      </c>
      <c r="BD334" s="23">
        <f>IF(tblsales[[#This Row],[Invoice Value USD]]="","",tblsales[[#This Row],[Collected Amount USD]]/tblsales[[#This Row],[Invoice Value USD]])</f>
        <v>0.44256223781600801</v>
      </c>
      <c r="BE334" s="11">
        <f>IF(tblsales[[#This Row],[SalesStage]]="Won",1,0)</f>
        <v>0</v>
      </c>
      <c r="BF334" s="21" t="str">
        <f>IF(tblsales[[#This Row],[Win Flag]]=1,"Won","Lost")</f>
        <v>Lost</v>
      </c>
      <c r="BG334" s="8"/>
    </row>
    <row r="335" spans="1:61" x14ac:dyDescent="0.3">
      <c r="A335" s="10" t="s">
        <v>5784</v>
      </c>
      <c r="B335" s="9">
        <v>45861</v>
      </c>
      <c r="C335" s="10" t="s">
        <v>268</v>
      </c>
      <c r="D335" s="10" t="s">
        <v>190</v>
      </c>
      <c r="E335" s="10" t="s">
        <v>20</v>
      </c>
      <c r="F335" s="10" t="s">
        <v>196</v>
      </c>
      <c r="G335" s="10" t="s">
        <v>28</v>
      </c>
      <c r="H335" s="10" t="s">
        <v>236</v>
      </c>
      <c r="I335" s="10" t="s">
        <v>213</v>
      </c>
      <c r="J335" s="10" t="s">
        <v>136</v>
      </c>
      <c r="K335" s="10" t="s">
        <v>204</v>
      </c>
      <c r="L335" s="10" t="s">
        <v>3828</v>
      </c>
      <c r="M335" s="9">
        <v>45832</v>
      </c>
      <c r="N335" s="9"/>
      <c r="O335" s="9">
        <v>45943</v>
      </c>
      <c r="P335" s="11"/>
      <c r="Q335" s="12">
        <v>28864791</v>
      </c>
      <c r="R335">
        <v>7859882.5892999992</v>
      </c>
      <c r="S335" s="22">
        <v>0.23</v>
      </c>
      <c r="T335" s="22">
        <v>0</v>
      </c>
      <c r="U335" s="12">
        <v>22225889.07</v>
      </c>
      <c r="V335" s="24">
        <v>6052109.5937609999</v>
      </c>
      <c r="W335" s="8">
        <v>15441245.09</v>
      </c>
      <c r="X335" s="24">
        <v>4204651.0380069995</v>
      </c>
      <c r="Y335" s="22">
        <v>0.25</v>
      </c>
      <c r="Z335" s="22">
        <v>0.08</v>
      </c>
      <c r="AA335" s="8" t="s">
        <v>3829</v>
      </c>
      <c r="AB335" s="8">
        <v>19013900.25</v>
      </c>
      <c r="AC335" s="24">
        <v>5177485.038075</v>
      </c>
      <c r="AD335" s="8">
        <v>14796353.43</v>
      </c>
      <c r="AE335" s="24">
        <v>4029047.0389889996</v>
      </c>
      <c r="AF335" s="8">
        <v>60</v>
      </c>
      <c r="AG335" s="8">
        <v>107</v>
      </c>
      <c r="AH335" s="8" t="s">
        <v>332</v>
      </c>
      <c r="AI335" s="8" t="s">
        <v>406</v>
      </c>
      <c r="AJ335" s="22">
        <v>0.27</v>
      </c>
      <c r="AK335" s="8" t="s">
        <v>153</v>
      </c>
      <c r="AL335" s="22">
        <v>0.05</v>
      </c>
      <c r="AM335" s="22">
        <v>0.05</v>
      </c>
      <c r="AN335" s="8">
        <v>15</v>
      </c>
      <c r="AO335" s="8">
        <v>2440</v>
      </c>
      <c r="AP335" s="8">
        <v>5321094.13</v>
      </c>
      <c r="AQ335" s="24">
        <v>1448933.931599</v>
      </c>
      <c r="AR335" s="8"/>
      <c r="AS335" s="37"/>
      <c r="AT335" s="8" t="s">
        <v>391</v>
      </c>
      <c r="AU335" s="8" t="s">
        <v>322</v>
      </c>
      <c r="AV335" s="8">
        <v>86</v>
      </c>
      <c r="AW335" s="8">
        <v>36</v>
      </c>
      <c r="AX335" s="8" t="s">
        <v>323</v>
      </c>
      <c r="AY335" s="8" t="s">
        <v>192</v>
      </c>
      <c r="AZ335" s="8" t="s">
        <v>188</v>
      </c>
      <c r="BA335" s="21">
        <f>IF(OR(tblsales[[#This Row],[Invoice Value USD]]="",tblsales[[#This Row],[Collected Amount USD]]=""),"",tblsales[[#This Row],[Invoice Value USD]]-tblsales[[#This Row],[Collected Amount USD]])</f>
        <v>1148437.9990860005</v>
      </c>
      <c r="BB335" s="21">
        <f>IF(OR(tblsales[[#This Row],[Contract Value USD]]="",tblsales[[#This Row],[Cost Estimate USD]]=""),"",tblsales[[#This Row],[Contract Value USD]]-tblsales[[#This Row],[Cost Estimate USD]])</f>
        <v>1847458.5557540003</v>
      </c>
      <c r="BC335" s="21">
        <f>IF(OR(tblsales[[#This Row],[Contract Value USD]]="",tblsales[[#This Row],[Cost Estimate USD]]=""),"",tblsales[[#This Row],[Contract Value USD]]-tblsales[[#This Row],[Cost Estimate USD]])</f>
        <v>1847458.5557540003</v>
      </c>
      <c r="BD335" s="23">
        <f>IF(tblsales[[#This Row],[Invoice Value USD]]="","",tblsales[[#This Row],[Collected Amount USD]]/tblsales[[#This Row],[Invoice Value USD]])</f>
        <v>0.77818612885591409</v>
      </c>
      <c r="BE335" s="11">
        <f>IF(tblsales[[#This Row],[SalesStage]]="Won",1,0)</f>
        <v>0</v>
      </c>
      <c r="BF335" s="21" t="str">
        <f>IF(tblsales[[#This Row],[Win Flag]]=1,"Won","Lost")</f>
        <v>Lost</v>
      </c>
      <c r="BG335" s="8"/>
    </row>
    <row r="336" spans="1:61" x14ac:dyDescent="0.3">
      <c r="A336" s="10" t="s">
        <v>1327</v>
      </c>
      <c r="B336" s="9">
        <v>45757</v>
      </c>
      <c r="C336" s="10" t="s">
        <v>251</v>
      </c>
      <c r="D336" s="10" t="s">
        <v>238</v>
      </c>
      <c r="E336" s="10" t="s">
        <v>52</v>
      </c>
      <c r="F336" s="10" t="s">
        <v>75</v>
      </c>
      <c r="G336" s="10" t="s">
        <v>23</v>
      </c>
      <c r="H336" s="10" t="s">
        <v>236</v>
      </c>
      <c r="I336" s="10" t="s">
        <v>332</v>
      </c>
      <c r="J336" s="10" t="s">
        <v>133</v>
      </c>
      <c r="K336" s="10" t="s">
        <v>204</v>
      </c>
      <c r="L336" s="10" t="s">
        <v>1328</v>
      </c>
      <c r="M336" s="9">
        <v>45749</v>
      </c>
      <c r="N336" s="9">
        <v>45782</v>
      </c>
      <c r="O336" s="9">
        <v>45800</v>
      </c>
      <c r="P336" s="11">
        <v>19</v>
      </c>
      <c r="Q336" s="12">
        <v>13941393</v>
      </c>
      <c r="R336">
        <v>16185957.273</v>
      </c>
      <c r="S336" s="22">
        <v>0.26</v>
      </c>
      <c r="T336" s="22">
        <v>0.01</v>
      </c>
      <c r="U336" s="12">
        <v>10419797.130000001</v>
      </c>
      <c r="V336" s="24">
        <v>12097384.467930002</v>
      </c>
      <c r="W336" s="8">
        <v>6434707.0899999999</v>
      </c>
      <c r="X336" s="24">
        <v>7470694.9314900003</v>
      </c>
      <c r="Y336" s="22">
        <v>0.16</v>
      </c>
      <c r="Z336" s="22">
        <v>7.0000000000000007E-2</v>
      </c>
      <c r="AA336" s="8" t="s">
        <v>1329</v>
      </c>
      <c r="AB336" s="8">
        <v>5288706.6900000004</v>
      </c>
      <c r="AC336" s="24">
        <v>6140188.4670900004</v>
      </c>
      <c r="AD336" s="8">
        <v>5188573.54</v>
      </c>
      <c r="AE336" s="24">
        <v>6023933.8799400004</v>
      </c>
      <c r="AF336" s="8">
        <v>30</v>
      </c>
      <c r="AG336" s="8">
        <v>70</v>
      </c>
      <c r="AH336" s="8" t="s">
        <v>332</v>
      </c>
      <c r="AI336" s="8" t="s">
        <v>320</v>
      </c>
      <c r="AJ336" s="22">
        <v>0.59</v>
      </c>
      <c r="AK336" s="8" t="s">
        <v>159</v>
      </c>
      <c r="AL336" s="22">
        <v>0.05</v>
      </c>
      <c r="AM336" s="22">
        <v>7.0000000000000007E-2</v>
      </c>
      <c r="AN336" s="8">
        <v>5</v>
      </c>
      <c r="AO336" s="8">
        <v>4088</v>
      </c>
      <c r="AP336" s="8">
        <v>1465190.22</v>
      </c>
      <c r="AQ336" s="24">
        <v>1701085.8454199999</v>
      </c>
      <c r="AR336" s="8">
        <v>2349365.75</v>
      </c>
      <c r="AS336" s="37">
        <v>2727613.6357499999</v>
      </c>
      <c r="AT336" s="8" t="s">
        <v>73</v>
      </c>
      <c r="AU336" s="8" t="s">
        <v>332</v>
      </c>
      <c r="AV336" s="8">
        <v>52.1</v>
      </c>
      <c r="AW336" s="8">
        <v>48</v>
      </c>
      <c r="AX336" s="8" t="s">
        <v>332</v>
      </c>
      <c r="AY336" s="8" t="s">
        <v>229</v>
      </c>
      <c r="AZ336" s="8" t="s">
        <v>361</v>
      </c>
      <c r="BA336" s="21">
        <f>IF(OR(tblsales[[#This Row],[Invoice Value USD]]="",tblsales[[#This Row],[Collected Amount USD]]=""),"",tblsales[[#This Row],[Invoice Value USD]]-tblsales[[#This Row],[Collected Amount USD]])</f>
        <v>116254.58715000004</v>
      </c>
      <c r="BB336" s="21">
        <f>IF(OR(tblsales[[#This Row],[Contract Value USD]]="",tblsales[[#This Row],[Cost Estimate USD]]=""),"",tblsales[[#This Row],[Contract Value USD]]-tblsales[[#This Row],[Cost Estimate USD]])</f>
        <v>4626689.5364400018</v>
      </c>
      <c r="BC336" s="21">
        <f>IF(OR(tblsales[[#This Row],[Contract Value USD]]="",tblsales[[#This Row],[Cost Estimate USD]]=""),"",tblsales[[#This Row],[Contract Value USD]]-tblsales[[#This Row],[Cost Estimate USD]])</f>
        <v>4626689.5364400018</v>
      </c>
      <c r="BD336" s="23">
        <f>IF(tblsales[[#This Row],[Invoice Value USD]]="","",tblsales[[#This Row],[Collected Amount USD]]/tblsales[[#This Row],[Invoice Value USD]])</f>
        <v>0.98106660931124545</v>
      </c>
      <c r="BE336" s="11">
        <f>IF(tblsales[[#This Row],[SalesStage]]="Won",1,0)</f>
        <v>1</v>
      </c>
      <c r="BF336" s="21" t="str">
        <f>IF(tblsales[[#This Row],[Win Flag]]=1,"Won","Lost")</f>
        <v>Won</v>
      </c>
      <c r="BG336" s="8"/>
    </row>
    <row r="337" spans="1:59" x14ac:dyDescent="0.3">
      <c r="A337" s="10" t="s">
        <v>1330</v>
      </c>
      <c r="B337" s="9">
        <v>46174</v>
      </c>
      <c r="C337" s="10" t="s">
        <v>266</v>
      </c>
      <c r="D337" s="10" t="s">
        <v>202</v>
      </c>
      <c r="E337" s="10" t="s">
        <v>52</v>
      </c>
      <c r="F337" s="10" t="s">
        <v>332</v>
      </c>
      <c r="G337" s="10" t="s">
        <v>38</v>
      </c>
      <c r="H337" s="10" t="s">
        <v>236</v>
      </c>
      <c r="I337" s="10" t="s">
        <v>191</v>
      </c>
      <c r="J337" s="10" t="s">
        <v>119</v>
      </c>
      <c r="K337" s="10" t="s">
        <v>333</v>
      </c>
      <c r="L337" s="10" t="s">
        <v>1331</v>
      </c>
      <c r="M337" s="9">
        <v>45881</v>
      </c>
      <c r="N337" s="9">
        <v>46066</v>
      </c>
      <c r="O337" s="9">
        <v>46125</v>
      </c>
      <c r="P337" s="11">
        <v>35</v>
      </c>
      <c r="Q337" s="12">
        <v>8877255</v>
      </c>
      <c r="R337">
        <v>2438581.9484999999</v>
      </c>
      <c r="S337" s="22">
        <v>0.08</v>
      </c>
      <c r="T337" s="22">
        <v>0.11</v>
      </c>
      <c r="U337" s="12">
        <v>9065452.8100000005</v>
      </c>
      <c r="V337" s="24">
        <v>2490279.8869070001</v>
      </c>
      <c r="W337" s="8">
        <v>5740862.0700000003</v>
      </c>
      <c r="X337" s="24">
        <v>1577014.8106290002</v>
      </c>
      <c r="Y337" s="22">
        <v>7.0000000000000007E-2</v>
      </c>
      <c r="Z337" s="22">
        <v>0.18</v>
      </c>
      <c r="AA337" s="8" t="s">
        <v>1332</v>
      </c>
      <c r="AB337" s="8">
        <v>1314709.1499999999</v>
      </c>
      <c r="AC337" s="24">
        <v>361150.60350499995</v>
      </c>
      <c r="AD337" s="8">
        <v>542616.6</v>
      </c>
      <c r="AE337" s="24">
        <v>149056.78002000001</v>
      </c>
      <c r="AF337" s="8">
        <v>90</v>
      </c>
      <c r="AG337" s="8">
        <v>38</v>
      </c>
      <c r="AH337" s="8" t="s">
        <v>376</v>
      </c>
      <c r="AI337" s="8" t="s">
        <v>406</v>
      </c>
      <c r="AJ337" s="22">
        <v>0.22</v>
      </c>
      <c r="AK337" s="8" t="s">
        <v>155</v>
      </c>
      <c r="AL337" s="22">
        <v>0.05</v>
      </c>
      <c r="AM337" s="22">
        <v>0.03</v>
      </c>
      <c r="AN337" s="8">
        <v>9</v>
      </c>
      <c r="AO337" s="8"/>
      <c r="AP337" s="8"/>
      <c r="AQ337" s="24"/>
      <c r="AR337" s="8">
        <v>3618913.32</v>
      </c>
      <c r="AS337" s="37">
        <v>994115.48900399997</v>
      </c>
      <c r="AT337" s="8" t="s">
        <v>385</v>
      </c>
      <c r="AU337" s="8" t="s">
        <v>330</v>
      </c>
      <c r="AV337" s="8">
        <v>86.9</v>
      </c>
      <c r="AW337" s="8">
        <v>24</v>
      </c>
      <c r="AX337" s="8" t="s">
        <v>323</v>
      </c>
      <c r="AY337" s="8" t="s">
        <v>224</v>
      </c>
      <c r="AZ337" s="8" t="s">
        <v>361</v>
      </c>
      <c r="BA337" s="21">
        <f>IF(OR(tblsales[[#This Row],[Invoice Value USD]]="",tblsales[[#This Row],[Collected Amount USD]]=""),"",tblsales[[#This Row],[Invoice Value USD]]-tblsales[[#This Row],[Collected Amount USD]])</f>
        <v>212093.82348499994</v>
      </c>
      <c r="BB337" s="21">
        <f>IF(OR(tblsales[[#This Row],[Contract Value USD]]="",tblsales[[#This Row],[Cost Estimate USD]]=""),"",tblsales[[#This Row],[Contract Value USD]]-tblsales[[#This Row],[Cost Estimate USD]])</f>
        <v>913265.07627799991</v>
      </c>
      <c r="BC337" s="21">
        <f>IF(OR(tblsales[[#This Row],[Contract Value USD]]="",tblsales[[#This Row],[Cost Estimate USD]]=""),"",tblsales[[#This Row],[Contract Value USD]]-tblsales[[#This Row],[Cost Estimate USD]])</f>
        <v>913265.07627799991</v>
      </c>
      <c r="BD337" s="23">
        <f>IF(tblsales[[#This Row],[Invoice Value USD]]="","",tblsales[[#This Row],[Collected Amount USD]]/tblsales[[#This Row],[Invoice Value USD]])</f>
        <v>0.41272748425003364</v>
      </c>
      <c r="BE337" s="11">
        <f>IF(tblsales[[#This Row],[SalesStage]]="Won",1,0)</f>
        <v>0</v>
      </c>
      <c r="BF337" s="21" t="str">
        <f>IF(tblsales[[#This Row],[Win Flag]]=1,"Won","Lost")</f>
        <v>Lost</v>
      </c>
      <c r="BG337" s="8"/>
    </row>
    <row r="338" spans="1:59" x14ac:dyDescent="0.3">
      <c r="A338" s="10" t="s">
        <v>1333</v>
      </c>
      <c r="B338" s="9">
        <v>45796</v>
      </c>
      <c r="C338" s="10" t="s">
        <v>260</v>
      </c>
      <c r="D338" s="10" t="s">
        <v>209</v>
      </c>
      <c r="E338" s="10" t="s">
        <v>52</v>
      </c>
      <c r="F338" s="10" t="s">
        <v>75</v>
      </c>
      <c r="G338" s="10" t="s">
        <v>73</v>
      </c>
      <c r="H338" s="10" t="s">
        <v>263</v>
      </c>
      <c r="I338" s="10" t="s">
        <v>198</v>
      </c>
      <c r="J338" s="10" t="s">
        <v>119</v>
      </c>
      <c r="K338" s="10" t="s">
        <v>221</v>
      </c>
      <c r="L338" s="10" t="s">
        <v>1334</v>
      </c>
      <c r="M338" s="9">
        <v>45811</v>
      </c>
      <c r="N338" s="9">
        <v>45852</v>
      </c>
      <c r="O338" s="9">
        <v>45887</v>
      </c>
      <c r="P338" s="11">
        <v>8</v>
      </c>
      <c r="Q338" s="12">
        <v>16592802</v>
      </c>
      <c r="R338">
        <v>4518219.9846000001</v>
      </c>
      <c r="S338" s="22">
        <v>0.31</v>
      </c>
      <c r="T338" s="22">
        <v>0.17</v>
      </c>
      <c r="U338" s="12">
        <v>13395369.050000001</v>
      </c>
      <c r="V338" s="24">
        <v>3647558.9923149999</v>
      </c>
      <c r="W338" s="8">
        <v>10589038.18</v>
      </c>
      <c r="X338" s="24">
        <v>2883395.0964139998</v>
      </c>
      <c r="Y338" s="22">
        <v>0.39</v>
      </c>
      <c r="Z338" s="22">
        <v>0.19</v>
      </c>
      <c r="AA338" s="8" t="s">
        <v>1335</v>
      </c>
      <c r="AB338" s="8">
        <v>6930205.5499999998</v>
      </c>
      <c r="AC338" s="24">
        <v>1887094.9712649998</v>
      </c>
      <c r="AD338" s="8">
        <v>2089656.56</v>
      </c>
      <c r="AE338" s="24">
        <v>569013.48128800001</v>
      </c>
      <c r="AF338" s="8">
        <v>60</v>
      </c>
      <c r="AG338" s="8">
        <v>142</v>
      </c>
      <c r="AH338" s="8" t="s">
        <v>329</v>
      </c>
      <c r="AI338" s="8" t="s">
        <v>336</v>
      </c>
      <c r="AJ338" s="22">
        <v>0.7</v>
      </c>
      <c r="AK338" s="8" t="s">
        <v>153</v>
      </c>
      <c r="AL338" s="22">
        <v>0.1</v>
      </c>
      <c r="AM338" s="22">
        <v>0.09</v>
      </c>
      <c r="AN338" s="8">
        <v>5</v>
      </c>
      <c r="AO338" s="8">
        <v>4533</v>
      </c>
      <c r="AP338" s="8">
        <v>2661705.92</v>
      </c>
      <c r="AQ338" s="24">
        <v>724782.52201599989</v>
      </c>
      <c r="AR338" s="8"/>
      <c r="AS338" s="37"/>
      <c r="AT338" s="8" t="s">
        <v>321</v>
      </c>
      <c r="AU338" s="8" t="s">
        <v>332</v>
      </c>
      <c r="AV338" s="8">
        <v>70.099999999999994</v>
      </c>
      <c r="AW338" s="8"/>
      <c r="AX338" s="8" t="s">
        <v>392</v>
      </c>
      <c r="AY338" s="8" t="s">
        <v>192</v>
      </c>
      <c r="AZ338" s="8" t="s">
        <v>357</v>
      </c>
      <c r="BA338" s="21">
        <f>IF(OR(tblsales[[#This Row],[Invoice Value USD]]="",tblsales[[#This Row],[Collected Amount USD]]=""),"",tblsales[[#This Row],[Invoice Value USD]]-tblsales[[#This Row],[Collected Amount USD]])</f>
        <v>1318081.4899769998</v>
      </c>
      <c r="BB338" s="21">
        <f>IF(OR(tblsales[[#This Row],[Contract Value USD]]="",tblsales[[#This Row],[Cost Estimate USD]]=""),"",tblsales[[#This Row],[Contract Value USD]]-tblsales[[#This Row],[Cost Estimate USD]])</f>
        <v>764163.89590100013</v>
      </c>
      <c r="BC338" s="21">
        <f>IF(OR(tblsales[[#This Row],[Contract Value USD]]="",tblsales[[#This Row],[Cost Estimate USD]]=""),"",tblsales[[#This Row],[Contract Value USD]]-tblsales[[#This Row],[Cost Estimate USD]])</f>
        <v>764163.89590100013</v>
      </c>
      <c r="BD338" s="23">
        <f>IF(tblsales[[#This Row],[Invoice Value USD]]="","",tblsales[[#This Row],[Collected Amount USD]]/tblsales[[#This Row],[Invoice Value USD]])</f>
        <v>0.30152879953178302</v>
      </c>
      <c r="BE338" s="11">
        <f>IF(tblsales[[#This Row],[SalesStage]]="Won",1,0)</f>
        <v>0</v>
      </c>
      <c r="BF338" s="21" t="str">
        <f>IF(tblsales[[#This Row],[Win Flag]]=1,"Won","Lost")</f>
        <v>Lost</v>
      </c>
      <c r="BG338" s="8"/>
    </row>
    <row r="339" spans="1:59" x14ac:dyDescent="0.3">
      <c r="A339" s="10" t="s">
        <v>1336</v>
      </c>
      <c r="B339" s="9">
        <v>46002</v>
      </c>
      <c r="C339" s="10" t="s">
        <v>257</v>
      </c>
      <c r="D339" s="10" t="s">
        <v>562</v>
      </c>
      <c r="E339" s="10" t="s">
        <v>41</v>
      </c>
      <c r="F339" s="10" t="s">
        <v>350</v>
      </c>
      <c r="G339" s="10" t="s">
        <v>70</v>
      </c>
      <c r="H339" s="10" t="s">
        <v>332</v>
      </c>
      <c r="I339" s="10" t="s">
        <v>198</v>
      </c>
      <c r="J339" s="10" t="s">
        <v>130</v>
      </c>
      <c r="K339" s="10" t="s">
        <v>210</v>
      </c>
      <c r="L339" s="10" t="s">
        <v>1337</v>
      </c>
      <c r="M339" s="9">
        <v>45958</v>
      </c>
      <c r="N339" s="9">
        <v>46041</v>
      </c>
      <c r="O339" s="9">
        <v>46206</v>
      </c>
      <c r="P339" s="11">
        <v>35</v>
      </c>
      <c r="Q339" s="12">
        <v>36476653</v>
      </c>
      <c r="R339">
        <v>36476653</v>
      </c>
      <c r="S339" s="22">
        <v>0.3</v>
      </c>
      <c r="T339" s="22">
        <v>0.13</v>
      </c>
      <c r="U339" s="12">
        <v>28853032.52</v>
      </c>
      <c r="V339" s="24">
        <v>28853032.52</v>
      </c>
      <c r="W339" s="8">
        <v>20361671.239999998</v>
      </c>
      <c r="X339" s="24">
        <v>20361671.239999998</v>
      </c>
      <c r="Y339" s="22">
        <v>0.25</v>
      </c>
      <c r="Z339" s="22">
        <v>0.13</v>
      </c>
      <c r="AA339" s="8" t="s">
        <v>1338</v>
      </c>
      <c r="AB339" s="8">
        <v>6931505.0300000003</v>
      </c>
      <c r="AC339" s="24">
        <v>6931505.0300000003</v>
      </c>
      <c r="AD339" s="8">
        <v>7057444.9400000004</v>
      </c>
      <c r="AE339" s="24">
        <v>7057444.9400000004</v>
      </c>
      <c r="AF339" s="8">
        <v>90</v>
      </c>
      <c r="AG339" s="8">
        <v>154</v>
      </c>
      <c r="AH339" s="8" t="s">
        <v>376</v>
      </c>
      <c r="AI339" s="8" t="s">
        <v>320</v>
      </c>
      <c r="AJ339" s="22">
        <v>0.73</v>
      </c>
      <c r="AK339" s="8" t="s">
        <v>152</v>
      </c>
      <c r="AL339" s="22">
        <v>0.05</v>
      </c>
      <c r="AM339" s="22">
        <v>0.06</v>
      </c>
      <c r="AN339" s="8">
        <v>10</v>
      </c>
      <c r="AO339" s="8">
        <v>146</v>
      </c>
      <c r="AP339" s="8">
        <v>6031408.7199999997</v>
      </c>
      <c r="AQ339" s="24">
        <v>6031408.7199999997</v>
      </c>
      <c r="AR339" s="8">
        <v>7395485.0700000003</v>
      </c>
      <c r="AS339" s="37">
        <v>7395485.0700000003</v>
      </c>
      <c r="AT339" s="8" t="s">
        <v>343</v>
      </c>
      <c r="AU339" s="8" t="s">
        <v>322</v>
      </c>
      <c r="AV339" s="8">
        <v>64.900000000000006</v>
      </c>
      <c r="AW339" s="8">
        <v>48</v>
      </c>
      <c r="AX339" s="8" t="s">
        <v>332</v>
      </c>
      <c r="AY339" s="8" t="s">
        <v>192</v>
      </c>
      <c r="AZ339" s="8" t="s">
        <v>332</v>
      </c>
      <c r="BA339" s="21">
        <f>IF(OR(tblsales[[#This Row],[Invoice Value USD]]="",tblsales[[#This Row],[Collected Amount USD]]=""),"",tblsales[[#This Row],[Invoice Value USD]]-tblsales[[#This Row],[Collected Amount USD]])</f>
        <v>-125939.91000000015</v>
      </c>
      <c r="BB339" s="21">
        <f>IF(OR(tblsales[[#This Row],[Contract Value USD]]="",tblsales[[#This Row],[Cost Estimate USD]]=""),"",tblsales[[#This Row],[Contract Value USD]]-tblsales[[#This Row],[Cost Estimate USD]])</f>
        <v>8491361.2800000012</v>
      </c>
      <c r="BC339" s="21">
        <f>IF(OR(tblsales[[#This Row],[Contract Value USD]]="",tblsales[[#This Row],[Cost Estimate USD]]=""),"",tblsales[[#This Row],[Contract Value USD]]-tblsales[[#This Row],[Cost Estimate USD]])</f>
        <v>8491361.2800000012</v>
      </c>
      <c r="BD339" s="23">
        <f>IF(tblsales[[#This Row],[Invoice Value USD]]="","",tblsales[[#This Row],[Collected Amount USD]]/tblsales[[#This Row],[Invoice Value USD]])</f>
        <v>1.018169201270853</v>
      </c>
      <c r="BE339" s="11">
        <f>IF(tblsales[[#This Row],[SalesStage]]="Won",1,0)</f>
        <v>1</v>
      </c>
      <c r="BF339" s="21" t="str">
        <f>IF(tblsales[[#This Row],[Win Flag]]=1,"Won","Lost")</f>
        <v>Won</v>
      </c>
      <c r="BG339" s="8"/>
    </row>
    <row r="340" spans="1:59" x14ac:dyDescent="0.3">
      <c r="A340" s="10" t="s">
        <v>1339</v>
      </c>
      <c r="B340" s="9">
        <v>45728</v>
      </c>
      <c r="C340" s="10" t="s">
        <v>239</v>
      </c>
      <c r="D340" s="10" t="s">
        <v>242</v>
      </c>
      <c r="E340" s="10" t="s">
        <v>52</v>
      </c>
      <c r="F340" s="10" t="s">
        <v>75</v>
      </c>
      <c r="G340" s="10" t="s">
        <v>73</v>
      </c>
      <c r="H340" s="10" t="s">
        <v>182</v>
      </c>
      <c r="I340" s="10" t="s">
        <v>183</v>
      </c>
      <c r="J340" s="10" t="s">
        <v>119</v>
      </c>
      <c r="K340" s="10" t="s">
        <v>199</v>
      </c>
      <c r="L340" s="10" t="s">
        <v>1340</v>
      </c>
      <c r="M340" s="9">
        <v>45710</v>
      </c>
      <c r="N340" s="9">
        <v>45812</v>
      </c>
      <c r="O340" s="9"/>
      <c r="P340" s="11"/>
      <c r="Q340" s="12">
        <v>21921312</v>
      </c>
      <c r="R340">
        <v>6021784.4063999997</v>
      </c>
      <c r="S340" s="22">
        <v>0.16</v>
      </c>
      <c r="T340" s="22">
        <v>0.03</v>
      </c>
      <c r="U340" s="12">
        <v>18966319.140000001</v>
      </c>
      <c r="V340" s="24">
        <v>5210047.8677580003</v>
      </c>
      <c r="W340" s="8">
        <v>13981691.619999999</v>
      </c>
      <c r="X340" s="24">
        <v>3840770.6880139997</v>
      </c>
      <c r="Y340" s="22">
        <v>0.22</v>
      </c>
      <c r="Z340" s="22">
        <v>0.13</v>
      </c>
      <c r="AA340" s="8" t="s">
        <v>1341</v>
      </c>
      <c r="AB340" s="8">
        <v>9125555.9100000001</v>
      </c>
      <c r="AC340" s="24">
        <v>2506790.2084770002</v>
      </c>
      <c r="AD340" s="8">
        <v>6866100.4000000004</v>
      </c>
      <c r="AE340" s="24">
        <v>1886117.77988</v>
      </c>
      <c r="AF340" s="8">
        <v>45</v>
      </c>
      <c r="AG340" s="8">
        <v>88</v>
      </c>
      <c r="AH340" s="8" t="s">
        <v>342</v>
      </c>
      <c r="AI340" s="8" t="s">
        <v>381</v>
      </c>
      <c r="AJ340" s="22">
        <v>0.36</v>
      </c>
      <c r="AK340" s="8" t="s">
        <v>155</v>
      </c>
      <c r="AL340" s="22">
        <v>0.15</v>
      </c>
      <c r="AM340" s="22">
        <v>0.03</v>
      </c>
      <c r="AN340" s="8">
        <v>13</v>
      </c>
      <c r="AO340" s="8">
        <v>1595</v>
      </c>
      <c r="AP340" s="8">
        <v>3877777.97</v>
      </c>
      <c r="AQ340" s="24">
        <v>1065225.6083589999</v>
      </c>
      <c r="AR340" s="8">
        <v>2750454.35</v>
      </c>
      <c r="AS340" s="37">
        <v>755549.80994499999</v>
      </c>
      <c r="AT340" s="8" t="s">
        <v>321</v>
      </c>
      <c r="AU340" s="8" t="s">
        <v>356</v>
      </c>
      <c r="AV340" s="8">
        <v>78.5</v>
      </c>
      <c r="AW340" s="8">
        <v>36</v>
      </c>
      <c r="AX340" s="8" t="s">
        <v>337</v>
      </c>
      <c r="AY340" s="8" t="s">
        <v>206</v>
      </c>
      <c r="AZ340" s="8" t="s">
        <v>357</v>
      </c>
      <c r="BA340" s="21">
        <f>IF(OR(tblsales[[#This Row],[Invoice Value USD]]="",tblsales[[#This Row],[Collected Amount USD]]=""),"",tblsales[[#This Row],[Invoice Value USD]]-tblsales[[#This Row],[Collected Amount USD]])</f>
        <v>620672.42859700019</v>
      </c>
      <c r="BB340" s="21">
        <f>IF(OR(tblsales[[#This Row],[Contract Value USD]]="",tblsales[[#This Row],[Cost Estimate USD]]=""),"",tblsales[[#This Row],[Contract Value USD]]-tblsales[[#This Row],[Cost Estimate USD]])</f>
        <v>1369277.1797440005</v>
      </c>
      <c r="BC340" s="21">
        <f>IF(OR(tblsales[[#This Row],[Contract Value USD]]="",tblsales[[#This Row],[Cost Estimate USD]]=""),"",tblsales[[#This Row],[Contract Value USD]]-tblsales[[#This Row],[Cost Estimate USD]])</f>
        <v>1369277.1797440005</v>
      </c>
      <c r="BD340" s="23">
        <f>IF(tblsales[[#This Row],[Invoice Value USD]]="","",tblsales[[#This Row],[Collected Amount USD]]/tblsales[[#This Row],[Invoice Value USD]])</f>
        <v>0.75240352124476761</v>
      </c>
      <c r="BE340" s="11">
        <f>IF(tblsales[[#This Row],[SalesStage]]="Won",1,0)</f>
        <v>0</v>
      </c>
      <c r="BF340" s="21" t="str">
        <f>IF(tblsales[[#This Row],[Win Flag]]=1,"Won","Lost")</f>
        <v>Lost</v>
      </c>
      <c r="BG340" s="8"/>
    </row>
    <row r="341" spans="1:59" x14ac:dyDescent="0.3">
      <c r="A341" s="10" t="s">
        <v>1342</v>
      </c>
      <c r="B341" s="9">
        <v>45932</v>
      </c>
      <c r="C341" s="10" t="s">
        <v>254</v>
      </c>
      <c r="D341" s="10" t="s">
        <v>562</v>
      </c>
      <c r="E341" s="10" t="s">
        <v>113</v>
      </c>
      <c r="F341" s="10" t="s">
        <v>367</v>
      </c>
      <c r="G341" s="10" t="s">
        <v>28</v>
      </c>
      <c r="H341" s="10" t="s">
        <v>263</v>
      </c>
      <c r="I341" s="10" t="s">
        <v>332</v>
      </c>
      <c r="J341" s="10" t="s">
        <v>111</v>
      </c>
      <c r="K341" s="10" t="s">
        <v>199</v>
      </c>
      <c r="L341" s="10" t="s">
        <v>1343</v>
      </c>
      <c r="M341" s="9">
        <v>45854</v>
      </c>
      <c r="N341" s="9">
        <v>45938</v>
      </c>
      <c r="O341" s="9"/>
      <c r="P341" s="11">
        <v>39</v>
      </c>
      <c r="Q341" s="12">
        <v>35983652</v>
      </c>
      <c r="R341">
        <v>9798348.4396000002</v>
      </c>
      <c r="S341" s="22">
        <v>0.05</v>
      </c>
      <c r="T341" s="22">
        <v>0.05</v>
      </c>
      <c r="U341" s="12">
        <v>35893692.869999997</v>
      </c>
      <c r="V341" s="24">
        <v>9773852.5685009994</v>
      </c>
      <c r="W341" s="8">
        <v>30957599.73</v>
      </c>
      <c r="X341" s="24">
        <v>8429754.4064789992</v>
      </c>
      <c r="Y341" s="22">
        <v>0.17</v>
      </c>
      <c r="Z341" s="22">
        <v>0.1</v>
      </c>
      <c r="AA341" s="8" t="s">
        <v>1344</v>
      </c>
      <c r="AB341" s="8">
        <v>25482543.25</v>
      </c>
      <c r="AC341" s="24">
        <v>6938896.5269749993</v>
      </c>
      <c r="AD341" s="8">
        <v>18524875.09</v>
      </c>
      <c r="AE341" s="24">
        <v>5044323.4870069996</v>
      </c>
      <c r="AF341" s="8">
        <v>60</v>
      </c>
      <c r="AG341" s="8">
        <v>75</v>
      </c>
      <c r="AH341" s="8" t="s">
        <v>353</v>
      </c>
      <c r="AI341" s="8" t="s">
        <v>381</v>
      </c>
      <c r="AJ341" s="22">
        <v>0.35</v>
      </c>
      <c r="AK341" s="8" t="s">
        <v>153</v>
      </c>
      <c r="AL341" s="22">
        <v>0.15</v>
      </c>
      <c r="AM341" s="22">
        <v>0.02</v>
      </c>
      <c r="AN341" s="8">
        <v>12</v>
      </c>
      <c r="AO341" s="8">
        <v>878</v>
      </c>
      <c r="AP341" s="8">
        <v>4152133.19</v>
      </c>
      <c r="AQ341" s="24">
        <v>1130625.8676369998</v>
      </c>
      <c r="AR341" s="8">
        <v>3798541.77</v>
      </c>
      <c r="AS341" s="37">
        <v>1034342.923971</v>
      </c>
      <c r="AT341" s="8" t="s">
        <v>355</v>
      </c>
      <c r="AU341" s="8" t="s">
        <v>332</v>
      </c>
      <c r="AV341" s="8">
        <v>61.8</v>
      </c>
      <c r="AW341" s="8">
        <v>48</v>
      </c>
      <c r="AX341" s="8" t="s">
        <v>323</v>
      </c>
      <c r="AY341" s="8" t="s">
        <v>186</v>
      </c>
      <c r="AZ341" s="8" t="s">
        <v>357</v>
      </c>
      <c r="BA341" s="21">
        <f>IF(OR(tblsales[[#This Row],[Invoice Value USD]]="",tblsales[[#This Row],[Collected Amount USD]]=""),"",tblsales[[#This Row],[Invoice Value USD]]-tblsales[[#This Row],[Collected Amount USD]])</f>
        <v>1894573.0399679998</v>
      </c>
      <c r="BB341" s="21">
        <f>IF(OR(tblsales[[#This Row],[Contract Value USD]]="",tblsales[[#This Row],[Cost Estimate USD]]=""),"",tblsales[[#This Row],[Contract Value USD]]-tblsales[[#This Row],[Cost Estimate USD]])</f>
        <v>1344098.1620220002</v>
      </c>
      <c r="BC341" s="21">
        <f>IF(OR(tblsales[[#This Row],[Contract Value USD]]="",tblsales[[#This Row],[Cost Estimate USD]]=""),"",tblsales[[#This Row],[Contract Value USD]]-tblsales[[#This Row],[Cost Estimate USD]])</f>
        <v>1344098.1620220002</v>
      </c>
      <c r="BD341" s="23">
        <f>IF(tblsales[[#This Row],[Invoice Value USD]]="","",tblsales[[#This Row],[Collected Amount USD]]/tblsales[[#This Row],[Invoice Value USD]])</f>
        <v>0.72696335323594519</v>
      </c>
      <c r="BE341" s="11">
        <f>IF(tblsales[[#This Row],[SalesStage]]="Won",1,0)</f>
        <v>0</v>
      </c>
      <c r="BF341" s="21" t="str">
        <f>IF(tblsales[[#This Row],[Win Flag]]=1,"Won","Lost")</f>
        <v>Lost</v>
      </c>
      <c r="BG341" s="8"/>
    </row>
    <row r="342" spans="1:59" x14ac:dyDescent="0.3">
      <c r="A342" s="10" t="s">
        <v>1345</v>
      </c>
      <c r="B342" s="9">
        <v>46113</v>
      </c>
      <c r="C342" s="10" t="s">
        <v>257</v>
      </c>
      <c r="D342" s="10" t="s">
        <v>232</v>
      </c>
      <c r="E342" s="10" t="s">
        <v>20</v>
      </c>
      <c r="F342" s="10" t="s">
        <v>196</v>
      </c>
      <c r="G342" s="10" t="s">
        <v>57</v>
      </c>
      <c r="H342" s="10" t="s">
        <v>212</v>
      </c>
      <c r="I342" s="10" t="s">
        <v>240</v>
      </c>
      <c r="J342" s="10" t="s">
        <v>136</v>
      </c>
      <c r="K342" s="10" t="s">
        <v>210</v>
      </c>
      <c r="L342" s="10" t="s">
        <v>1346</v>
      </c>
      <c r="M342" s="9">
        <v>45949</v>
      </c>
      <c r="N342" s="9"/>
      <c r="O342" s="9">
        <v>46205</v>
      </c>
      <c r="P342" s="11">
        <v>51</v>
      </c>
      <c r="Q342" s="12">
        <v>26397779</v>
      </c>
      <c r="R342">
        <v>7188115.2216999996</v>
      </c>
      <c r="S342" s="22">
        <v>0.27</v>
      </c>
      <c r="T342" s="22">
        <v>0.05</v>
      </c>
      <c r="U342" s="12">
        <v>20233897.600000001</v>
      </c>
      <c r="V342" s="24">
        <v>5509690.3164800005</v>
      </c>
      <c r="W342" s="8">
        <v>14400634.289999999</v>
      </c>
      <c r="X342" s="24">
        <v>3921292.7171669994</v>
      </c>
      <c r="Y342" s="22">
        <v>7.0000000000000007E-2</v>
      </c>
      <c r="Z342" s="22">
        <v>0.09</v>
      </c>
      <c r="AA342" s="8" t="s">
        <v>1347</v>
      </c>
      <c r="AB342" s="8">
        <v>11196382.57</v>
      </c>
      <c r="AC342" s="24">
        <v>3048774.9738110001</v>
      </c>
      <c r="AD342" s="8">
        <v>11146569.939999999</v>
      </c>
      <c r="AE342" s="24">
        <v>3035210.9946619999</v>
      </c>
      <c r="AF342" s="8">
        <v>120</v>
      </c>
      <c r="AG342" s="8">
        <v>92</v>
      </c>
      <c r="AH342" s="8" t="s">
        <v>329</v>
      </c>
      <c r="AI342" s="8" t="s">
        <v>455</v>
      </c>
      <c r="AJ342" s="22">
        <v>0.66</v>
      </c>
      <c r="AK342" s="8" t="s">
        <v>153</v>
      </c>
      <c r="AL342" s="22">
        <v>0.05</v>
      </c>
      <c r="AM342" s="22">
        <v>0.09</v>
      </c>
      <c r="AN342" s="8">
        <v>11</v>
      </c>
      <c r="AO342" s="8">
        <v>3232</v>
      </c>
      <c r="AP342" s="8">
        <v>3500686.56</v>
      </c>
      <c r="AQ342" s="24">
        <v>953236.95028799993</v>
      </c>
      <c r="AR342" s="8">
        <v>6544663.0199999996</v>
      </c>
      <c r="AS342" s="37">
        <v>1782111.7403459998</v>
      </c>
      <c r="AT342" s="8" t="s">
        <v>73</v>
      </c>
      <c r="AU342" s="8" t="s">
        <v>386</v>
      </c>
      <c r="AV342" s="8">
        <v>98.4</v>
      </c>
      <c r="AW342" s="8">
        <v>36</v>
      </c>
      <c r="AX342" s="8" t="s">
        <v>387</v>
      </c>
      <c r="AY342" s="8" t="s">
        <v>186</v>
      </c>
      <c r="AZ342" s="8" t="s">
        <v>357</v>
      </c>
      <c r="BA342" s="21">
        <f>IF(OR(tblsales[[#This Row],[Invoice Value USD]]="",tblsales[[#This Row],[Collected Amount USD]]=""),"",tblsales[[#This Row],[Invoice Value USD]]-tblsales[[#This Row],[Collected Amount USD]])</f>
        <v>13563.979149000254</v>
      </c>
      <c r="BB342" s="21">
        <f>IF(OR(tblsales[[#This Row],[Contract Value USD]]="",tblsales[[#This Row],[Cost Estimate USD]]=""),"",tblsales[[#This Row],[Contract Value USD]]-tblsales[[#This Row],[Cost Estimate USD]])</f>
        <v>1588397.5993130011</v>
      </c>
      <c r="BC342" s="21">
        <f>IF(OR(tblsales[[#This Row],[Contract Value USD]]="",tblsales[[#This Row],[Cost Estimate USD]]=""),"",tblsales[[#This Row],[Contract Value USD]]-tblsales[[#This Row],[Cost Estimate USD]])</f>
        <v>1588397.5993130011</v>
      </c>
      <c r="BD342" s="23">
        <f>IF(tblsales[[#This Row],[Invoice Value USD]]="","",tblsales[[#This Row],[Collected Amount USD]]/tblsales[[#This Row],[Invoice Value USD]])</f>
        <v>0.99555100679272335</v>
      </c>
      <c r="BE342" s="11">
        <f>IF(tblsales[[#This Row],[SalesStage]]="Won",1,0)</f>
        <v>0</v>
      </c>
      <c r="BF342" s="21" t="str">
        <f>IF(tblsales[[#This Row],[Win Flag]]=1,"Won","Lost")</f>
        <v>Lost</v>
      </c>
      <c r="BG342" s="8"/>
    </row>
    <row r="343" spans="1:59" x14ac:dyDescent="0.3">
      <c r="A343" s="10" t="s">
        <v>1348</v>
      </c>
      <c r="B343" s="9">
        <v>45834</v>
      </c>
      <c r="C343" s="10" t="s">
        <v>264</v>
      </c>
      <c r="D343" s="10" t="s">
        <v>332</v>
      </c>
      <c r="E343" s="10" t="s">
        <v>20</v>
      </c>
      <c r="F343" s="10" t="s">
        <v>196</v>
      </c>
      <c r="G343" s="10" t="s">
        <v>80</v>
      </c>
      <c r="H343" s="10" t="s">
        <v>216</v>
      </c>
      <c r="I343" s="10" t="s">
        <v>203</v>
      </c>
      <c r="J343" s="10" t="s">
        <v>136</v>
      </c>
      <c r="K343" s="10" t="s">
        <v>223</v>
      </c>
      <c r="L343" s="10" t="s">
        <v>1349</v>
      </c>
      <c r="M343" s="9">
        <v>45748</v>
      </c>
      <c r="N343" s="9">
        <v>45854</v>
      </c>
      <c r="O343" s="9"/>
      <c r="P343" s="11">
        <v>17</v>
      </c>
      <c r="Q343" s="12">
        <v>41222429</v>
      </c>
      <c r="R343">
        <v>41222429</v>
      </c>
      <c r="S343" s="22">
        <v>0.21</v>
      </c>
      <c r="T343" s="22">
        <v>0.17</v>
      </c>
      <c r="U343" s="12">
        <v>38101891.119999997</v>
      </c>
      <c r="V343" s="24">
        <v>38101891.119999997</v>
      </c>
      <c r="W343" s="8">
        <v>26433642.079999998</v>
      </c>
      <c r="X343" s="24">
        <v>26433642.079999998</v>
      </c>
      <c r="Y343" s="22">
        <v>0.08</v>
      </c>
      <c r="Z343" s="22">
        <v>7.0000000000000007E-2</v>
      </c>
      <c r="AA343" s="8" t="s">
        <v>1350</v>
      </c>
      <c r="AB343" s="8">
        <v>6339696.1500000004</v>
      </c>
      <c r="AC343" s="24">
        <v>6339696.1500000004</v>
      </c>
      <c r="AD343" s="8">
        <v>6631012.2800000003</v>
      </c>
      <c r="AE343" s="24">
        <v>6631012.2800000003</v>
      </c>
      <c r="AF343" s="8">
        <v>45</v>
      </c>
      <c r="AG343" s="8">
        <v>48</v>
      </c>
      <c r="AH343" s="8" t="s">
        <v>329</v>
      </c>
      <c r="AI343" s="8" t="s">
        <v>354</v>
      </c>
      <c r="AJ343" s="22">
        <v>0.93</v>
      </c>
      <c r="AK343" s="8" t="s">
        <v>152</v>
      </c>
      <c r="AL343" s="22">
        <v>0.05</v>
      </c>
      <c r="AM343" s="22">
        <v>0.02</v>
      </c>
      <c r="AN343" s="8">
        <v>0</v>
      </c>
      <c r="AO343" s="8"/>
      <c r="AP343" s="8">
        <v>1881354.56</v>
      </c>
      <c r="AQ343" s="24">
        <v>1881354.56</v>
      </c>
      <c r="AR343" s="8">
        <v>5203264.04</v>
      </c>
      <c r="AS343" s="37">
        <v>5203264.04</v>
      </c>
      <c r="AT343" s="8" t="s">
        <v>321</v>
      </c>
      <c r="AU343" s="8" t="s">
        <v>386</v>
      </c>
      <c r="AV343" s="8">
        <v>60.9</v>
      </c>
      <c r="AW343" s="8">
        <v>48</v>
      </c>
      <c r="AX343" s="8" t="s">
        <v>392</v>
      </c>
      <c r="AY343" s="8" t="s">
        <v>224</v>
      </c>
      <c r="AZ343" s="8" t="s">
        <v>188</v>
      </c>
      <c r="BA343" s="21">
        <f>IF(OR(tblsales[[#This Row],[Invoice Value USD]]="",tblsales[[#This Row],[Collected Amount USD]]=""),"",tblsales[[#This Row],[Invoice Value USD]]-tblsales[[#This Row],[Collected Amount USD]])</f>
        <v>-291316.12999999989</v>
      </c>
      <c r="BB343" s="21">
        <f>IF(OR(tblsales[[#This Row],[Contract Value USD]]="",tblsales[[#This Row],[Cost Estimate USD]]=""),"",tblsales[[#This Row],[Contract Value USD]]-tblsales[[#This Row],[Cost Estimate USD]])</f>
        <v>11668249.039999999</v>
      </c>
      <c r="BC343" s="21">
        <f>IF(OR(tblsales[[#This Row],[Contract Value USD]]="",tblsales[[#This Row],[Cost Estimate USD]]=""),"",tblsales[[#This Row],[Contract Value USD]]-tblsales[[#This Row],[Cost Estimate USD]])</f>
        <v>11668249.039999999</v>
      </c>
      <c r="BD343" s="23">
        <f>IF(tblsales[[#This Row],[Invoice Value USD]]="","",tblsales[[#This Row],[Collected Amount USD]]/tblsales[[#This Row],[Invoice Value USD]])</f>
        <v>1.0459511186510098</v>
      </c>
      <c r="BE343" s="11">
        <f>IF(tblsales[[#This Row],[SalesStage]]="Won",1,0)</f>
        <v>0</v>
      </c>
      <c r="BF343" s="21" t="str">
        <f>IF(tblsales[[#This Row],[Win Flag]]=1,"Won","Lost")</f>
        <v>Lost</v>
      </c>
      <c r="BG343" s="8"/>
    </row>
    <row r="344" spans="1:59" x14ac:dyDescent="0.3">
      <c r="A344" s="10" t="s">
        <v>1351</v>
      </c>
      <c r="B344" s="9">
        <v>45875</v>
      </c>
      <c r="C344" s="10" t="s">
        <v>264</v>
      </c>
      <c r="D344" s="10" t="s">
        <v>215</v>
      </c>
      <c r="E344" s="10" t="s">
        <v>36</v>
      </c>
      <c r="F344" s="10" t="s">
        <v>339</v>
      </c>
      <c r="G344" s="10" t="s">
        <v>46</v>
      </c>
      <c r="H344" s="10" t="s">
        <v>236</v>
      </c>
      <c r="I344" s="10" t="s">
        <v>183</v>
      </c>
      <c r="J344" s="10" t="s">
        <v>115</v>
      </c>
      <c r="K344" s="10" t="s">
        <v>184</v>
      </c>
      <c r="L344" s="10" t="s">
        <v>1352</v>
      </c>
      <c r="M344" s="9">
        <v>45967</v>
      </c>
      <c r="N344" s="9" t="s">
        <v>1353</v>
      </c>
      <c r="O344" s="9">
        <v>45910</v>
      </c>
      <c r="P344" s="11">
        <v>26</v>
      </c>
      <c r="Q344" s="12">
        <v>18366365</v>
      </c>
      <c r="R344">
        <v>5001161.1894999994</v>
      </c>
      <c r="S344" s="22">
        <v>0.19</v>
      </c>
      <c r="T344" s="22">
        <v>0.09</v>
      </c>
      <c r="U344" s="12">
        <v>16215663.66</v>
      </c>
      <c r="V344" s="24">
        <v>4415525.2146180002</v>
      </c>
      <c r="W344" s="8">
        <v>11464256.960000001</v>
      </c>
      <c r="X344" s="24">
        <v>3121717.1702080001</v>
      </c>
      <c r="Y344" s="22">
        <v>0.2</v>
      </c>
      <c r="Z344" s="22">
        <v>0.13</v>
      </c>
      <c r="AA344" s="8" t="s">
        <v>1354</v>
      </c>
      <c r="AB344" s="8">
        <v>4206726.7699999996</v>
      </c>
      <c r="AC344" s="24">
        <v>1145491.6994709999</v>
      </c>
      <c r="AD344" s="8">
        <v>2428139.69</v>
      </c>
      <c r="AE344" s="24">
        <v>661182.43758699996</v>
      </c>
      <c r="AF344" s="8">
        <v>60</v>
      </c>
      <c r="AG344" s="8">
        <v>173</v>
      </c>
      <c r="AH344" s="8" t="s">
        <v>329</v>
      </c>
      <c r="AI344" s="8" t="s">
        <v>455</v>
      </c>
      <c r="AJ344" s="22">
        <v>0.35</v>
      </c>
      <c r="AK344" s="8" t="s">
        <v>153</v>
      </c>
      <c r="AL344" s="22">
        <v>0.1</v>
      </c>
      <c r="AM344" s="22">
        <v>0.03</v>
      </c>
      <c r="AN344" s="8">
        <v>9</v>
      </c>
      <c r="AO344" s="8">
        <v>4688</v>
      </c>
      <c r="AP344" s="8">
        <v>1293851.3500000001</v>
      </c>
      <c r="AQ344" s="24">
        <v>352315.72260500002</v>
      </c>
      <c r="AR344" s="8">
        <v>5533008.6900000004</v>
      </c>
      <c r="AS344" s="37">
        <v>1506638.2662870002</v>
      </c>
      <c r="AT344" s="8" t="s">
        <v>355</v>
      </c>
      <c r="AU344" s="8" t="s">
        <v>356</v>
      </c>
      <c r="AV344" s="8">
        <v>64.8</v>
      </c>
      <c r="AW344" s="8"/>
      <c r="AX344" s="8" t="s">
        <v>323</v>
      </c>
      <c r="AY344" s="8" t="s">
        <v>206</v>
      </c>
      <c r="AZ344" s="8" t="s">
        <v>357</v>
      </c>
      <c r="BA344" s="21">
        <f>IF(OR(tblsales[[#This Row],[Invoice Value USD]]="",tblsales[[#This Row],[Collected Amount USD]]=""),"",tblsales[[#This Row],[Invoice Value USD]]-tblsales[[#This Row],[Collected Amount USD]])</f>
        <v>484309.26188399992</v>
      </c>
      <c r="BB344" s="21">
        <f>IF(OR(tblsales[[#This Row],[Contract Value USD]]="",tblsales[[#This Row],[Cost Estimate USD]]=""),"",tblsales[[#This Row],[Contract Value USD]]-tblsales[[#This Row],[Cost Estimate USD]])</f>
        <v>1293808.0444100001</v>
      </c>
      <c r="BC344" s="21">
        <f>IF(OR(tblsales[[#This Row],[Contract Value USD]]="",tblsales[[#This Row],[Cost Estimate USD]]=""),"",tblsales[[#This Row],[Contract Value USD]]-tblsales[[#This Row],[Cost Estimate USD]])</f>
        <v>1293808.0444100001</v>
      </c>
      <c r="BD344" s="23">
        <f>IF(tblsales[[#This Row],[Invoice Value USD]]="","",tblsales[[#This Row],[Collected Amount USD]]/tblsales[[#This Row],[Invoice Value USD]])</f>
        <v>0.57720404075589637</v>
      </c>
      <c r="BE344" s="11">
        <f>IF(tblsales[[#This Row],[SalesStage]]="Won",1,0)</f>
        <v>0</v>
      </c>
      <c r="BF344" s="21" t="str">
        <f>IF(tblsales[[#This Row],[Win Flag]]=1,"Won","Lost")</f>
        <v>Lost</v>
      </c>
      <c r="BG344" s="8"/>
    </row>
    <row r="345" spans="1:59" x14ac:dyDescent="0.3">
      <c r="A345" s="10" t="s">
        <v>1355</v>
      </c>
      <c r="B345" s="9">
        <v>45769</v>
      </c>
      <c r="C345" s="10" t="s">
        <v>230</v>
      </c>
      <c r="D345" s="10" t="s">
        <v>202</v>
      </c>
      <c r="E345" s="10" t="s">
        <v>113</v>
      </c>
      <c r="F345" s="10" t="s">
        <v>181</v>
      </c>
      <c r="G345" s="10" t="s">
        <v>28</v>
      </c>
      <c r="H345" s="10" t="s">
        <v>332</v>
      </c>
      <c r="I345" s="10" t="s">
        <v>198</v>
      </c>
      <c r="J345" s="10" t="s">
        <v>123</v>
      </c>
      <c r="K345" s="10" t="s">
        <v>204</v>
      </c>
      <c r="L345" s="10" t="s">
        <v>1356</v>
      </c>
      <c r="M345" s="9">
        <v>45744</v>
      </c>
      <c r="N345" s="9">
        <v>45795</v>
      </c>
      <c r="O345" s="9">
        <v>45826</v>
      </c>
      <c r="P345" s="11">
        <v>33</v>
      </c>
      <c r="Q345" s="12"/>
      <c r="S345" s="22">
        <v>0.04</v>
      </c>
      <c r="T345" s="22">
        <v>0.15</v>
      </c>
      <c r="U345" s="12">
        <v>31433062.609999999</v>
      </c>
      <c r="V345" s="24">
        <v>31433062.609999999</v>
      </c>
      <c r="W345" s="8">
        <v>26255241.280000001</v>
      </c>
      <c r="X345" s="24">
        <v>26255241.280000001</v>
      </c>
      <c r="Y345" s="22">
        <v>0.23</v>
      </c>
      <c r="Z345" s="22">
        <v>0.18</v>
      </c>
      <c r="AA345" s="8" t="s">
        <v>1357</v>
      </c>
      <c r="AB345" s="8">
        <v>19963883.440000001</v>
      </c>
      <c r="AC345" s="24">
        <v>19963883.440000001</v>
      </c>
      <c r="AD345" s="8">
        <v>9816575.7100000009</v>
      </c>
      <c r="AE345" s="24">
        <v>9816575.7100000009</v>
      </c>
      <c r="AF345" s="8">
        <v>120</v>
      </c>
      <c r="AG345" s="8">
        <v>154</v>
      </c>
      <c r="AH345" s="8" t="s">
        <v>347</v>
      </c>
      <c r="AI345" s="8" t="s">
        <v>336</v>
      </c>
      <c r="AJ345" s="22">
        <v>0.97</v>
      </c>
      <c r="AK345" s="8" t="s">
        <v>152</v>
      </c>
      <c r="AL345" s="22">
        <v>0.1</v>
      </c>
      <c r="AM345" s="22">
        <v>0.09</v>
      </c>
      <c r="AN345" s="8">
        <v>15</v>
      </c>
      <c r="AO345" s="8">
        <v>727</v>
      </c>
      <c r="AP345" s="8">
        <v>3829157.11</v>
      </c>
      <c r="AQ345" s="24">
        <v>3829157.11</v>
      </c>
      <c r="AR345" s="8">
        <v>5187527.55</v>
      </c>
      <c r="AS345" s="37">
        <v>5187527.55</v>
      </c>
      <c r="AT345" s="8" t="s">
        <v>332</v>
      </c>
      <c r="AU345" s="8" t="s">
        <v>386</v>
      </c>
      <c r="AV345" s="8">
        <v>73.900000000000006</v>
      </c>
      <c r="AW345" s="8">
        <v>60</v>
      </c>
      <c r="AX345" s="8" t="s">
        <v>392</v>
      </c>
      <c r="AY345" s="8" t="s">
        <v>206</v>
      </c>
      <c r="AZ345" s="8" t="s">
        <v>332</v>
      </c>
      <c r="BA345" s="21">
        <f>IF(OR(tblsales[[#This Row],[Invoice Value USD]]="",tblsales[[#This Row],[Collected Amount USD]]=""),"",tblsales[[#This Row],[Invoice Value USD]]-tblsales[[#This Row],[Collected Amount USD]])</f>
        <v>10147307.73</v>
      </c>
      <c r="BB345" s="21">
        <f>IF(OR(tblsales[[#This Row],[Contract Value USD]]="",tblsales[[#This Row],[Cost Estimate USD]]=""),"",tblsales[[#This Row],[Contract Value USD]]-tblsales[[#This Row],[Cost Estimate USD]])</f>
        <v>5177821.3299999982</v>
      </c>
      <c r="BC345" s="21">
        <f>IF(OR(tblsales[[#This Row],[Contract Value USD]]="",tblsales[[#This Row],[Cost Estimate USD]]=""),"",tblsales[[#This Row],[Contract Value USD]]-tblsales[[#This Row],[Cost Estimate USD]])</f>
        <v>5177821.3299999982</v>
      </c>
      <c r="BD345" s="23">
        <f>IF(tblsales[[#This Row],[Invoice Value USD]]="","",tblsales[[#This Row],[Collected Amount USD]]/tblsales[[#This Row],[Invoice Value USD]])</f>
        <v>0.49171674135961596</v>
      </c>
      <c r="BE345" s="11">
        <f>IF(tblsales[[#This Row],[SalesStage]]="Won",1,0)</f>
        <v>0</v>
      </c>
      <c r="BF345" s="21" t="str">
        <f>IF(tblsales[[#This Row],[Win Flag]]=1,"Won","Lost")</f>
        <v>Lost</v>
      </c>
      <c r="BG345" s="8"/>
    </row>
    <row r="346" spans="1:59" x14ac:dyDescent="0.3">
      <c r="A346" s="10" t="s">
        <v>1358</v>
      </c>
      <c r="B346" s="9">
        <v>45819</v>
      </c>
      <c r="C346" s="10" t="s">
        <v>234</v>
      </c>
      <c r="D346" s="10" t="s">
        <v>262</v>
      </c>
      <c r="E346" s="10" t="s">
        <v>36</v>
      </c>
      <c r="F346" s="10" t="s">
        <v>19</v>
      </c>
      <c r="G346" s="10" t="s">
        <v>332</v>
      </c>
      <c r="H346" s="10" t="s">
        <v>182</v>
      </c>
      <c r="I346" s="10" t="s">
        <v>198</v>
      </c>
      <c r="J346" s="10" t="s">
        <v>115</v>
      </c>
      <c r="K346" s="10" t="s">
        <v>326</v>
      </c>
      <c r="L346" s="10" t="s">
        <v>1359</v>
      </c>
      <c r="M346" s="9">
        <v>45891</v>
      </c>
      <c r="N346" s="9">
        <v>45977</v>
      </c>
      <c r="O346" s="9">
        <v>46267</v>
      </c>
      <c r="P346" s="11">
        <v>60</v>
      </c>
      <c r="Q346" s="12">
        <v>38827309</v>
      </c>
      <c r="R346">
        <v>10572676.240699999</v>
      </c>
      <c r="S346" s="22">
        <v>0.1</v>
      </c>
      <c r="T346" s="22">
        <v>0.04</v>
      </c>
      <c r="U346" s="12">
        <v>36342361.219999999</v>
      </c>
      <c r="V346" s="24">
        <v>9896024.9602059983</v>
      </c>
      <c r="W346" s="8">
        <v>28511369.100000001</v>
      </c>
      <c r="X346" s="24">
        <v>7763645.8059299998</v>
      </c>
      <c r="Y346" s="22">
        <v>0.18</v>
      </c>
      <c r="Z346" s="22">
        <v>0.08</v>
      </c>
      <c r="AA346" s="8" t="s">
        <v>1360</v>
      </c>
      <c r="AB346" s="8">
        <v>26340462.32</v>
      </c>
      <c r="AC346" s="24">
        <v>7172507.8897359995</v>
      </c>
      <c r="AD346" s="8">
        <v>13422954.720000001</v>
      </c>
      <c r="AE346" s="24">
        <v>3655070.5702559999</v>
      </c>
      <c r="AF346" s="8">
        <v>60</v>
      </c>
      <c r="AG346" s="8">
        <v>14</v>
      </c>
      <c r="AH346" s="8" t="s">
        <v>342</v>
      </c>
      <c r="AI346" s="8" t="s">
        <v>381</v>
      </c>
      <c r="AJ346" s="22">
        <v>0.62</v>
      </c>
      <c r="AK346" s="8" t="s">
        <v>153</v>
      </c>
      <c r="AL346" s="22">
        <v>0.15</v>
      </c>
      <c r="AM346" s="22">
        <v>0.06</v>
      </c>
      <c r="AN346" s="8">
        <v>0</v>
      </c>
      <c r="AO346" s="8">
        <v>4269</v>
      </c>
      <c r="AP346" s="8">
        <v>5059290.1500000004</v>
      </c>
      <c r="AQ346" s="24">
        <v>1377644.7078450001</v>
      </c>
      <c r="AR346" s="8">
        <v>12244988.199999999</v>
      </c>
      <c r="AS346" s="37">
        <v>3334310.2868599994</v>
      </c>
      <c r="AT346" s="8" t="s">
        <v>385</v>
      </c>
      <c r="AU346" s="8" t="s">
        <v>386</v>
      </c>
      <c r="AV346" s="8">
        <v>94.5</v>
      </c>
      <c r="AW346" s="8">
        <v>12</v>
      </c>
      <c r="AX346" s="8" t="s">
        <v>332</v>
      </c>
      <c r="AY346" s="8" t="s">
        <v>192</v>
      </c>
      <c r="AZ346" s="8" t="s">
        <v>324</v>
      </c>
      <c r="BA346" s="21">
        <f>IF(OR(tblsales[[#This Row],[Invoice Value USD]]="",tblsales[[#This Row],[Collected Amount USD]]=""),"",tblsales[[#This Row],[Invoice Value USD]]-tblsales[[#This Row],[Collected Amount USD]])</f>
        <v>3517437.3194799996</v>
      </c>
      <c r="BB346" s="21">
        <f>IF(OR(tblsales[[#This Row],[Contract Value USD]]="",tblsales[[#This Row],[Cost Estimate USD]]=""),"",tblsales[[#This Row],[Contract Value USD]]-tblsales[[#This Row],[Cost Estimate USD]])</f>
        <v>2132379.1542759985</v>
      </c>
      <c r="BC346" s="21">
        <f>IF(OR(tblsales[[#This Row],[Contract Value USD]]="",tblsales[[#This Row],[Cost Estimate USD]]=""),"",tblsales[[#This Row],[Contract Value USD]]-tblsales[[#This Row],[Cost Estimate USD]])</f>
        <v>2132379.1542759985</v>
      </c>
      <c r="BD346" s="23">
        <f>IF(tblsales[[#This Row],[Invoice Value USD]]="","",tblsales[[#This Row],[Collected Amount USD]]/tblsales[[#This Row],[Invoice Value USD]])</f>
        <v>0.50959449978249283</v>
      </c>
      <c r="BE346" s="11">
        <f>IF(tblsales[[#This Row],[SalesStage]]="Won",1,0)</f>
        <v>0</v>
      </c>
      <c r="BF346" s="21" t="str">
        <f>IF(tblsales[[#This Row],[Win Flag]]=1,"Won","Lost")</f>
        <v>Lost</v>
      </c>
      <c r="BG346" s="8"/>
    </row>
    <row r="347" spans="1:59" x14ac:dyDescent="0.3">
      <c r="A347" s="10" t="s">
        <v>1361</v>
      </c>
      <c r="B347" s="9">
        <v>46077</v>
      </c>
      <c r="C347" s="10" t="s">
        <v>267</v>
      </c>
      <c r="D347" s="10" t="s">
        <v>209</v>
      </c>
      <c r="E347" s="10" t="s">
        <v>113</v>
      </c>
      <c r="F347" s="10" t="s">
        <v>367</v>
      </c>
      <c r="G347" s="10" t="s">
        <v>73</v>
      </c>
      <c r="H347" s="10" t="s">
        <v>263</v>
      </c>
      <c r="I347" s="10" t="s">
        <v>240</v>
      </c>
      <c r="J347" s="10" t="s">
        <v>127</v>
      </c>
      <c r="K347" s="10" t="s">
        <v>184</v>
      </c>
      <c r="L347" s="10" t="s">
        <v>1362</v>
      </c>
      <c r="M347" s="9">
        <v>46041</v>
      </c>
      <c r="N347" s="9">
        <v>46131</v>
      </c>
      <c r="O347" s="9">
        <v>46180</v>
      </c>
      <c r="P347" s="11">
        <v>34</v>
      </c>
      <c r="Q347" s="12">
        <v>9438138</v>
      </c>
      <c r="R347">
        <v>2592656.5085999998</v>
      </c>
      <c r="S347" s="22">
        <v>0.11</v>
      </c>
      <c r="T347" s="22">
        <v>0.09</v>
      </c>
      <c r="U347" s="12">
        <v>9155937.6699999999</v>
      </c>
      <c r="V347" s="24">
        <v>2515136.0779490001</v>
      </c>
      <c r="W347" s="8">
        <v>5712718.3099999996</v>
      </c>
      <c r="X347" s="24">
        <v>1569283.719757</v>
      </c>
      <c r="Y347" s="22">
        <v>0.17</v>
      </c>
      <c r="Z347" s="22">
        <v>0.05</v>
      </c>
      <c r="AA347" s="8" t="s">
        <v>1363</v>
      </c>
      <c r="AB347" s="8">
        <v>5433161.6900000004</v>
      </c>
      <c r="AC347" s="24">
        <v>1492489.516243</v>
      </c>
      <c r="AD347" s="8">
        <v>5573571.5999999996</v>
      </c>
      <c r="AE347" s="24">
        <v>1531060.1185199998</v>
      </c>
      <c r="AF347" s="8">
        <v>90</v>
      </c>
      <c r="AG347" s="8">
        <v>21</v>
      </c>
      <c r="AH347" s="8" t="s">
        <v>353</v>
      </c>
      <c r="AI347" s="8" t="s">
        <v>336</v>
      </c>
      <c r="AJ347" s="22">
        <v>0.48</v>
      </c>
      <c r="AK347" s="8" t="s">
        <v>155</v>
      </c>
      <c r="AL347" s="22">
        <v>0.1</v>
      </c>
      <c r="AM347" s="22">
        <v>0.08</v>
      </c>
      <c r="AN347" s="8">
        <v>9</v>
      </c>
      <c r="AO347" s="8">
        <v>4702</v>
      </c>
      <c r="AP347" s="8">
        <v>534638.18999999994</v>
      </c>
      <c r="AQ347" s="24">
        <v>146865.11079299997</v>
      </c>
      <c r="AR347" s="8">
        <v>2629623.11</v>
      </c>
      <c r="AS347" s="37">
        <v>722357.46831699996</v>
      </c>
      <c r="AT347" s="8" t="s">
        <v>332</v>
      </c>
      <c r="AU347" s="8" t="s">
        <v>332</v>
      </c>
      <c r="AV347" s="8"/>
      <c r="AW347" s="8"/>
      <c r="AX347" s="8" t="s">
        <v>387</v>
      </c>
      <c r="AY347" s="8" t="s">
        <v>186</v>
      </c>
      <c r="AZ347" s="8" t="s">
        <v>324</v>
      </c>
      <c r="BA347" s="21">
        <f>IF(OR(tblsales[[#This Row],[Invoice Value USD]]="",tblsales[[#This Row],[Collected Amount USD]]=""),"",tblsales[[#This Row],[Invoice Value USD]]-tblsales[[#This Row],[Collected Amount USD]])</f>
        <v>-38570.602276999736</v>
      </c>
      <c r="BB347" s="21">
        <f>IF(OR(tblsales[[#This Row],[Contract Value USD]]="",tblsales[[#This Row],[Cost Estimate USD]]=""),"",tblsales[[#This Row],[Contract Value USD]]-tblsales[[#This Row],[Cost Estimate USD]])</f>
        <v>945852.35819200007</v>
      </c>
      <c r="BC347" s="21">
        <f>IF(OR(tblsales[[#This Row],[Contract Value USD]]="",tblsales[[#This Row],[Cost Estimate USD]]=""),"",tblsales[[#This Row],[Contract Value USD]]-tblsales[[#This Row],[Cost Estimate USD]])</f>
        <v>945852.35819200007</v>
      </c>
      <c r="BD347" s="23">
        <f>IF(tblsales[[#This Row],[Invoice Value USD]]="","",tblsales[[#This Row],[Collected Amount USD]]/tblsales[[#This Row],[Invoice Value USD]])</f>
        <v>1.0258431311290497</v>
      </c>
      <c r="BE347" s="11">
        <f>IF(tblsales[[#This Row],[SalesStage]]="Won",1,0)</f>
        <v>0</v>
      </c>
      <c r="BF347" s="21" t="str">
        <f>IF(tblsales[[#This Row],[Win Flag]]=1,"Won","Lost")</f>
        <v>Lost</v>
      </c>
      <c r="BG347" s="8"/>
    </row>
    <row r="348" spans="1:59" x14ac:dyDescent="0.3">
      <c r="A348" s="10" t="s">
        <v>1364</v>
      </c>
      <c r="B348" s="9">
        <v>45703</v>
      </c>
      <c r="C348" s="10" t="s">
        <v>268</v>
      </c>
      <c r="D348" s="10" t="s">
        <v>274</v>
      </c>
      <c r="E348" s="10" t="s">
        <v>36</v>
      </c>
      <c r="F348" s="10" t="s">
        <v>19</v>
      </c>
      <c r="G348" s="10" t="s">
        <v>70</v>
      </c>
      <c r="H348" s="10" t="s">
        <v>332</v>
      </c>
      <c r="I348" s="10" t="s">
        <v>203</v>
      </c>
      <c r="J348" s="10" t="s">
        <v>115</v>
      </c>
      <c r="K348" s="10" t="s">
        <v>223</v>
      </c>
      <c r="L348" s="10" t="s">
        <v>1365</v>
      </c>
      <c r="M348" s="9">
        <v>45678</v>
      </c>
      <c r="N348" s="9">
        <v>45705</v>
      </c>
      <c r="O348" s="9">
        <v>45774</v>
      </c>
      <c r="P348" s="11">
        <v>48</v>
      </c>
      <c r="Q348" s="12">
        <v>42344643</v>
      </c>
      <c r="R348">
        <v>42344643</v>
      </c>
      <c r="S348" s="22">
        <v>0.28999999999999998</v>
      </c>
      <c r="T348" s="22">
        <v>0.03</v>
      </c>
      <c r="U348" s="12">
        <v>30966637.43</v>
      </c>
      <c r="V348" s="24">
        <v>30966637.43</v>
      </c>
      <c r="W348" s="8">
        <v>21212831.600000001</v>
      </c>
      <c r="X348" s="24">
        <v>21212831.600000001</v>
      </c>
      <c r="Y348" s="22">
        <v>0.1</v>
      </c>
      <c r="Z348" s="22">
        <v>0.08</v>
      </c>
      <c r="AA348" s="8" t="s">
        <v>1366</v>
      </c>
      <c r="AB348" s="8">
        <v>14830036.609999999</v>
      </c>
      <c r="AC348" s="24">
        <v>14830036.609999999</v>
      </c>
      <c r="AD348" s="8">
        <v>13357212.039999999</v>
      </c>
      <c r="AE348" s="24">
        <v>13357212.039999999</v>
      </c>
      <c r="AF348" s="8">
        <v>90</v>
      </c>
      <c r="AG348" s="8">
        <v>4</v>
      </c>
      <c r="AH348" s="8" t="s">
        <v>376</v>
      </c>
      <c r="AI348" s="8" t="s">
        <v>455</v>
      </c>
      <c r="AJ348" s="22">
        <v>0.77</v>
      </c>
      <c r="AK348" s="8" t="s">
        <v>152</v>
      </c>
      <c r="AL348" s="22">
        <v>0.15</v>
      </c>
      <c r="AM348" s="22">
        <v>0.04</v>
      </c>
      <c r="AN348" s="8">
        <v>4</v>
      </c>
      <c r="AO348" s="8">
        <v>3303</v>
      </c>
      <c r="AP348" s="8">
        <v>3752236.24</v>
      </c>
      <c r="AQ348" s="24">
        <v>3752236.24</v>
      </c>
      <c r="AR348" s="8">
        <v>7415629.6900000004</v>
      </c>
      <c r="AS348" s="37">
        <v>7415629.6900000004</v>
      </c>
      <c r="AT348" s="8" t="s">
        <v>391</v>
      </c>
      <c r="AU348" s="8" t="s">
        <v>330</v>
      </c>
      <c r="AV348" s="8">
        <v>53.5</v>
      </c>
      <c r="AW348" s="8">
        <v>48</v>
      </c>
      <c r="AX348" s="8" t="s">
        <v>392</v>
      </c>
      <c r="AY348" s="8" t="s">
        <v>192</v>
      </c>
      <c r="AZ348" s="8" t="s">
        <v>332</v>
      </c>
      <c r="BA348" s="21">
        <f>IF(OR(tblsales[[#This Row],[Invoice Value USD]]="",tblsales[[#This Row],[Collected Amount USD]]=""),"",tblsales[[#This Row],[Invoice Value USD]]-tblsales[[#This Row],[Collected Amount USD]])</f>
        <v>1472824.5700000003</v>
      </c>
      <c r="BB348" s="21">
        <f>IF(OR(tblsales[[#This Row],[Contract Value USD]]="",tblsales[[#This Row],[Cost Estimate USD]]=""),"",tblsales[[#This Row],[Contract Value USD]]-tblsales[[#This Row],[Cost Estimate USD]])</f>
        <v>9753805.8299999982</v>
      </c>
      <c r="BC348" s="21">
        <f>IF(OR(tblsales[[#This Row],[Contract Value USD]]="",tblsales[[#This Row],[Cost Estimate USD]]=""),"",tblsales[[#This Row],[Contract Value USD]]-tblsales[[#This Row],[Cost Estimate USD]])</f>
        <v>9753805.8299999982</v>
      </c>
      <c r="BD348" s="23">
        <f>IF(tblsales[[#This Row],[Invoice Value USD]]="","",tblsales[[#This Row],[Collected Amount USD]]/tblsales[[#This Row],[Invoice Value USD]])</f>
        <v>0.90068638340333806</v>
      </c>
      <c r="BE348" s="11">
        <f>IF(tblsales[[#This Row],[SalesStage]]="Won",1,0)</f>
        <v>0</v>
      </c>
      <c r="BF348" s="21" t="str">
        <f>IF(tblsales[[#This Row],[Win Flag]]=1,"Won","Lost")</f>
        <v>Lost</v>
      </c>
      <c r="BG348" s="8"/>
    </row>
    <row r="349" spans="1:59" x14ac:dyDescent="0.3">
      <c r="A349" s="10" t="s">
        <v>1367</v>
      </c>
      <c r="B349" s="9">
        <v>45978</v>
      </c>
      <c r="C349" s="10" t="s">
        <v>249</v>
      </c>
      <c r="D349" s="10" t="s">
        <v>190</v>
      </c>
      <c r="E349" s="10" t="s">
        <v>113</v>
      </c>
      <c r="F349" s="10" t="s">
        <v>181</v>
      </c>
      <c r="G349" s="10" t="s">
        <v>78</v>
      </c>
      <c r="H349" s="10" t="s">
        <v>182</v>
      </c>
      <c r="I349" s="10" t="s">
        <v>332</v>
      </c>
      <c r="J349" s="10" t="s">
        <v>127</v>
      </c>
      <c r="K349" s="10" t="s">
        <v>184</v>
      </c>
      <c r="L349" s="10" t="s">
        <v>1368</v>
      </c>
      <c r="M349" s="9">
        <v>45951</v>
      </c>
      <c r="N349" s="9" t="s">
        <v>1369</v>
      </c>
      <c r="O349" s="9"/>
      <c r="P349" s="11">
        <v>41</v>
      </c>
      <c r="Q349" s="12">
        <v>22605193</v>
      </c>
      <c r="R349">
        <v>22605193</v>
      </c>
      <c r="S349" s="22">
        <v>0.2</v>
      </c>
      <c r="T349" s="22">
        <v>0.19</v>
      </c>
      <c r="U349" s="12">
        <v>21520143.739999998</v>
      </c>
      <c r="V349" s="24">
        <v>21520143.739999998</v>
      </c>
      <c r="W349" s="8">
        <v>17855538.649999999</v>
      </c>
      <c r="X349" s="24">
        <v>17855538.649999999</v>
      </c>
      <c r="Y349" s="22">
        <v>0.05</v>
      </c>
      <c r="Z349" s="22">
        <v>0.19</v>
      </c>
      <c r="AA349" s="8" t="s">
        <v>1370</v>
      </c>
      <c r="AB349" s="8">
        <v>18939585.030000001</v>
      </c>
      <c r="AC349" s="24">
        <v>18939585.030000001</v>
      </c>
      <c r="AD349" s="8">
        <v>18432824.719999999</v>
      </c>
      <c r="AE349" s="24">
        <v>18432824.719999999</v>
      </c>
      <c r="AF349" s="8">
        <v>90</v>
      </c>
      <c r="AG349" s="8">
        <v>24</v>
      </c>
      <c r="AH349" s="8" t="s">
        <v>332</v>
      </c>
      <c r="AI349" s="8" t="s">
        <v>354</v>
      </c>
      <c r="AJ349" s="22">
        <v>0.39</v>
      </c>
      <c r="AK349" s="8" t="s">
        <v>152</v>
      </c>
      <c r="AL349" s="22">
        <v>0.1</v>
      </c>
      <c r="AM349" s="22">
        <v>0.05</v>
      </c>
      <c r="AN349" s="8">
        <v>7</v>
      </c>
      <c r="AO349" s="8">
        <v>3386</v>
      </c>
      <c r="AP349" s="8"/>
      <c r="AQ349" s="24"/>
      <c r="AR349" s="8">
        <v>7518723.6900000004</v>
      </c>
      <c r="AS349" s="37">
        <v>7518723.6900000004</v>
      </c>
      <c r="AT349" s="8" t="s">
        <v>321</v>
      </c>
      <c r="AU349" s="8" t="s">
        <v>386</v>
      </c>
      <c r="AV349" s="8">
        <v>54.1</v>
      </c>
      <c r="AW349" s="8">
        <v>36</v>
      </c>
      <c r="AX349" s="8" t="s">
        <v>332</v>
      </c>
      <c r="AY349" s="8" t="s">
        <v>186</v>
      </c>
      <c r="AZ349" s="8" t="s">
        <v>332</v>
      </c>
      <c r="BA349" s="21">
        <f>IF(OR(tblsales[[#This Row],[Invoice Value USD]]="",tblsales[[#This Row],[Collected Amount USD]]=""),"",tblsales[[#This Row],[Invoice Value USD]]-tblsales[[#This Row],[Collected Amount USD]])</f>
        <v>506760.31000000238</v>
      </c>
      <c r="BB349" s="21">
        <f>IF(OR(tblsales[[#This Row],[Contract Value USD]]="",tblsales[[#This Row],[Cost Estimate USD]]=""),"",tblsales[[#This Row],[Contract Value USD]]-tblsales[[#This Row],[Cost Estimate USD]])</f>
        <v>3664605.09</v>
      </c>
      <c r="BC349" s="21">
        <f>IF(OR(tblsales[[#This Row],[Contract Value USD]]="",tblsales[[#This Row],[Cost Estimate USD]]=""),"",tblsales[[#This Row],[Contract Value USD]]-tblsales[[#This Row],[Cost Estimate USD]])</f>
        <v>3664605.09</v>
      </c>
      <c r="BD349" s="23">
        <f>IF(tblsales[[#This Row],[Invoice Value USD]]="","",tblsales[[#This Row],[Collected Amount USD]]/tblsales[[#This Row],[Invoice Value USD]])</f>
        <v>0.9732433255957138</v>
      </c>
      <c r="BE349" s="11">
        <f>IF(tblsales[[#This Row],[SalesStage]]="Won",1,0)</f>
        <v>0</v>
      </c>
      <c r="BF349" s="21" t="str">
        <f>IF(tblsales[[#This Row],[Win Flag]]=1,"Won","Lost")</f>
        <v>Lost</v>
      </c>
      <c r="BG349" s="8"/>
    </row>
    <row r="350" spans="1:59" x14ac:dyDescent="0.3">
      <c r="A350" s="10" t="s">
        <v>1371</v>
      </c>
      <c r="B350" s="9">
        <v>45679</v>
      </c>
      <c r="C350" s="10" t="s">
        <v>217</v>
      </c>
      <c r="D350" s="10" t="s">
        <v>242</v>
      </c>
      <c r="E350" s="10" t="s">
        <v>36</v>
      </c>
      <c r="F350" s="10" t="s">
        <v>19</v>
      </c>
      <c r="G350" s="10" t="s">
        <v>28</v>
      </c>
      <c r="H350" s="10" t="s">
        <v>212</v>
      </c>
      <c r="I350" s="10" t="s">
        <v>198</v>
      </c>
      <c r="J350" s="10" t="s">
        <v>115</v>
      </c>
      <c r="K350" s="10" t="s">
        <v>326</v>
      </c>
      <c r="L350" s="10" t="s">
        <v>1372</v>
      </c>
      <c r="M350" s="9">
        <v>45596</v>
      </c>
      <c r="N350" s="9">
        <v>45704</v>
      </c>
      <c r="O350" s="9">
        <v>45793</v>
      </c>
      <c r="P350" s="11">
        <v>14</v>
      </c>
      <c r="Q350" s="12">
        <v>25252072</v>
      </c>
      <c r="R350">
        <v>25252072</v>
      </c>
      <c r="S350" s="22">
        <v>0.34</v>
      </c>
      <c r="T350" s="22">
        <v>-0.04</v>
      </c>
      <c r="U350" s="12">
        <v>15999712.82</v>
      </c>
      <c r="V350" s="24">
        <v>15999712.82</v>
      </c>
      <c r="W350" s="8">
        <v>13264712.49</v>
      </c>
      <c r="X350" s="24">
        <v>13264712.49</v>
      </c>
      <c r="Y350" s="22">
        <v>0.26</v>
      </c>
      <c r="Z350" s="22">
        <v>0.12</v>
      </c>
      <c r="AA350" s="8" t="s">
        <v>1373</v>
      </c>
      <c r="AB350" s="8">
        <v>9902014.2100000009</v>
      </c>
      <c r="AC350" s="24">
        <v>9902014.2100000009</v>
      </c>
      <c r="AD350" s="8">
        <v>7302639.9299999997</v>
      </c>
      <c r="AE350" s="24">
        <v>7302639.9299999997</v>
      </c>
      <c r="AF350" s="8">
        <v>45</v>
      </c>
      <c r="AG350" s="8">
        <v>126</v>
      </c>
      <c r="AH350" s="8" t="s">
        <v>347</v>
      </c>
      <c r="AI350" s="8" t="s">
        <v>226</v>
      </c>
      <c r="AJ350" s="22">
        <v>0.97</v>
      </c>
      <c r="AK350" s="8" t="s">
        <v>152</v>
      </c>
      <c r="AL350" s="22">
        <v>0.05</v>
      </c>
      <c r="AM350" s="22">
        <v>0.03</v>
      </c>
      <c r="AN350" s="8">
        <v>15</v>
      </c>
      <c r="AO350" s="8">
        <v>2702</v>
      </c>
      <c r="AP350" s="8">
        <v>3605279.77</v>
      </c>
      <c r="AQ350" s="24">
        <v>3605279.77</v>
      </c>
      <c r="AR350" s="8">
        <v>4742058.76</v>
      </c>
      <c r="AS350" s="37">
        <v>4742058.76</v>
      </c>
      <c r="AT350" s="8" t="s">
        <v>332</v>
      </c>
      <c r="AU350" s="8" t="s">
        <v>386</v>
      </c>
      <c r="AV350" s="8">
        <v>87.7</v>
      </c>
      <c r="AW350" s="8">
        <v>24</v>
      </c>
      <c r="AX350" s="8" t="s">
        <v>332</v>
      </c>
      <c r="AY350" s="8" t="s">
        <v>192</v>
      </c>
      <c r="AZ350" s="8" t="s">
        <v>324</v>
      </c>
      <c r="BA350" s="21">
        <f>IF(OR(tblsales[[#This Row],[Invoice Value USD]]="",tblsales[[#This Row],[Collected Amount USD]]=""),"",tblsales[[#This Row],[Invoice Value USD]]-tblsales[[#This Row],[Collected Amount USD]])</f>
        <v>2599374.2800000012</v>
      </c>
      <c r="BB350" s="21">
        <f>IF(OR(tblsales[[#This Row],[Contract Value USD]]="",tblsales[[#This Row],[Cost Estimate USD]]=""),"",tblsales[[#This Row],[Contract Value USD]]-tblsales[[#This Row],[Cost Estimate USD]])</f>
        <v>2735000.33</v>
      </c>
      <c r="BC350" s="21">
        <f>IF(OR(tblsales[[#This Row],[Contract Value USD]]="",tblsales[[#This Row],[Cost Estimate USD]]=""),"",tblsales[[#This Row],[Contract Value USD]]-tblsales[[#This Row],[Cost Estimate USD]])</f>
        <v>2735000.33</v>
      </c>
      <c r="BD350" s="23">
        <f>IF(tblsales[[#This Row],[Invoice Value USD]]="","",tblsales[[#This Row],[Collected Amount USD]]/tblsales[[#This Row],[Invoice Value USD]])</f>
        <v>0.73749035046072697</v>
      </c>
      <c r="BE350" s="11">
        <f>IF(tblsales[[#This Row],[SalesStage]]="Won",1,0)</f>
        <v>0</v>
      </c>
      <c r="BF350" s="21" t="str">
        <f>IF(tblsales[[#This Row],[Win Flag]]=1,"Won","Lost")</f>
        <v>Lost</v>
      </c>
      <c r="BG350" s="8"/>
    </row>
    <row r="351" spans="1:59" x14ac:dyDescent="0.3">
      <c r="A351" s="10" t="s">
        <v>1374</v>
      </c>
      <c r="B351" s="9">
        <v>46045</v>
      </c>
      <c r="C351" s="10" t="s">
        <v>231</v>
      </c>
      <c r="D351" s="10" t="s">
        <v>274</v>
      </c>
      <c r="E351" s="10" t="s">
        <v>113</v>
      </c>
      <c r="F351" s="10" t="s">
        <v>181</v>
      </c>
      <c r="G351" s="10" t="s">
        <v>57</v>
      </c>
      <c r="H351" s="10" t="s">
        <v>182</v>
      </c>
      <c r="I351" s="10" t="s">
        <v>246</v>
      </c>
      <c r="J351" s="10" t="s">
        <v>111</v>
      </c>
      <c r="K351" s="10" t="s">
        <v>184</v>
      </c>
      <c r="L351" s="10" t="s">
        <v>1375</v>
      </c>
      <c r="M351" s="9">
        <v>45958</v>
      </c>
      <c r="N351" s="9">
        <v>46052</v>
      </c>
      <c r="O351" s="9"/>
      <c r="P351" s="11">
        <v>58</v>
      </c>
      <c r="Q351" s="12">
        <v>25952855</v>
      </c>
      <c r="R351">
        <v>25952855</v>
      </c>
      <c r="S351" s="22">
        <v>0.3</v>
      </c>
      <c r="T351" s="22">
        <v>0.16</v>
      </c>
      <c r="U351" s="12">
        <v>21073718.260000002</v>
      </c>
      <c r="V351" s="24">
        <v>21073718.260000002</v>
      </c>
      <c r="W351" s="8">
        <v>12790853.82</v>
      </c>
      <c r="X351" s="24">
        <v>12790853.82</v>
      </c>
      <c r="Y351" s="22">
        <v>0.19</v>
      </c>
      <c r="Z351" s="22">
        <v>0.1</v>
      </c>
      <c r="AA351" s="8" t="s">
        <v>1376</v>
      </c>
      <c r="AB351" s="8">
        <v>14947814.140000001</v>
      </c>
      <c r="AC351" s="24">
        <v>14947814.140000001</v>
      </c>
      <c r="AD351" s="8">
        <v>13640377.99</v>
      </c>
      <c r="AE351" s="24">
        <v>13640377.99</v>
      </c>
      <c r="AF351" s="8">
        <v>30</v>
      </c>
      <c r="AG351" s="8">
        <v>52</v>
      </c>
      <c r="AH351" s="8" t="s">
        <v>353</v>
      </c>
      <c r="AI351" s="8" t="s">
        <v>381</v>
      </c>
      <c r="AJ351" s="22">
        <v>0.34</v>
      </c>
      <c r="AK351" s="8" t="s">
        <v>152</v>
      </c>
      <c r="AL351" s="22">
        <v>0.05</v>
      </c>
      <c r="AM351" s="22">
        <v>0.06</v>
      </c>
      <c r="AN351" s="8">
        <v>2</v>
      </c>
      <c r="AO351" s="8">
        <v>1915</v>
      </c>
      <c r="AP351" s="8">
        <v>3383996.89</v>
      </c>
      <c r="AQ351" s="24">
        <v>3383996.89</v>
      </c>
      <c r="AR351" s="8">
        <v>5109107.8899999997</v>
      </c>
      <c r="AS351" s="37">
        <v>5109107.8899999997</v>
      </c>
      <c r="AT351" s="8" t="s">
        <v>385</v>
      </c>
      <c r="AU351" s="8" t="s">
        <v>332</v>
      </c>
      <c r="AV351" s="8">
        <v>52</v>
      </c>
      <c r="AW351" s="8">
        <v>12</v>
      </c>
      <c r="AX351" s="8" t="s">
        <v>323</v>
      </c>
      <c r="AY351" s="8" t="s">
        <v>206</v>
      </c>
      <c r="AZ351" s="8" t="s">
        <v>332</v>
      </c>
      <c r="BA351" s="21">
        <f>IF(OR(tblsales[[#This Row],[Invoice Value USD]]="",tblsales[[#This Row],[Collected Amount USD]]=""),"",tblsales[[#This Row],[Invoice Value USD]]-tblsales[[#This Row],[Collected Amount USD]])</f>
        <v>1307436.1500000004</v>
      </c>
      <c r="BB351" s="21">
        <f>IF(OR(tblsales[[#This Row],[Contract Value USD]]="",tblsales[[#This Row],[Cost Estimate USD]]=""),"",tblsales[[#This Row],[Contract Value USD]]-tblsales[[#This Row],[Cost Estimate USD]])</f>
        <v>8282864.4400000013</v>
      </c>
      <c r="BC351" s="21">
        <f>IF(OR(tblsales[[#This Row],[Contract Value USD]]="",tblsales[[#This Row],[Cost Estimate USD]]=""),"",tblsales[[#This Row],[Contract Value USD]]-tblsales[[#This Row],[Cost Estimate USD]])</f>
        <v>8282864.4400000013</v>
      </c>
      <c r="BD351" s="23">
        <f>IF(tblsales[[#This Row],[Invoice Value USD]]="","",tblsales[[#This Row],[Collected Amount USD]]/tblsales[[#This Row],[Invoice Value USD]])</f>
        <v>0.91253328829522096</v>
      </c>
      <c r="BE351" s="11">
        <f>IF(tblsales[[#This Row],[SalesStage]]="Won",1,0)</f>
        <v>0</v>
      </c>
      <c r="BF351" s="21" t="str">
        <f>IF(tblsales[[#This Row],[Win Flag]]=1,"Won","Lost")</f>
        <v>Lost</v>
      </c>
      <c r="BG351" s="8"/>
    </row>
    <row r="352" spans="1:59" x14ac:dyDescent="0.3">
      <c r="A352" s="10" t="s">
        <v>5785</v>
      </c>
      <c r="B352" s="9">
        <v>46018</v>
      </c>
      <c r="C352" s="10" t="s">
        <v>237</v>
      </c>
      <c r="D352" s="10" t="s">
        <v>245</v>
      </c>
      <c r="E352" s="10" t="s">
        <v>113</v>
      </c>
      <c r="F352" s="10" t="s">
        <v>181</v>
      </c>
      <c r="G352" s="10" t="s">
        <v>80</v>
      </c>
      <c r="H352" s="10" t="s">
        <v>236</v>
      </c>
      <c r="I352" s="10" t="s">
        <v>191</v>
      </c>
      <c r="J352" s="10" t="s">
        <v>123</v>
      </c>
      <c r="K352" s="10" t="s">
        <v>333</v>
      </c>
      <c r="L352" s="10" t="s">
        <v>3845</v>
      </c>
      <c r="M352" s="9">
        <v>45911</v>
      </c>
      <c r="N352" s="9"/>
      <c r="O352" s="9"/>
      <c r="P352" s="11">
        <v>47</v>
      </c>
      <c r="Q352" s="12">
        <v>18461086</v>
      </c>
      <c r="R352">
        <v>5071260.3241999997</v>
      </c>
      <c r="S352" s="22">
        <v>0.04</v>
      </c>
      <c r="T352" s="22">
        <v>0</v>
      </c>
      <c r="U352" s="12">
        <v>17722642.559999999</v>
      </c>
      <c r="V352" s="24">
        <v>4868409.9112319993</v>
      </c>
      <c r="W352" s="8">
        <v>11771299.029999999</v>
      </c>
      <c r="X352" s="24">
        <v>3233575.843541</v>
      </c>
      <c r="Y352" s="22">
        <v>0.09</v>
      </c>
      <c r="Z352" s="22">
        <v>0.17</v>
      </c>
      <c r="AA352" s="8" t="s">
        <v>3846</v>
      </c>
      <c r="AB352" s="8">
        <v>4964363.92</v>
      </c>
      <c r="AC352" s="24">
        <v>1363710.7688239999</v>
      </c>
      <c r="AD352" s="8">
        <v>5452184.7000000002</v>
      </c>
      <c r="AE352" s="24">
        <v>1497715.1370900001</v>
      </c>
      <c r="AF352" s="8">
        <v>45</v>
      </c>
      <c r="AG352" s="8">
        <v>142</v>
      </c>
      <c r="AH352" s="8" t="s">
        <v>347</v>
      </c>
      <c r="AI352" s="8" t="s">
        <v>406</v>
      </c>
      <c r="AJ352" s="22">
        <v>0.65</v>
      </c>
      <c r="AK352" s="8" t="s">
        <v>155</v>
      </c>
      <c r="AL352" s="22">
        <v>0.05</v>
      </c>
      <c r="AM352" s="22">
        <v>7.0000000000000007E-2</v>
      </c>
      <c r="AN352" s="8">
        <v>9</v>
      </c>
      <c r="AO352" s="8">
        <v>3135</v>
      </c>
      <c r="AP352" s="8">
        <v>2290207.8199999998</v>
      </c>
      <c r="AQ352" s="24">
        <v>629120.088154</v>
      </c>
      <c r="AR352" s="8">
        <v>4603323.8</v>
      </c>
      <c r="AS352" s="37">
        <v>1264533.04786</v>
      </c>
      <c r="AT352" s="8" t="s">
        <v>73</v>
      </c>
      <c r="AU352" s="8" t="s">
        <v>321</v>
      </c>
      <c r="AV352" s="8"/>
      <c r="AW352" s="8">
        <v>24</v>
      </c>
      <c r="AX352" s="8" t="s">
        <v>323</v>
      </c>
      <c r="AY352" s="8" t="s">
        <v>224</v>
      </c>
      <c r="AZ352" s="8" t="s">
        <v>332</v>
      </c>
      <c r="BA352" s="21">
        <f>IF(OR(tblsales[[#This Row],[Invoice Value USD]]="",tblsales[[#This Row],[Collected Amount USD]]=""),"",tblsales[[#This Row],[Invoice Value USD]]-tblsales[[#This Row],[Collected Amount USD]])</f>
        <v>-134004.36826600018</v>
      </c>
      <c r="BB352" s="21">
        <f>IF(OR(tblsales[[#This Row],[Contract Value USD]]="",tblsales[[#This Row],[Cost Estimate USD]]=""),"",tblsales[[#This Row],[Contract Value USD]]-tblsales[[#This Row],[Cost Estimate USD]])</f>
        <v>1634834.0676909992</v>
      </c>
      <c r="BC352" s="21">
        <f>IF(OR(tblsales[[#This Row],[Contract Value USD]]="",tblsales[[#This Row],[Cost Estimate USD]]=""),"",tblsales[[#This Row],[Contract Value USD]]-tblsales[[#This Row],[Cost Estimate USD]])</f>
        <v>1634834.0676909992</v>
      </c>
      <c r="BD352" s="23">
        <f>IF(tblsales[[#This Row],[Invoice Value USD]]="","",tblsales[[#This Row],[Collected Amount USD]]/tblsales[[#This Row],[Invoice Value USD]])</f>
        <v>1.098264508376332</v>
      </c>
      <c r="BE352" s="11">
        <f>IF(tblsales[[#This Row],[SalesStage]]="Won",1,0)</f>
        <v>0</v>
      </c>
      <c r="BF352" s="21" t="str">
        <f>IF(tblsales[[#This Row],[Win Flag]]=1,"Won","Lost")</f>
        <v>Lost</v>
      </c>
      <c r="BG352" s="8"/>
    </row>
    <row r="353" spans="1:59" x14ac:dyDescent="0.3">
      <c r="A353" s="10" t="s">
        <v>5786</v>
      </c>
      <c r="B353" s="9">
        <v>45858</v>
      </c>
      <c r="C353" s="10" t="s">
        <v>211</v>
      </c>
      <c r="D353" s="10" t="s">
        <v>242</v>
      </c>
      <c r="E353" s="10" t="s">
        <v>36</v>
      </c>
      <c r="F353" s="10" t="s">
        <v>339</v>
      </c>
      <c r="G353" s="10" t="s">
        <v>66</v>
      </c>
      <c r="H353" s="10" t="s">
        <v>216</v>
      </c>
      <c r="I353" s="10" t="s">
        <v>191</v>
      </c>
      <c r="J353" s="10" t="s">
        <v>115</v>
      </c>
      <c r="K353" s="10" t="s">
        <v>221</v>
      </c>
      <c r="L353" s="10" t="s">
        <v>3847</v>
      </c>
      <c r="M353" s="9">
        <v>45693</v>
      </c>
      <c r="N353" s="9">
        <v>45786</v>
      </c>
      <c r="O353" s="9">
        <v>45941</v>
      </c>
      <c r="P353" s="11">
        <v>14</v>
      </c>
      <c r="Q353" s="12">
        <v>27990087</v>
      </c>
      <c r="R353">
        <v>7621700.6900999993</v>
      </c>
      <c r="S353" s="22">
        <v>0.26</v>
      </c>
      <c r="T353" s="22">
        <v>-0.03</v>
      </c>
      <c r="U353" s="12">
        <v>20091284.449999999</v>
      </c>
      <c r="V353" s="24">
        <v>5470856.7557349997</v>
      </c>
      <c r="W353" s="8">
        <v>16902385.59</v>
      </c>
      <c r="X353" s="24">
        <v>4602519.5961569995</v>
      </c>
      <c r="Y353" s="22">
        <v>0.35</v>
      </c>
      <c r="Z353" s="22">
        <v>0.16</v>
      </c>
      <c r="AA353" s="8" t="s">
        <v>3851</v>
      </c>
      <c r="AB353" s="8">
        <v>7159174.0899999999</v>
      </c>
      <c r="AC353" s="24">
        <v>1949443.1047069998</v>
      </c>
      <c r="AD353" s="8">
        <v>4491781.28</v>
      </c>
      <c r="AE353" s="24">
        <v>1223112.0425440001</v>
      </c>
      <c r="AF353" s="8">
        <v>120</v>
      </c>
      <c r="AG353" s="8">
        <v>150</v>
      </c>
      <c r="AH353" s="8" t="s">
        <v>329</v>
      </c>
      <c r="AI353" s="8" t="s">
        <v>336</v>
      </c>
      <c r="AJ353" s="22">
        <v>0.08</v>
      </c>
      <c r="AK353" s="8" t="s">
        <v>153</v>
      </c>
      <c r="AL353" s="22">
        <v>0.1</v>
      </c>
      <c r="AM353" s="22">
        <v>0.05</v>
      </c>
      <c r="AN353" s="8">
        <v>10</v>
      </c>
      <c r="AO353" s="8">
        <v>570</v>
      </c>
      <c r="AP353" s="8">
        <v>430885.59</v>
      </c>
      <c r="AQ353" s="24">
        <v>117330.146157</v>
      </c>
      <c r="AR353" s="8">
        <v>3977097.14</v>
      </c>
      <c r="AS353" s="37">
        <v>1082963.551222</v>
      </c>
      <c r="AT353" s="8" t="s">
        <v>73</v>
      </c>
      <c r="AU353" s="8" t="s">
        <v>386</v>
      </c>
      <c r="AV353" s="8">
        <v>89.6</v>
      </c>
      <c r="AW353" s="8"/>
      <c r="AX353" s="8" t="s">
        <v>337</v>
      </c>
      <c r="AY353" s="8" t="s">
        <v>186</v>
      </c>
      <c r="AZ353" s="8" t="s">
        <v>332</v>
      </c>
      <c r="BA353" s="21">
        <f>IF(OR(tblsales[[#This Row],[Invoice Value USD]]="",tblsales[[#This Row],[Collected Amount USD]]=""),"",tblsales[[#This Row],[Invoice Value USD]]-tblsales[[#This Row],[Collected Amount USD]])</f>
        <v>726331.06216299976</v>
      </c>
      <c r="BB353" s="21">
        <f>IF(OR(tblsales[[#This Row],[Contract Value USD]]="",tblsales[[#This Row],[Cost Estimate USD]]=""),"",tblsales[[#This Row],[Contract Value USD]]-tblsales[[#This Row],[Cost Estimate USD]])</f>
        <v>868337.1595780002</v>
      </c>
      <c r="BC353" s="21">
        <f>IF(OR(tblsales[[#This Row],[Contract Value USD]]="",tblsales[[#This Row],[Cost Estimate USD]]=""),"",tblsales[[#This Row],[Contract Value USD]]-tblsales[[#This Row],[Cost Estimate USD]])</f>
        <v>868337.1595780002</v>
      </c>
      <c r="BD353" s="23">
        <f>IF(tblsales[[#This Row],[Invoice Value USD]]="","",tblsales[[#This Row],[Collected Amount USD]]/tblsales[[#This Row],[Invoice Value USD]])</f>
        <v>0.62741612699070437</v>
      </c>
      <c r="BE353" s="11">
        <f>IF(tblsales[[#This Row],[SalesStage]]="Won",1,0)</f>
        <v>0</v>
      </c>
      <c r="BF353" s="21" t="str">
        <f>IF(tblsales[[#This Row],[Win Flag]]=1,"Won","Lost")</f>
        <v>Lost</v>
      </c>
      <c r="BG353" s="8"/>
    </row>
    <row r="354" spans="1:59" x14ac:dyDescent="0.3">
      <c r="A354" s="10" t="s">
        <v>1377</v>
      </c>
      <c r="B354" s="9">
        <v>45731</v>
      </c>
      <c r="C354" s="10" t="s">
        <v>278</v>
      </c>
      <c r="D354" s="10" t="s">
        <v>332</v>
      </c>
      <c r="E354" s="10" t="s">
        <v>36</v>
      </c>
      <c r="F354" s="10" t="s">
        <v>19</v>
      </c>
      <c r="G354" s="10" t="s">
        <v>70</v>
      </c>
      <c r="H354" s="10" t="s">
        <v>212</v>
      </c>
      <c r="I354" s="10" t="s">
        <v>246</v>
      </c>
      <c r="J354" s="10" t="s">
        <v>115</v>
      </c>
      <c r="K354" s="10" t="s">
        <v>333</v>
      </c>
      <c r="L354" s="10" t="s">
        <v>1378</v>
      </c>
      <c r="M354" s="9">
        <v>45992</v>
      </c>
      <c r="N354" s="9">
        <v>45769</v>
      </c>
      <c r="O354" s="9">
        <v>45764</v>
      </c>
      <c r="P354" s="11">
        <v>25</v>
      </c>
      <c r="Q354" s="12">
        <v>6430586</v>
      </c>
      <c r="R354">
        <v>7465910.3459999999</v>
      </c>
      <c r="S354" s="22">
        <v>0.23</v>
      </c>
      <c r="T354" s="22">
        <v>-0.05</v>
      </c>
      <c r="U354" s="12">
        <v>4703973.66</v>
      </c>
      <c r="V354" s="24">
        <v>5461313.4192599999</v>
      </c>
      <c r="W354" s="8">
        <v>3329129.58</v>
      </c>
      <c r="X354" s="24">
        <v>3865119.4423800004</v>
      </c>
      <c r="Y354" s="22">
        <v>0.09</v>
      </c>
      <c r="Z354" s="22">
        <v>0.06</v>
      </c>
      <c r="AA354" s="8" t="s">
        <v>1379</v>
      </c>
      <c r="AB354" s="8">
        <v>1603928.18</v>
      </c>
      <c r="AC354" s="24">
        <v>1862160.6169799999</v>
      </c>
      <c r="AD354" s="8">
        <v>756635.58</v>
      </c>
      <c r="AE354" s="24">
        <v>878453.90837999992</v>
      </c>
      <c r="AF354" s="8">
        <v>120</v>
      </c>
      <c r="AG354" s="8">
        <v>70</v>
      </c>
      <c r="AH354" s="8" t="s">
        <v>376</v>
      </c>
      <c r="AI354" s="8" t="s">
        <v>226</v>
      </c>
      <c r="AJ354" s="22">
        <v>0.76</v>
      </c>
      <c r="AK354" s="8" t="s">
        <v>159</v>
      </c>
      <c r="AL354" s="22">
        <v>0.05</v>
      </c>
      <c r="AM354" s="22">
        <v>0.1</v>
      </c>
      <c r="AN354" s="8">
        <v>0</v>
      </c>
      <c r="AO354" s="8">
        <v>754</v>
      </c>
      <c r="AP354" s="8">
        <v>559158.63</v>
      </c>
      <c r="AQ354" s="24">
        <v>649183.16943000001</v>
      </c>
      <c r="AR354" s="8">
        <v>2339507.61</v>
      </c>
      <c r="AS354" s="37">
        <v>2716168.3352099997</v>
      </c>
      <c r="AT354" s="8" t="s">
        <v>73</v>
      </c>
      <c r="AU354" s="8" t="s">
        <v>321</v>
      </c>
      <c r="AV354" s="8">
        <v>83.4</v>
      </c>
      <c r="AW354" s="8">
        <v>60</v>
      </c>
      <c r="AX354" s="8" t="s">
        <v>387</v>
      </c>
      <c r="AY354" s="8" t="s">
        <v>206</v>
      </c>
      <c r="AZ354" s="8" t="s">
        <v>324</v>
      </c>
      <c r="BA354" s="21">
        <f>IF(OR(tblsales[[#This Row],[Invoice Value USD]]="",tblsales[[#This Row],[Collected Amount USD]]=""),"",tblsales[[#This Row],[Invoice Value USD]]-tblsales[[#This Row],[Collected Amount USD]])</f>
        <v>983706.70860000001</v>
      </c>
      <c r="BB354" s="21">
        <f>IF(OR(tblsales[[#This Row],[Contract Value USD]]="",tblsales[[#This Row],[Cost Estimate USD]]=""),"",tblsales[[#This Row],[Contract Value USD]]-tblsales[[#This Row],[Cost Estimate USD]])</f>
        <v>1596193.9768799995</v>
      </c>
      <c r="BC354" s="21">
        <f>IF(OR(tblsales[[#This Row],[Contract Value USD]]="",tblsales[[#This Row],[Cost Estimate USD]]=""),"",tblsales[[#This Row],[Contract Value USD]]-tblsales[[#This Row],[Cost Estimate USD]])</f>
        <v>1596193.9768799995</v>
      </c>
      <c r="BD354" s="23">
        <f>IF(tblsales[[#This Row],[Invoice Value USD]]="","",tblsales[[#This Row],[Collected Amount USD]]/tblsales[[#This Row],[Invoice Value USD]])</f>
        <v>0.47173906502471946</v>
      </c>
      <c r="BE354" s="11">
        <f>IF(tblsales[[#This Row],[SalesStage]]="Won",1,0)</f>
        <v>0</v>
      </c>
      <c r="BF354" s="21" t="str">
        <f>IF(tblsales[[#This Row],[Win Flag]]=1,"Won","Lost")</f>
        <v>Lost</v>
      </c>
      <c r="BG354" s="8"/>
    </row>
    <row r="355" spans="1:59" x14ac:dyDescent="0.3">
      <c r="A355" s="10" t="s">
        <v>1380</v>
      </c>
      <c r="B355" s="9">
        <v>46003</v>
      </c>
      <c r="C355" s="10" t="s">
        <v>219</v>
      </c>
      <c r="D355" s="10" t="s">
        <v>394</v>
      </c>
      <c r="E355" s="10" t="s">
        <v>20</v>
      </c>
      <c r="F355" s="10" t="s">
        <v>196</v>
      </c>
      <c r="G355" s="10" t="s">
        <v>57</v>
      </c>
      <c r="H355" s="10" t="s">
        <v>263</v>
      </c>
      <c r="I355" s="10" t="s">
        <v>191</v>
      </c>
      <c r="J355" s="10" t="s">
        <v>136</v>
      </c>
      <c r="K355" s="10" t="s">
        <v>221</v>
      </c>
      <c r="L355" s="10" t="s">
        <v>1381</v>
      </c>
      <c r="M355" s="9">
        <v>45943</v>
      </c>
      <c r="N355" s="9">
        <v>46053</v>
      </c>
      <c r="O355" s="9">
        <v>46068</v>
      </c>
      <c r="P355" s="11">
        <v>20</v>
      </c>
      <c r="Q355" s="12">
        <v>28473032</v>
      </c>
      <c r="R355">
        <v>28473032</v>
      </c>
      <c r="S355" s="22">
        <v>0.05</v>
      </c>
      <c r="T355" s="22">
        <v>7.0000000000000007E-2</v>
      </c>
      <c r="U355" s="12">
        <v>28942837.030000001</v>
      </c>
      <c r="V355" s="24">
        <v>28942837.030000001</v>
      </c>
      <c r="W355" s="8">
        <v>25619480.93</v>
      </c>
      <c r="X355" s="24">
        <v>25619480.93</v>
      </c>
      <c r="Y355" s="22">
        <v>0.09</v>
      </c>
      <c r="Z355" s="22">
        <v>0.14000000000000001</v>
      </c>
      <c r="AA355" s="8" t="s">
        <v>1382</v>
      </c>
      <c r="AB355" s="8">
        <v>26027082.920000002</v>
      </c>
      <c r="AC355" s="24">
        <v>26027082.920000002</v>
      </c>
      <c r="AD355" s="8">
        <v>26711170.48</v>
      </c>
      <c r="AE355" s="24">
        <v>26711170.48</v>
      </c>
      <c r="AF355" s="8">
        <v>120</v>
      </c>
      <c r="AG355" s="8">
        <v>135</v>
      </c>
      <c r="AH355" s="8" t="s">
        <v>347</v>
      </c>
      <c r="AI355" s="8" t="s">
        <v>455</v>
      </c>
      <c r="AJ355" s="22">
        <v>0.3</v>
      </c>
      <c r="AK355" s="8" t="s">
        <v>152</v>
      </c>
      <c r="AL355" s="22">
        <v>0.1</v>
      </c>
      <c r="AM355" s="22">
        <v>0.03</v>
      </c>
      <c r="AN355" s="8">
        <v>7</v>
      </c>
      <c r="AO355" s="8">
        <v>1387</v>
      </c>
      <c r="AP355" s="8"/>
      <c r="AQ355" s="24"/>
      <c r="AR355" s="8">
        <v>11501655.539999999</v>
      </c>
      <c r="AS355" s="37">
        <v>11501655.539999999</v>
      </c>
      <c r="AT355" s="8" t="s">
        <v>385</v>
      </c>
      <c r="AU355" s="8" t="s">
        <v>348</v>
      </c>
      <c r="AV355" s="8">
        <v>63.7</v>
      </c>
      <c r="AW355" s="8">
        <v>24</v>
      </c>
      <c r="AX355" s="8" t="s">
        <v>323</v>
      </c>
      <c r="AY355" s="8" t="s">
        <v>192</v>
      </c>
      <c r="AZ355" s="8" t="s">
        <v>357</v>
      </c>
      <c r="BA355" s="21">
        <f>IF(OR(tblsales[[#This Row],[Invoice Value USD]]="",tblsales[[#This Row],[Collected Amount USD]]=""),"",tblsales[[#This Row],[Invoice Value USD]]-tblsales[[#This Row],[Collected Amount USD]])</f>
        <v>-684087.55999999866</v>
      </c>
      <c r="BB355" s="21">
        <f>IF(OR(tblsales[[#This Row],[Contract Value USD]]="",tblsales[[#This Row],[Cost Estimate USD]]=""),"",tblsales[[#This Row],[Contract Value USD]]-tblsales[[#This Row],[Cost Estimate USD]])</f>
        <v>3323356.1000000015</v>
      </c>
      <c r="BC355" s="21">
        <f>IF(OR(tblsales[[#This Row],[Contract Value USD]]="",tblsales[[#This Row],[Cost Estimate USD]]=""),"",tblsales[[#This Row],[Contract Value USD]]-tblsales[[#This Row],[Cost Estimate USD]])</f>
        <v>3323356.1000000015</v>
      </c>
      <c r="BD355" s="23">
        <f>IF(tblsales[[#This Row],[Invoice Value USD]]="","",tblsales[[#This Row],[Collected Amount USD]]/tblsales[[#This Row],[Invoice Value USD]])</f>
        <v>1.0262836815828609</v>
      </c>
      <c r="BE355" s="11">
        <f>IF(tblsales[[#This Row],[SalesStage]]="Won",1,0)</f>
        <v>0</v>
      </c>
      <c r="BF355" s="21" t="str">
        <f>IF(tblsales[[#This Row],[Win Flag]]=1,"Won","Lost")</f>
        <v>Lost</v>
      </c>
      <c r="BG355" s="8"/>
    </row>
    <row r="356" spans="1:59" x14ac:dyDescent="0.3">
      <c r="A356" s="10" t="s">
        <v>1383</v>
      </c>
      <c r="B356" s="9">
        <v>45668</v>
      </c>
      <c r="C356" s="10" t="s">
        <v>189</v>
      </c>
      <c r="D356" s="10" t="s">
        <v>265</v>
      </c>
      <c r="E356" s="10" t="s">
        <v>20</v>
      </c>
      <c r="F356" s="10" t="s">
        <v>35</v>
      </c>
      <c r="G356" s="10" t="s">
        <v>73</v>
      </c>
      <c r="H356" s="10" t="s">
        <v>332</v>
      </c>
      <c r="I356" s="10" t="s">
        <v>191</v>
      </c>
      <c r="J356" s="10" t="s">
        <v>136</v>
      </c>
      <c r="K356" s="10" t="s">
        <v>204</v>
      </c>
      <c r="L356" s="10" t="s">
        <v>1384</v>
      </c>
      <c r="M356" s="9">
        <v>45334</v>
      </c>
      <c r="N356" s="9" t="s">
        <v>1385</v>
      </c>
      <c r="O356" s="9">
        <v>45772</v>
      </c>
      <c r="P356" s="11">
        <v>42</v>
      </c>
      <c r="Q356" s="12">
        <v>1419616</v>
      </c>
      <c r="R356">
        <v>1419616</v>
      </c>
      <c r="S356" s="22">
        <v>0.2</v>
      </c>
      <c r="T356" s="22">
        <v>0.04</v>
      </c>
      <c r="U356" s="12">
        <v>1181120.51</v>
      </c>
      <c r="V356" s="24">
        <v>1181120.51</v>
      </c>
      <c r="W356" s="8"/>
      <c r="X356" s="24"/>
      <c r="Y356" s="22"/>
      <c r="Z356" s="22">
        <v>0.17</v>
      </c>
      <c r="AA356" s="8" t="s">
        <v>1386</v>
      </c>
      <c r="AB356" s="8">
        <v>855470.85</v>
      </c>
      <c r="AC356" s="24">
        <v>855470.85</v>
      </c>
      <c r="AD356" s="8">
        <v>765664.7</v>
      </c>
      <c r="AE356" s="24">
        <v>765664.7</v>
      </c>
      <c r="AF356" s="8">
        <v>90</v>
      </c>
      <c r="AG356" s="8">
        <v>117</v>
      </c>
      <c r="AH356" s="8" t="s">
        <v>376</v>
      </c>
      <c r="AI356" s="8" t="s">
        <v>455</v>
      </c>
      <c r="AJ356" s="22">
        <v>0.27</v>
      </c>
      <c r="AK356" s="8" t="s">
        <v>152</v>
      </c>
      <c r="AL356" s="22">
        <v>0.05</v>
      </c>
      <c r="AM356" s="22">
        <v>7.0000000000000007E-2</v>
      </c>
      <c r="AN356" s="8">
        <v>0</v>
      </c>
      <c r="AO356" s="8">
        <v>2123</v>
      </c>
      <c r="AP356" s="8">
        <v>34659.99</v>
      </c>
      <c r="AQ356" s="24">
        <v>34659.99</v>
      </c>
      <c r="AR356" s="8"/>
      <c r="AS356" s="37"/>
      <c r="AT356" s="8" t="s">
        <v>391</v>
      </c>
      <c r="AU356" s="8" t="s">
        <v>386</v>
      </c>
      <c r="AV356" s="8">
        <v>99.4</v>
      </c>
      <c r="AW356" s="8">
        <v>60</v>
      </c>
      <c r="AX356" s="8" t="s">
        <v>392</v>
      </c>
      <c r="AY356" s="8" t="s">
        <v>224</v>
      </c>
      <c r="AZ356" s="8" t="s">
        <v>377</v>
      </c>
      <c r="BA356" s="21">
        <f>IF(OR(tblsales[[#This Row],[Invoice Value USD]]="",tblsales[[#This Row],[Collected Amount USD]]=""),"",tblsales[[#This Row],[Invoice Value USD]]-tblsales[[#This Row],[Collected Amount USD]])</f>
        <v>89806.150000000023</v>
      </c>
      <c r="BB356" s="21" t="str">
        <f>IF(OR(tblsales[[#This Row],[Contract Value USD]]="",tblsales[[#This Row],[Cost Estimate USD]]=""),"",tblsales[[#This Row],[Contract Value USD]]-tblsales[[#This Row],[Cost Estimate USD]])</f>
        <v/>
      </c>
      <c r="BC356" s="21" t="str">
        <f>IF(OR(tblsales[[#This Row],[Contract Value USD]]="",tblsales[[#This Row],[Cost Estimate USD]]=""),"",tblsales[[#This Row],[Contract Value USD]]-tblsales[[#This Row],[Cost Estimate USD]])</f>
        <v/>
      </c>
      <c r="BD356" s="23">
        <f>IF(tblsales[[#This Row],[Invoice Value USD]]="","",tblsales[[#This Row],[Collected Amount USD]]/tblsales[[#This Row],[Invoice Value USD]])</f>
        <v>0.89502137916213043</v>
      </c>
      <c r="BE356" s="11">
        <f>IF(tblsales[[#This Row],[SalesStage]]="Won",1,0)</f>
        <v>0</v>
      </c>
      <c r="BF356" s="21" t="str">
        <f>IF(tblsales[[#This Row],[Win Flag]]=1,"Won","Lost")</f>
        <v>Lost</v>
      </c>
      <c r="BG356" s="8"/>
    </row>
    <row r="357" spans="1:59" x14ac:dyDescent="0.3">
      <c r="A357" s="10" t="s">
        <v>1387</v>
      </c>
      <c r="B357" s="9">
        <v>45886</v>
      </c>
      <c r="C357" s="10" t="s">
        <v>208</v>
      </c>
      <c r="D357" s="10" t="s">
        <v>265</v>
      </c>
      <c r="E357" s="10" t="s">
        <v>332</v>
      </c>
      <c r="F357" s="10" t="s">
        <v>363</v>
      </c>
      <c r="G357" s="10" t="s">
        <v>73</v>
      </c>
      <c r="H357" s="10" t="s">
        <v>212</v>
      </c>
      <c r="I357" s="10" t="s">
        <v>191</v>
      </c>
      <c r="J357" s="10" t="s">
        <v>130</v>
      </c>
      <c r="K357" s="10" t="s">
        <v>223</v>
      </c>
      <c r="L357" s="10" t="s">
        <v>1388</v>
      </c>
      <c r="M357" s="9">
        <v>45828</v>
      </c>
      <c r="N357" s="9"/>
      <c r="O357" s="9">
        <v>45950</v>
      </c>
      <c r="P357" s="11">
        <v>12</v>
      </c>
      <c r="Q357" s="12">
        <v>5735268</v>
      </c>
      <c r="R357">
        <v>1561713.4763999998</v>
      </c>
      <c r="S357" s="22">
        <v>0.33</v>
      </c>
      <c r="T357" s="22">
        <v>0.08</v>
      </c>
      <c r="U357" s="12">
        <v>4150039.92</v>
      </c>
      <c r="V357" s="24">
        <v>1130055.8702159999</v>
      </c>
      <c r="W357" s="8">
        <v>2608910.81</v>
      </c>
      <c r="X357" s="24">
        <v>710406.41356299992</v>
      </c>
      <c r="Y357" s="22">
        <v>0.14000000000000001</v>
      </c>
      <c r="Z357" s="22">
        <v>0.15</v>
      </c>
      <c r="AA357" s="8" t="s">
        <v>1389</v>
      </c>
      <c r="AB357" s="8">
        <v>507917.24</v>
      </c>
      <c r="AC357" s="24">
        <v>138305.86445199998</v>
      </c>
      <c r="AD357" s="8">
        <v>189947.61</v>
      </c>
      <c r="AE357" s="24">
        <v>51722.734202999993</v>
      </c>
      <c r="AF357" s="8">
        <v>120</v>
      </c>
      <c r="AG357" s="8">
        <v>143</v>
      </c>
      <c r="AH357" s="8" t="s">
        <v>342</v>
      </c>
      <c r="AI357" s="8" t="s">
        <v>354</v>
      </c>
      <c r="AJ357" s="22">
        <v>0.66</v>
      </c>
      <c r="AK357" s="8" t="s">
        <v>153</v>
      </c>
      <c r="AL357" s="22">
        <v>0.15</v>
      </c>
      <c r="AM357" s="22">
        <v>0.03</v>
      </c>
      <c r="AN357" s="8">
        <v>4</v>
      </c>
      <c r="AO357" s="8">
        <v>1138</v>
      </c>
      <c r="AP357" s="8">
        <v>572987.52</v>
      </c>
      <c r="AQ357" s="24">
        <v>156024.50169599999</v>
      </c>
      <c r="AR357" s="8">
        <v>1688332.38</v>
      </c>
      <c r="AS357" s="37">
        <v>459732.90707399993</v>
      </c>
      <c r="AT357" s="8" t="s">
        <v>385</v>
      </c>
      <c r="AU357" s="8" t="s">
        <v>321</v>
      </c>
      <c r="AV357" s="8">
        <v>85.3</v>
      </c>
      <c r="AW357" s="8">
        <v>24</v>
      </c>
      <c r="AX357" s="8" t="s">
        <v>337</v>
      </c>
      <c r="AY357" s="8" t="s">
        <v>186</v>
      </c>
      <c r="AZ357" s="8" t="s">
        <v>324</v>
      </c>
      <c r="BA357" s="21">
        <f>IF(OR(tblsales[[#This Row],[Invoice Value USD]]="",tblsales[[#This Row],[Collected Amount USD]]=""),"",tblsales[[#This Row],[Invoice Value USD]]-tblsales[[#This Row],[Collected Amount USD]])</f>
        <v>86583.13024899998</v>
      </c>
      <c r="BB357" s="21">
        <f>IF(OR(tblsales[[#This Row],[Contract Value USD]]="",tblsales[[#This Row],[Cost Estimate USD]]=""),"",tblsales[[#This Row],[Contract Value USD]]-tblsales[[#This Row],[Cost Estimate USD]])</f>
        <v>419649.45665299997</v>
      </c>
      <c r="BC357" s="21">
        <f>IF(OR(tblsales[[#This Row],[Contract Value USD]]="",tblsales[[#This Row],[Cost Estimate USD]]=""),"",tblsales[[#This Row],[Contract Value USD]]-tblsales[[#This Row],[Cost Estimate USD]])</f>
        <v>419649.45665299997</v>
      </c>
      <c r="BD357" s="23">
        <f>IF(tblsales[[#This Row],[Invoice Value USD]]="","",tblsales[[#This Row],[Collected Amount USD]]/tblsales[[#This Row],[Invoice Value USD]])</f>
        <v>0.37397354340640221</v>
      </c>
      <c r="BE357" s="11">
        <f>IF(tblsales[[#This Row],[SalesStage]]="Won",1,0)</f>
        <v>0</v>
      </c>
      <c r="BF357" s="21" t="str">
        <f>IF(tblsales[[#This Row],[Win Flag]]=1,"Won","Lost")</f>
        <v>Lost</v>
      </c>
      <c r="BG357" s="8"/>
    </row>
    <row r="358" spans="1:59" x14ac:dyDescent="0.3">
      <c r="A358" s="10" t="s">
        <v>1390</v>
      </c>
      <c r="B358" s="9">
        <v>46010</v>
      </c>
      <c r="C358" s="10" t="s">
        <v>269</v>
      </c>
      <c r="D358" s="10" t="s">
        <v>281</v>
      </c>
      <c r="E358" s="10" t="s">
        <v>20</v>
      </c>
      <c r="F358" s="10" t="s">
        <v>196</v>
      </c>
      <c r="G358" s="10" t="s">
        <v>332</v>
      </c>
      <c r="H358" s="10" t="s">
        <v>263</v>
      </c>
      <c r="I358" s="10" t="s">
        <v>191</v>
      </c>
      <c r="J358" s="10" t="s">
        <v>136</v>
      </c>
      <c r="K358" s="10" t="s">
        <v>204</v>
      </c>
      <c r="L358" s="10" t="s">
        <v>1391</v>
      </c>
      <c r="M358" s="9">
        <v>45920</v>
      </c>
      <c r="N358" s="9">
        <v>46011</v>
      </c>
      <c r="O358" s="9">
        <v>46268</v>
      </c>
      <c r="P358" s="11">
        <v>6</v>
      </c>
      <c r="Q358" s="12">
        <v>21994386</v>
      </c>
      <c r="R358">
        <v>5989071.3077999996</v>
      </c>
      <c r="S358" s="22">
        <v>0.32</v>
      </c>
      <c r="T358" s="22">
        <v>7.0000000000000007E-2</v>
      </c>
      <c r="U358" s="12">
        <v>16003115.25</v>
      </c>
      <c r="V358" s="24">
        <v>4357648.2825750001</v>
      </c>
      <c r="W358" s="8">
        <v>10431917.33</v>
      </c>
      <c r="X358" s="24">
        <v>2840611.0889590001</v>
      </c>
      <c r="Y358" s="22">
        <v>0.2</v>
      </c>
      <c r="Z358" s="22">
        <v>0.05</v>
      </c>
      <c r="AA358" s="8" t="s">
        <v>1392</v>
      </c>
      <c r="AB358" s="8">
        <v>11541740.09</v>
      </c>
      <c r="AC358" s="24">
        <v>3142815.8265069998</v>
      </c>
      <c r="AD358" s="8">
        <v>6772794.7000000002</v>
      </c>
      <c r="AE358" s="24">
        <v>1844231.9968099999</v>
      </c>
      <c r="AF358" s="8">
        <v>45</v>
      </c>
      <c r="AG358" s="8">
        <v>106</v>
      </c>
      <c r="AH358" s="8" t="s">
        <v>347</v>
      </c>
      <c r="AI358" s="8" t="s">
        <v>320</v>
      </c>
      <c r="AJ358" s="22">
        <v>0.34</v>
      </c>
      <c r="AK358" s="8" t="s">
        <v>153</v>
      </c>
      <c r="AL358" s="22">
        <v>0.05</v>
      </c>
      <c r="AM358" s="22">
        <v>0.04</v>
      </c>
      <c r="AN358" s="8">
        <v>14</v>
      </c>
      <c r="AO358" s="8"/>
      <c r="AP358" s="8">
        <v>3064542.96</v>
      </c>
      <c r="AQ358" s="24">
        <v>834475.0480079999</v>
      </c>
      <c r="AR358" s="8">
        <v>7896636.0300000003</v>
      </c>
      <c r="AS358" s="37">
        <v>2150253.9909689999</v>
      </c>
      <c r="AT358" s="8" t="s">
        <v>321</v>
      </c>
      <c r="AU358" s="8" t="s">
        <v>321</v>
      </c>
      <c r="AV358" s="8">
        <v>62.1</v>
      </c>
      <c r="AW358" s="8">
        <v>48</v>
      </c>
      <c r="AX358" s="8" t="s">
        <v>323</v>
      </c>
      <c r="AY358" s="8" t="s">
        <v>186</v>
      </c>
      <c r="AZ358" s="8" t="s">
        <v>188</v>
      </c>
      <c r="BA358" s="21">
        <f>IF(OR(tblsales[[#This Row],[Invoice Value USD]]="",tblsales[[#This Row],[Collected Amount USD]]=""),"",tblsales[[#This Row],[Invoice Value USD]]-tblsales[[#This Row],[Collected Amount USD]])</f>
        <v>1298583.8296969999</v>
      </c>
      <c r="BB358" s="21">
        <f>IF(OR(tblsales[[#This Row],[Contract Value USD]]="",tblsales[[#This Row],[Cost Estimate USD]]=""),"",tblsales[[#This Row],[Contract Value USD]]-tblsales[[#This Row],[Cost Estimate USD]])</f>
        <v>1517037.193616</v>
      </c>
      <c r="BC358" s="21">
        <f>IF(OR(tblsales[[#This Row],[Contract Value USD]]="",tblsales[[#This Row],[Cost Estimate USD]]=""),"",tblsales[[#This Row],[Contract Value USD]]-tblsales[[#This Row],[Cost Estimate USD]])</f>
        <v>1517037.193616</v>
      </c>
      <c r="BD358" s="23">
        <f>IF(tblsales[[#This Row],[Invoice Value USD]]="","",tblsales[[#This Row],[Collected Amount USD]]/tblsales[[#This Row],[Invoice Value USD]])</f>
        <v>0.58680880414800607</v>
      </c>
      <c r="BE358" s="11">
        <f>IF(tblsales[[#This Row],[SalesStage]]="Won",1,0)</f>
        <v>1</v>
      </c>
      <c r="BF358" s="21" t="str">
        <f>IF(tblsales[[#This Row],[Win Flag]]=1,"Won","Lost")</f>
        <v>Won</v>
      </c>
      <c r="BG358" s="8"/>
    </row>
    <row r="359" spans="1:59" x14ac:dyDescent="0.3">
      <c r="A359" s="10" t="s">
        <v>1393</v>
      </c>
      <c r="B359" s="9">
        <v>45663</v>
      </c>
      <c r="C359" s="10" t="s">
        <v>273</v>
      </c>
      <c r="D359" s="10" t="s">
        <v>255</v>
      </c>
      <c r="E359" s="10" t="s">
        <v>52</v>
      </c>
      <c r="F359" s="10" t="s">
        <v>75</v>
      </c>
      <c r="G359" s="10" t="s">
        <v>28</v>
      </c>
      <c r="H359" s="10" t="s">
        <v>182</v>
      </c>
      <c r="I359" s="10" t="s">
        <v>233</v>
      </c>
      <c r="J359" s="10" t="s">
        <v>133</v>
      </c>
      <c r="K359" s="10" t="s">
        <v>221</v>
      </c>
      <c r="L359" s="10" t="s">
        <v>1394</v>
      </c>
      <c r="M359" s="9">
        <v>45614</v>
      </c>
      <c r="N359" s="9">
        <v>45679</v>
      </c>
      <c r="O359" s="9">
        <v>45746</v>
      </c>
      <c r="P359" s="11">
        <v>29</v>
      </c>
      <c r="Q359" s="12">
        <v>33604006</v>
      </c>
      <c r="R359">
        <v>8962188.4002</v>
      </c>
      <c r="S359" s="22">
        <v>0.26</v>
      </c>
      <c r="T359" s="22">
        <v>0.06</v>
      </c>
      <c r="U359" s="12">
        <v>26358982.309999999</v>
      </c>
      <c r="V359" s="24">
        <v>7029940.5820769994</v>
      </c>
      <c r="W359" s="8">
        <v>17105782.030000001</v>
      </c>
      <c r="X359" s="24">
        <v>4562112.0674010003</v>
      </c>
      <c r="Y359" s="22">
        <v>0.09</v>
      </c>
      <c r="Z359" s="22">
        <v>0.15</v>
      </c>
      <c r="AA359" s="8" t="s">
        <v>1395</v>
      </c>
      <c r="AB359" s="8">
        <v>8601910.0500000007</v>
      </c>
      <c r="AC359" s="24">
        <v>2294129.4103350001</v>
      </c>
      <c r="AD359" s="8">
        <v>9157388.9800000004</v>
      </c>
      <c r="AE359" s="24">
        <v>2442275.640966</v>
      </c>
      <c r="AF359" s="8">
        <v>60</v>
      </c>
      <c r="AG359" s="8">
        <v>80</v>
      </c>
      <c r="AH359" s="8" t="s">
        <v>329</v>
      </c>
      <c r="AI359" s="8" t="s">
        <v>226</v>
      </c>
      <c r="AJ359" s="22">
        <v>0.41</v>
      </c>
      <c r="AK359" s="8" t="s">
        <v>162</v>
      </c>
      <c r="AL359" s="22">
        <v>0.05</v>
      </c>
      <c r="AM359" s="22">
        <v>0.1</v>
      </c>
      <c r="AN359" s="8">
        <v>9</v>
      </c>
      <c r="AO359" s="8">
        <v>3436</v>
      </c>
      <c r="AP359" s="8">
        <v>2875980.48</v>
      </c>
      <c r="AQ359" s="24">
        <v>767023.99401599995</v>
      </c>
      <c r="AR359" s="8">
        <v>10003655.27</v>
      </c>
      <c r="AS359" s="37">
        <v>2667974.8605089998</v>
      </c>
      <c r="AT359" s="8" t="s">
        <v>321</v>
      </c>
      <c r="AU359" s="8" t="s">
        <v>332</v>
      </c>
      <c r="AV359" s="8">
        <v>97.6</v>
      </c>
      <c r="AW359" s="8">
        <v>24</v>
      </c>
      <c r="AX359" s="8" t="s">
        <v>332</v>
      </c>
      <c r="AY359" s="8" t="s">
        <v>206</v>
      </c>
      <c r="AZ359" s="8" t="s">
        <v>377</v>
      </c>
      <c r="BA359" s="21">
        <f>IF(OR(tblsales[[#This Row],[Invoice Value USD]]="",tblsales[[#This Row],[Collected Amount USD]]=""),"",tblsales[[#This Row],[Invoice Value USD]]-tblsales[[#This Row],[Collected Amount USD]])</f>
        <v>-148146.2306309999</v>
      </c>
      <c r="BB359" s="21">
        <f>IF(OR(tblsales[[#This Row],[Contract Value USD]]="",tblsales[[#This Row],[Cost Estimate USD]]=""),"",tblsales[[#This Row],[Contract Value USD]]-tblsales[[#This Row],[Cost Estimate USD]])</f>
        <v>2467828.5146759991</v>
      </c>
      <c r="BC359" s="21">
        <f>IF(OR(tblsales[[#This Row],[Contract Value USD]]="",tblsales[[#This Row],[Cost Estimate USD]]=""),"",tblsales[[#This Row],[Contract Value USD]]-tblsales[[#This Row],[Cost Estimate USD]])</f>
        <v>2467828.5146759991</v>
      </c>
      <c r="BD359" s="23">
        <f>IF(tblsales[[#This Row],[Invoice Value USD]]="","",tblsales[[#This Row],[Collected Amount USD]]/tblsales[[#This Row],[Invoice Value USD]])</f>
        <v>1.0645762309500086</v>
      </c>
      <c r="BE359" s="11">
        <f>IF(tblsales[[#This Row],[SalesStage]]="Won",1,0)</f>
        <v>0</v>
      </c>
      <c r="BF359" s="21" t="str">
        <f>IF(tblsales[[#This Row],[Win Flag]]=1,"Won","Lost")</f>
        <v>Lost</v>
      </c>
      <c r="BG359" s="8"/>
    </row>
    <row r="360" spans="1:59" x14ac:dyDescent="0.3">
      <c r="A360" s="10" t="s">
        <v>1396</v>
      </c>
      <c r="B360" s="9">
        <v>45884</v>
      </c>
      <c r="C360" s="10" t="s">
        <v>222</v>
      </c>
      <c r="D360" s="10" t="s">
        <v>232</v>
      </c>
      <c r="E360" s="10" t="s">
        <v>113</v>
      </c>
      <c r="F360" s="10" t="s">
        <v>181</v>
      </c>
      <c r="G360" s="10" t="s">
        <v>332</v>
      </c>
      <c r="H360" s="10" t="s">
        <v>263</v>
      </c>
      <c r="I360" s="10" t="s">
        <v>240</v>
      </c>
      <c r="J360" s="10" t="s">
        <v>111</v>
      </c>
      <c r="K360" s="10" t="s">
        <v>326</v>
      </c>
      <c r="L360" s="10" t="s">
        <v>1397</v>
      </c>
      <c r="M360" s="9">
        <v>45826</v>
      </c>
      <c r="N360" s="9">
        <v>45893</v>
      </c>
      <c r="O360" s="9">
        <v>45759</v>
      </c>
      <c r="P360" s="11">
        <v>41</v>
      </c>
      <c r="Q360" s="12">
        <v>34468250</v>
      </c>
      <c r="R360">
        <v>9385704.4749999996</v>
      </c>
      <c r="S360" s="22">
        <v>0.3</v>
      </c>
      <c r="T360" s="22">
        <v>0.02</v>
      </c>
      <c r="U360" s="12">
        <v>24610330.5</v>
      </c>
      <c r="V360" s="24">
        <v>6701392.9951499999</v>
      </c>
      <c r="W360" s="8">
        <v>17396651.289999999</v>
      </c>
      <c r="X360" s="24">
        <v>4737108.1462669997</v>
      </c>
      <c r="Y360" s="22">
        <v>0.25</v>
      </c>
      <c r="Z360" s="22">
        <v>0.08</v>
      </c>
      <c r="AA360" s="8" t="s">
        <v>1398</v>
      </c>
      <c r="AB360" s="8">
        <v>14274324.34</v>
      </c>
      <c r="AC360" s="24">
        <v>3886898.5177819999</v>
      </c>
      <c r="AD360" s="8">
        <v>9687184.3699999992</v>
      </c>
      <c r="AE360" s="24">
        <v>2637820.3039509999</v>
      </c>
      <c r="AF360" s="8">
        <v>30</v>
      </c>
      <c r="AG360" s="8">
        <v>170</v>
      </c>
      <c r="AH360" s="8" t="s">
        <v>329</v>
      </c>
      <c r="AI360" s="8" t="s">
        <v>406</v>
      </c>
      <c r="AJ360" s="22">
        <v>0.2</v>
      </c>
      <c r="AK360" s="8" t="s">
        <v>153</v>
      </c>
      <c r="AL360" s="22">
        <v>0.05</v>
      </c>
      <c r="AM360" s="22">
        <v>7.0000000000000007E-2</v>
      </c>
      <c r="AN360" s="8">
        <v>11</v>
      </c>
      <c r="AO360" s="8">
        <v>1023</v>
      </c>
      <c r="AP360" s="8">
        <v>4512530.8600000003</v>
      </c>
      <c r="AQ360" s="24">
        <v>1228762.1531780001</v>
      </c>
      <c r="AR360" s="8">
        <v>4386198.6100000003</v>
      </c>
      <c r="AS360" s="37">
        <v>1194361.8815029999</v>
      </c>
      <c r="AT360" s="8" t="s">
        <v>332</v>
      </c>
      <c r="AU360" s="8" t="s">
        <v>330</v>
      </c>
      <c r="AV360" s="8">
        <v>63.8</v>
      </c>
      <c r="AW360" s="8">
        <v>60</v>
      </c>
      <c r="AX360" s="8" t="s">
        <v>332</v>
      </c>
      <c r="AY360" s="8" t="s">
        <v>224</v>
      </c>
      <c r="AZ360" s="8" t="s">
        <v>377</v>
      </c>
      <c r="BA360" s="21">
        <f>IF(OR(tblsales[[#This Row],[Invoice Value USD]]="",tblsales[[#This Row],[Collected Amount USD]]=""),"",tblsales[[#This Row],[Invoice Value USD]]-tblsales[[#This Row],[Collected Amount USD]])</f>
        <v>1249078.213831</v>
      </c>
      <c r="BB360" s="21">
        <f>IF(OR(tblsales[[#This Row],[Contract Value USD]]="",tblsales[[#This Row],[Cost Estimate USD]]=""),"",tblsales[[#This Row],[Contract Value USD]]-tblsales[[#This Row],[Cost Estimate USD]])</f>
        <v>1964284.8488830002</v>
      </c>
      <c r="BC360" s="21">
        <f>IF(OR(tblsales[[#This Row],[Contract Value USD]]="",tblsales[[#This Row],[Cost Estimate USD]]=""),"",tblsales[[#This Row],[Contract Value USD]]-tblsales[[#This Row],[Cost Estimate USD]])</f>
        <v>1964284.8488830002</v>
      </c>
      <c r="BD360" s="23">
        <f>IF(tblsales[[#This Row],[Invoice Value USD]]="","",tblsales[[#This Row],[Collected Amount USD]]/tblsales[[#This Row],[Invoice Value USD]])</f>
        <v>0.67864398617132726</v>
      </c>
      <c r="BE360" s="11">
        <f>IF(tblsales[[#This Row],[SalesStage]]="Won",1,0)</f>
        <v>0</v>
      </c>
      <c r="BF360" s="21" t="str">
        <f>IF(tblsales[[#This Row],[Win Flag]]=1,"Won","Lost")</f>
        <v>Lost</v>
      </c>
      <c r="BG360" s="8"/>
    </row>
    <row r="361" spans="1:59" x14ac:dyDescent="0.3">
      <c r="A361" s="10" t="s">
        <v>1399</v>
      </c>
      <c r="B361" s="9">
        <v>45830</v>
      </c>
      <c r="C361" s="10" t="s">
        <v>195</v>
      </c>
      <c r="D361" s="10" t="s">
        <v>255</v>
      </c>
      <c r="E361" s="10" t="s">
        <v>41</v>
      </c>
      <c r="F361" s="10" t="s">
        <v>350</v>
      </c>
      <c r="G361" s="10" t="s">
        <v>332</v>
      </c>
      <c r="H361" s="10" t="s">
        <v>182</v>
      </c>
      <c r="I361" s="10" t="s">
        <v>233</v>
      </c>
      <c r="J361" s="10" t="s">
        <v>130</v>
      </c>
      <c r="K361" s="10" t="s">
        <v>199</v>
      </c>
      <c r="L361" s="10" t="s">
        <v>1400</v>
      </c>
      <c r="M361" s="9">
        <v>45694</v>
      </c>
      <c r="N361" s="9"/>
      <c r="O361" s="9"/>
      <c r="P361" s="11">
        <v>6</v>
      </c>
      <c r="Q361" s="12">
        <v>45643989</v>
      </c>
      <c r="R361">
        <v>12538403.7783</v>
      </c>
      <c r="S361" s="22">
        <v>0.21</v>
      </c>
      <c r="T361" s="22">
        <v>0.02</v>
      </c>
      <c r="U361" s="12">
        <v>36779926.340000004</v>
      </c>
      <c r="V361" s="24">
        <v>10103445.765598001</v>
      </c>
      <c r="W361" s="8">
        <v>30276950.449999999</v>
      </c>
      <c r="X361" s="24">
        <v>8317078.2886149995</v>
      </c>
      <c r="Y361" s="22">
        <v>0.05</v>
      </c>
      <c r="Z361" s="22">
        <v>0.19</v>
      </c>
      <c r="AA361" s="8" t="s">
        <v>1401</v>
      </c>
      <c r="AB361" s="8">
        <v>29176294.170000002</v>
      </c>
      <c r="AC361" s="24">
        <v>8014728.0084990002</v>
      </c>
      <c r="AD361" s="8">
        <v>20486198.190000001</v>
      </c>
      <c r="AE361" s="24">
        <v>5627558.6427930007</v>
      </c>
      <c r="AF361" s="8">
        <v>45</v>
      </c>
      <c r="AG361" s="8">
        <v>17</v>
      </c>
      <c r="AH361" s="8" t="s">
        <v>376</v>
      </c>
      <c r="AI361" s="8" t="s">
        <v>455</v>
      </c>
      <c r="AJ361" s="22">
        <v>0.55000000000000004</v>
      </c>
      <c r="AK361" s="8" t="s">
        <v>155</v>
      </c>
      <c r="AL361" s="22">
        <v>0.1</v>
      </c>
      <c r="AM361" s="22">
        <v>0.06</v>
      </c>
      <c r="AN361" s="8">
        <v>13</v>
      </c>
      <c r="AO361" s="8">
        <v>488</v>
      </c>
      <c r="AP361" s="8">
        <v>1264157.5</v>
      </c>
      <c r="AQ361" s="24">
        <v>347264.06524999999</v>
      </c>
      <c r="AR361" s="8">
        <v>5223258.16</v>
      </c>
      <c r="AS361" s="37">
        <v>1434829.0165520001</v>
      </c>
      <c r="AT361" s="8" t="s">
        <v>391</v>
      </c>
      <c r="AU361" s="8" t="s">
        <v>330</v>
      </c>
      <c r="AV361" s="8">
        <v>85.7</v>
      </c>
      <c r="AW361" s="8">
        <v>60</v>
      </c>
      <c r="AX361" s="8" t="s">
        <v>323</v>
      </c>
      <c r="AY361" s="8" t="s">
        <v>192</v>
      </c>
      <c r="AZ361" s="8" t="s">
        <v>332</v>
      </c>
      <c r="BA361" s="21">
        <f>IF(OR(tblsales[[#This Row],[Invoice Value USD]]="",tblsales[[#This Row],[Collected Amount USD]]=""),"",tblsales[[#This Row],[Invoice Value USD]]-tblsales[[#This Row],[Collected Amount USD]])</f>
        <v>2387169.3657059995</v>
      </c>
      <c r="BB361" s="21">
        <f>IF(OR(tblsales[[#This Row],[Contract Value USD]]="",tblsales[[#This Row],[Cost Estimate USD]]=""),"",tblsales[[#This Row],[Contract Value USD]]-tblsales[[#This Row],[Cost Estimate USD]])</f>
        <v>1786367.4769830015</v>
      </c>
      <c r="BC361" s="21">
        <f>IF(OR(tblsales[[#This Row],[Contract Value USD]]="",tblsales[[#This Row],[Cost Estimate USD]]=""),"",tblsales[[#This Row],[Contract Value USD]]-tblsales[[#This Row],[Cost Estimate USD]])</f>
        <v>1786367.4769830015</v>
      </c>
      <c r="BD361" s="23">
        <f>IF(tblsales[[#This Row],[Invoice Value USD]]="","",tblsales[[#This Row],[Collected Amount USD]]/tblsales[[#This Row],[Invoice Value USD]])</f>
        <v>0.70215216746287701</v>
      </c>
      <c r="BE361" s="11">
        <f>IF(tblsales[[#This Row],[SalesStage]]="Won",1,0)</f>
        <v>0</v>
      </c>
      <c r="BF361" s="21" t="str">
        <f>IF(tblsales[[#This Row],[Win Flag]]=1,"Won","Lost")</f>
        <v>Lost</v>
      </c>
      <c r="BG361" s="8"/>
    </row>
    <row r="362" spans="1:59" x14ac:dyDescent="0.3">
      <c r="A362" s="10" t="s">
        <v>1402</v>
      </c>
      <c r="B362" s="9">
        <v>45765</v>
      </c>
      <c r="C362" s="10" t="s">
        <v>284</v>
      </c>
      <c r="D362" s="10" t="s">
        <v>250</v>
      </c>
      <c r="E362" s="10" t="s">
        <v>36</v>
      </c>
      <c r="F362" s="10" t="s">
        <v>339</v>
      </c>
      <c r="G362" s="10" t="s">
        <v>23</v>
      </c>
      <c r="H362" s="10" t="s">
        <v>216</v>
      </c>
      <c r="I362" s="10" t="s">
        <v>240</v>
      </c>
      <c r="J362" s="10" t="s">
        <v>115</v>
      </c>
      <c r="K362" s="10" t="s">
        <v>333</v>
      </c>
      <c r="L362" s="10" t="s">
        <v>1403</v>
      </c>
      <c r="M362" s="9">
        <v>45688</v>
      </c>
      <c r="N362" s="9">
        <v>45823</v>
      </c>
      <c r="O362" s="9">
        <v>45804</v>
      </c>
      <c r="P362" s="11">
        <v>24</v>
      </c>
      <c r="Q362" s="12">
        <v>20185960</v>
      </c>
      <c r="R362">
        <v>20185960</v>
      </c>
      <c r="S362" s="22">
        <v>0.32</v>
      </c>
      <c r="T362" s="22">
        <v>7.0000000000000007E-2</v>
      </c>
      <c r="U362" s="12">
        <v>14687304.5</v>
      </c>
      <c r="V362" s="24">
        <v>14687304.5</v>
      </c>
      <c r="W362" s="8">
        <v>11148145</v>
      </c>
      <c r="X362" s="24">
        <v>11148145</v>
      </c>
      <c r="Y362" s="22">
        <v>0.06</v>
      </c>
      <c r="Z362" s="22">
        <v>0.19</v>
      </c>
      <c r="AA362" s="8" t="s">
        <v>1404</v>
      </c>
      <c r="AB362" s="8">
        <v>2192226.7599999998</v>
      </c>
      <c r="AC362" s="24">
        <v>2192226.7599999998</v>
      </c>
      <c r="AD362" s="8">
        <v>845213.6</v>
      </c>
      <c r="AE362" s="24">
        <v>845213.6</v>
      </c>
      <c r="AF362" s="8">
        <v>90</v>
      </c>
      <c r="AG362" s="8">
        <v>26</v>
      </c>
      <c r="AH362" s="8" t="s">
        <v>347</v>
      </c>
      <c r="AI362" s="8" t="s">
        <v>226</v>
      </c>
      <c r="AJ362" s="22">
        <v>0.6</v>
      </c>
      <c r="AK362" s="8" t="s">
        <v>152</v>
      </c>
      <c r="AL362" s="22">
        <v>0.1</v>
      </c>
      <c r="AM362" s="22">
        <v>0.08</v>
      </c>
      <c r="AN362" s="8">
        <v>13</v>
      </c>
      <c r="AO362" s="8"/>
      <c r="AP362" s="8">
        <v>1874626.76</v>
      </c>
      <c r="AQ362" s="24">
        <v>1874626.76</v>
      </c>
      <c r="AR362" s="8">
        <v>5669645.4100000001</v>
      </c>
      <c r="AS362" s="37">
        <v>5669645.4100000001</v>
      </c>
      <c r="AT362" s="8" t="s">
        <v>385</v>
      </c>
      <c r="AU362" s="8" t="s">
        <v>348</v>
      </c>
      <c r="AV362" s="8">
        <v>93.4</v>
      </c>
      <c r="AW362" s="8">
        <v>48</v>
      </c>
      <c r="AX362" s="8" t="s">
        <v>332</v>
      </c>
      <c r="AY362" s="8" t="s">
        <v>206</v>
      </c>
      <c r="AZ362" s="8" t="s">
        <v>324</v>
      </c>
      <c r="BA362" s="21">
        <f>IF(OR(tblsales[[#This Row],[Invoice Value USD]]="",tblsales[[#This Row],[Collected Amount USD]]=""),"",tblsales[[#This Row],[Invoice Value USD]]-tblsales[[#This Row],[Collected Amount USD]])</f>
        <v>1347013.1599999997</v>
      </c>
      <c r="BB362" s="21">
        <f>IF(OR(tblsales[[#This Row],[Contract Value USD]]="",tblsales[[#This Row],[Cost Estimate USD]]=""),"",tblsales[[#This Row],[Contract Value USD]]-tblsales[[#This Row],[Cost Estimate USD]])</f>
        <v>3539159.5</v>
      </c>
      <c r="BC362" s="21">
        <f>IF(OR(tblsales[[#This Row],[Contract Value USD]]="",tblsales[[#This Row],[Cost Estimate USD]]=""),"",tblsales[[#This Row],[Contract Value USD]]-tblsales[[#This Row],[Cost Estimate USD]])</f>
        <v>3539159.5</v>
      </c>
      <c r="BD362" s="23">
        <f>IF(tblsales[[#This Row],[Invoice Value USD]]="","",tblsales[[#This Row],[Collected Amount USD]]/tblsales[[#This Row],[Invoice Value USD]])</f>
        <v>0.38555026123301228</v>
      </c>
      <c r="BE362" s="11">
        <f>IF(tblsales[[#This Row],[SalesStage]]="Won",1,0)</f>
        <v>0</v>
      </c>
      <c r="BF362" s="21" t="str">
        <f>IF(tblsales[[#This Row],[Win Flag]]=1,"Won","Lost")</f>
        <v>Lost</v>
      </c>
      <c r="BG362" s="8"/>
    </row>
    <row r="363" spans="1:59" x14ac:dyDescent="0.3">
      <c r="A363" s="10" t="s">
        <v>1405</v>
      </c>
      <c r="B363" s="9">
        <v>45898</v>
      </c>
      <c r="C363" s="10" t="s">
        <v>241</v>
      </c>
      <c r="D363" s="10" t="s">
        <v>332</v>
      </c>
      <c r="E363" s="10" t="s">
        <v>41</v>
      </c>
      <c r="F363" s="10" t="s">
        <v>350</v>
      </c>
      <c r="G363" s="10" t="s">
        <v>16</v>
      </c>
      <c r="H363" s="10" t="s">
        <v>182</v>
      </c>
      <c r="I363" s="10" t="s">
        <v>233</v>
      </c>
      <c r="J363" s="10" t="s">
        <v>105</v>
      </c>
      <c r="K363" s="10" t="s">
        <v>184</v>
      </c>
      <c r="L363" s="10" t="s">
        <v>1406</v>
      </c>
      <c r="M363" s="9">
        <v>45887</v>
      </c>
      <c r="N363" s="9">
        <v>45940</v>
      </c>
      <c r="O363" s="9"/>
      <c r="P363" s="11">
        <v>16</v>
      </c>
      <c r="Q363" s="12">
        <v>10576958</v>
      </c>
      <c r="R363">
        <v>2880105.6634</v>
      </c>
      <c r="S363" s="22">
        <v>0.05</v>
      </c>
      <c r="T363" s="22">
        <v>0</v>
      </c>
      <c r="U363" s="12">
        <v>10048110.1</v>
      </c>
      <c r="V363" s="24">
        <v>2736100.3802299998</v>
      </c>
      <c r="W363" s="8">
        <v>8934805.9199999999</v>
      </c>
      <c r="X363" s="24">
        <v>2432947.6520159999</v>
      </c>
      <c r="Y363" s="22">
        <v>0.34</v>
      </c>
      <c r="Z363" s="22">
        <v>0.11</v>
      </c>
      <c r="AA363" s="8" t="s">
        <v>1407</v>
      </c>
      <c r="AB363" s="8">
        <v>5590402.79</v>
      </c>
      <c r="AC363" s="24">
        <v>1522266.6797169999</v>
      </c>
      <c r="AD363" s="8">
        <v>5067892.8099999996</v>
      </c>
      <c r="AE363" s="24">
        <v>1379987.2121629999</v>
      </c>
      <c r="AF363" s="8">
        <v>90</v>
      </c>
      <c r="AG363" s="8">
        <v>65</v>
      </c>
      <c r="AH363" s="8" t="s">
        <v>347</v>
      </c>
      <c r="AI363" s="8" t="s">
        <v>381</v>
      </c>
      <c r="AJ363" s="22">
        <v>0.5</v>
      </c>
      <c r="AK363" s="8" t="s">
        <v>153</v>
      </c>
      <c r="AL363" s="22">
        <v>0.05</v>
      </c>
      <c r="AM363" s="22">
        <v>0.06</v>
      </c>
      <c r="AN363" s="8">
        <v>15</v>
      </c>
      <c r="AO363" s="8">
        <v>3744</v>
      </c>
      <c r="AP363" s="8">
        <v>1741014.06</v>
      </c>
      <c r="AQ363" s="24">
        <v>474078.12853799999</v>
      </c>
      <c r="AR363" s="8"/>
      <c r="AS363" s="37"/>
      <c r="AT363" s="8" t="s">
        <v>73</v>
      </c>
      <c r="AU363" s="8" t="s">
        <v>321</v>
      </c>
      <c r="AV363" s="8">
        <v>69.2</v>
      </c>
      <c r="AW363" s="8">
        <v>36</v>
      </c>
      <c r="AX363" s="8" t="s">
        <v>392</v>
      </c>
      <c r="AY363" s="8" t="s">
        <v>224</v>
      </c>
      <c r="AZ363" s="8" t="s">
        <v>324</v>
      </c>
      <c r="BA363" s="21">
        <f>IF(OR(tblsales[[#This Row],[Invoice Value USD]]="",tblsales[[#This Row],[Collected Amount USD]]=""),"",tblsales[[#This Row],[Invoice Value USD]]-tblsales[[#This Row],[Collected Amount USD]])</f>
        <v>142279.46755399997</v>
      </c>
      <c r="BB363" s="21">
        <f>IF(OR(tblsales[[#This Row],[Contract Value USD]]="",tblsales[[#This Row],[Cost Estimate USD]]=""),"",tblsales[[#This Row],[Contract Value USD]]-tblsales[[#This Row],[Cost Estimate USD]])</f>
        <v>303152.72821399989</v>
      </c>
      <c r="BC363" s="21">
        <f>IF(OR(tblsales[[#This Row],[Contract Value USD]]="",tblsales[[#This Row],[Cost Estimate USD]]=""),"",tblsales[[#This Row],[Contract Value USD]]-tblsales[[#This Row],[Cost Estimate USD]])</f>
        <v>303152.72821399989</v>
      </c>
      <c r="BD363" s="23">
        <f>IF(tblsales[[#This Row],[Invoice Value USD]]="","",tblsales[[#This Row],[Collected Amount USD]]/tblsales[[#This Row],[Invoice Value USD]])</f>
        <v>0.90653446636534751</v>
      </c>
      <c r="BE363" s="11">
        <f>IF(tblsales[[#This Row],[SalesStage]]="Won",1,0)</f>
        <v>0</v>
      </c>
      <c r="BF363" s="21" t="str">
        <f>IF(tblsales[[#This Row],[Win Flag]]=1,"Won","Lost")</f>
        <v>Lost</v>
      </c>
      <c r="BG363" s="8"/>
    </row>
    <row r="364" spans="1:59" x14ac:dyDescent="0.3">
      <c r="A364" s="10" t="s">
        <v>1408</v>
      </c>
      <c r="B364" s="9">
        <v>45703</v>
      </c>
      <c r="C364" s="10" t="s">
        <v>273</v>
      </c>
      <c r="D364" s="10" t="s">
        <v>255</v>
      </c>
      <c r="E364" s="10" t="s">
        <v>41</v>
      </c>
      <c r="F364" s="10" t="s">
        <v>363</v>
      </c>
      <c r="G364" s="10" t="s">
        <v>78</v>
      </c>
      <c r="H364" s="10" t="s">
        <v>216</v>
      </c>
      <c r="I364" s="10" t="s">
        <v>198</v>
      </c>
      <c r="J364" s="10" t="s">
        <v>105</v>
      </c>
      <c r="K364" s="10" t="s">
        <v>210</v>
      </c>
      <c r="L364" s="10" t="s">
        <v>1409</v>
      </c>
      <c r="M364" s="9">
        <v>45870</v>
      </c>
      <c r="N364" s="9"/>
      <c r="O364" s="9">
        <v>45935</v>
      </c>
      <c r="P364" s="11">
        <v>23</v>
      </c>
      <c r="Q364" s="12">
        <v>21799260</v>
      </c>
      <c r="R364">
        <v>5988256.7220000001</v>
      </c>
      <c r="S364" s="22">
        <v>0.03</v>
      </c>
      <c r="T364" s="22">
        <v>-0.02</v>
      </c>
      <c r="U364" s="12">
        <v>20722376.559999999</v>
      </c>
      <c r="V364" s="24">
        <v>5692436.8410319993</v>
      </c>
      <c r="W364" s="8">
        <v>12724683.41</v>
      </c>
      <c r="X364" s="24">
        <v>3495470.5327269998</v>
      </c>
      <c r="Y364" s="22">
        <v>0.37</v>
      </c>
      <c r="Z364" s="22">
        <v>0.11</v>
      </c>
      <c r="AA364" s="8"/>
      <c r="AB364" s="8">
        <v>8197491.29</v>
      </c>
      <c r="AC364" s="24">
        <v>2251850.857363</v>
      </c>
      <c r="AD364" s="8">
        <v>4414787.08</v>
      </c>
      <c r="AE364" s="24">
        <v>1212742.0108759999</v>
      </c>
      <c r="AF364" s="8">
        <v>45</v>
      </c>
      <c r="AG364" s="8">
        <v>100</v>
      </c>
      <c r="AH364" s="8" t="s">
        <v>347</v>
      </c>
      <c r="AI364" s="8" t="s">
        <v>226</v>
      </c>
      <c r="AJ364" s="22">
        <v>0.12</v>
      </c>
      <c r="AK364" s="8" t="s">
        <v>155</v>
      </c>
      <c r="AL364" s="22">
        <v>0.1</v>
      </c>
      <c r="AM364" s="22">
        <v>0.09</v>
      </c>
      <c r="AN364" s="8">
        <v>6</v>
      </c>
      <c r="AO364" s="8">
        <v>2017</v>
      </c>
      <c r="AP364" s="8">
        <v>4550204.33</v>
      </c>
      <c r="AQ364" s="24">
        <v>1249941.1294510001</v>
      </c>
      <c r="AR364" s="8">
        <v>4807548.63</v>
      </c>
      <c r="AS364" s="37">
        <v>1320633.6086609999</v>
      </c>
      <c r="AT364" s="8" t="s">
        <v>385</v>
      </c>
      <c r="AU364" s="8" t="s">
        <v>356</v>
      </c>
      <c r="AV364" s="8">
        <v>90.4</v>
      </c>
      <c r="AW364" s="8">
        <v>12</v>
      </c>
      <c r="AX364" s="8" t="s">
        <v>323</v>
      </c>
      <c r="AY364" s="8" t="s">
        <v>186</v>
      </c>
      <c r="AZ364" s="8" t="s">
        <v>332</v>
      </c>
      <c r="BA364" s="21">
        <f>IF(OR(tblsales[[#This Row],[Invoice Value USD]]="",tblsales[[#This Row],[Collected Amount USD]]=""),"",tblsales[[#This Row],[Invoice Value USD]]-tblsales[[#This Row],[Collected Amount USD]])</f>
        <v>1039108.8464870001</v>
      </c>
      <c r="BB364" s="21">
        <f>IF(OR(tblsales[[#This Row],[Contract Value USD]]="",tblsales[[#This Row],[Cost Estimate USD]]=""),"",tblsales[[#This Row],[Contract Value USD]]-tblsales[[#This Row],[Cost Estimate USD]])</f>
        <v>2196966.3083049995</v>
      </c>
      <c r="BC364" s="21">
        <f>IF(OR(tblsales[[#This Row],[Contract Value USD]]="",tblsales[[#This Row],[Cost Estimate USD]]=""),"",tblsales[[#This Row],[Contract Value USD]]-tblsales[[#This Row],[Cost Estimate USD]])</f>
        <v>2196966.3083049995</v>
      </c>
      <c r="BD364" s="23">
        <f>IF(tblsales[[#This Row],[Invoice Value USD]]="","",tblsales[[#This Row],[Collected Amount USD]]/tblsales[[#This Row],[Invoice Value USD]])</f>
        <v>0.53855343346147055</v>
      </c>
      <c r="BE364" s="11">
        <f>IF(tblsales[[#This Row],[SalesStage]]="Won",1,0)</f>
        <v>0</v>
      </c>
      <c r="BF364" s="21" t="str">
        <f>IF(tblsales[[#This Row],[Win Flag]]=1,"Won","Lost")</f>
        <v>Lost</v>
      </c>
      <c r="BG364" s="8"/>
    </row>
    <row r="365" spans="1:59" x14ac:dyDescent="0.3">
      <c r="A365" s="10" t="s">
        <v>1410</v>
      </c>
      <c r="B365" s="9">
        <v>45913</v>
      </c>
      <c r="C365" s="10" t="s">
        <v>264</v>
      </c>
      <c r="D365" s="10" t="s">
        <v>242</v>
      </c>
      <c r="E365" s="10" t="s">
        <v>36</v>
      </c>
      <c r="F365" s="10" t="s">
        <v>19</v>
      </c>
      <c r="G365" s="10" t="s">
        <v>70</v>
      </c>
      <c r="H365" s="10" t="s">
        <v>332</v>
      </c>
      <c r="I365" s="10" t="s">
        <v>332</v>
      </c>
      <c r="J365" s="10" t="s">
        <v>115</v>
      </c>
      <c r="K365" s="10" t="s">
        <v>210</v>
      </c>
      <c r="L365" s="10" t="s">
        <v>1411</v>
      </c>
      <c r="M365" s="9">
        <v>45860</v>
      </c>
      <c r="N365" s="9"/>
      <c r="O365" s="9">
        <v>46054</v>
      </c>
      <c r="P365" s="11">
        <v>54</v>
      </c>
      <c r="Q365" s="12">
        <v>28426734</v>
      </c>
      <c r="R365">
        <v>28426734</v>
      </c>
      <c r="S365" s="22">
        <v>0.1</v>
      </c>
      <c r="T365" s="22">
        <v>0.2</v>
      </c>
      <c r="U365" s="12">
        <v>30700872.719999999</v>
      </c>
      <c r="V365" s="24">
        <v>30700872.719999999</v>
      </c>
      <c r="W365" s="8">
        <v>19901314.109999999</v>
      </c>
      <c r="X365" s="24">
        <v>19901314.109999999</v>
      </c>
      <c r="Y365" s="22">
        <v>0.06</v>
      </c>
      <c r="Z365" s="22">
        <v>0.09</v>
      </c>
      <c r="AA365" s="8" t="s">
        <v>1412</v>
      </c>
      <c r="AB365" s="8">
        <v>14337196.380000001</v>
      </c>
      <c r="AC365" s="24">
        <v>14337196.380000001</v>
      </c>
      <c r="AD365" s="8">
        <v>13709375.050000001</v>
      </c>
      <c r="AE365" s="24">
        <v>13709375.050000001</v>
      </c>
      <c r="AF365" s="8">
        <v>120</v>
      </c>
      <c r="AG365" s="8">
        <v>109</v>
      </c>
      <c r="AH365" s="8" t="s">
        <v>342</v>
      </c>
      <c r="AI365" s="8" t="s">
        <v>320</v>
      </c>
      <c r="AJ365" s="22">
        <v>0.85</v>
      </c>
      <c r="AK365" s="8" t="s">
        <v>152</v>
      </c>
      <c r="AL365" s="22">
        <v>0.05</v>
      </c>
      <c r="AM365" s="22">
        <v>0.04</v>
      </c>
      <c r="AN365" s="8">
        <v>7</v>
      </c>
      <c r="AO365" s="8">
        <v>3848</v>
      </c>
      <c r="AP365" s="8">
        <v>3142654.93</v>
      </c>
      <c r="AQ365" s="24">
        <v>3142654.93</v>
      </c>
      <c r="AR365" s="8">
        <v>3405543.05</v>
      </c>
      <c r="AS365" s="37">
        <v>3405543.05</v>
      </c>
      <c r="AT365" s="8" t="s">
        <v>391</v>
      </c>
      <c r="AU365" s="8" t="s">
        <v>386</v>
      </c>
      <c r="AV365" s="8">
        <v>86.9</v>
      </c>
      <c r="AW365" s="8">
        <v>60</v>
      </c>
      <c r="AX365" s="8" t="s">
        <v>337</v>
      </c>
      <c r="AY365" s="8" t="s">
        <v>224</v>
      </c>
      <c r="AZ365" s="8" t="s">
        <v>332</v>
      </c>
      <c r="BA365" s="21">
        <f>IF(OR(tblsales[[#This Row],[Invoice Value USD]]="",tblsales[[#This Row],[Collected Amount USD]]=""),"",tblsales[[#This Row],[Invoice Value USD]]-tblsales[[#This Row],[Collected Amount USD]])</f>
        <v>627821.33000000007</v>
      </c>
      <c r="BB365" s="21">
        <f>IF(OR(tblsales[[#This Row],[Contract Value USD]]="",tblsales[[#This Row],[Cost Estimate USD]]=""),"",tblsales[[#This Row],[Contract Value USD]]-tblsales[[#This Row],[Cost Estimate USD]])</f>
        <v>10799558.609999999</v>
      </c>
      <c r="BC365" s="21">
        <f>IF(OR(tblsales[[#This Row],[Contract Value USD]]="",tblsales[[#This Row],[Cost Estimate USD]]=""),"",tblsales[[#This Row],[Contract Value USD]]-tblsales[[#This Row],[Cost Estimate USD]])</f>
        <v>10799558.609999999</v>
      </c>
      <c r="BD365" s="23">
        <f>IF(tblsales[[#This Row],[Invoice Value USD]]="","",tblsales[[#This Row],[Collected Amount USD]]/tblsales[[#This Row],[Invoice Value USD]])</f>
        <v>0.95621031383264066</v>
      </c>
      <c r="BE365" s="11">
        <f>IF(tblsales[[#This Row],[SalesStage]]="Won",1,0)</f>
        <v>1</v>
      </c>
      <c r="BF365" s="21" t="str">
        <f>IF(tblsales[[#This Row],[Win Flag]]=1,"Won","Lost")</f>
        <v>Won</v>
      </c>
      <c r="BG365" s="8"/>
    </row>
    <row r="366" spans="1:59" x14ac:dyDescent="0.3">
      <c r="A366" s="10" t="s">
        <v>1413</v>
      </c>
      <c r="B366" s="9">
        <v>45904</v>
      </c>
      <c r="C366" s="10" t="s">
        <v>270</v>
      </c>
      <c r="D366" s="10" t="s">
        <v>209</v>
      </c>
      <c r="E366" s="10" t="s">
        <v>332</v>
      </c>
      <c r="F366" s="10" t="s">
        <v>332</v>
      </c>
      <c r="G366" s="10" t="s">
        <v>38</v>
      </c>
      <c r="H366" s="10" t="s">
        <v>236</v>
      </c>
      <c r="I366" s="10" t="s">
        <v>332</v>
      </c>
      <c r="J366" s="10" t="s">
        <v>130</v>
      </c>
      <c r="K366" s="10" t="s">
        <v>204</v>
      </c>
      <c r="L366" s="10" t="s">
        <v>1414</v>
      </c>
      <c r="M366" s="9">
        <v>45837</v>
      </c>
      <c r="N366" s="9">
        <v>45957</v>
      </c>
      <c r="O366" s="9">
        <v>45991</v>
      </c>
      <c r="P366" s="11">
        <v>11</v>
      </c>
      <c r="Q366" s="12">
        <v>44799173</v>
      </c>
      <c r="R366">
        <v>12198814.807899999</v>
      </c>
      <c r="S366" s="22">
        <v>0.26</v>
      </c>
      <c r="T366" s="22">
        <v>0</v>
      </c>
      <c r="U366" s="12">
        <v>33151388.02</v>
      </c>
      <c r="V366" s="24">
        <v>9027122.9578459989</v>
      </c>
      <c r="W366" s="8"/>
      <c r="X366" s="24"/>
      <c r="Y366" s="22">
        <v>0.18</v>
      </c>
      <c r="Z366" s="22">
        <v>0.08</v>
      </c>
      <c r="AA366" s="8" t="s">
        <v>1415</v>
      </c>
      <c r="AB366" s="8">
        <v>15371456.02</v>
      </c>
      <c r="AC366" s="24">
        <v>4185647.4742459995</v>
      </c>
      <c r="AD366" s="8">
        <v>8385382.8399999999</v>
      </c>
      <c r="AE366" s="24">
        <v>2283339.7473319997</v>
      </c>
      <c r="AF366" s="8">
        <v>45</v>
      </c>
      <c r="AG366" s="8">
        <v>136</v>
      </c>
      <c r="AH366" s="8" t="s">
        <v>376</v>
      </c>
      <c r="AI366" s="8" t="s">
        <v>354</v>
      </c>
      <c r="AJ366" s="22">
        <v>0.06</v>
      </c>
      <c r="AK366" s="8" t="s">
        <v>153</v>
      </c>
      <c r="AL366" s="22">
        <v>0.05</v>
      </c>
      <c r="AM366" s="22">
        <v>0.09</v>
      </c>
      <c r="AN366" s="8">
        <v>9</v>
      </c>
      <c r="AO366" s="8">
        <v>4503</v>
      </c>
      <c r="AP366" s="8">
        <v>3719716.64</v>
      </c>
      <c r="AQ366" s="24">
        <v>1012878.841072</v>
      </c>
      <c r="AR366" s="8">
        <v>5149911.0599999996</v>
      </c>
      <c r="AS366" s="37">
        <v>1402320.7816379999</v>
      </c>
      <c r="AT366" s="8" t="s">
        <v>355</v>
      </c>
      <c r="AU366" s="8" t="s">
        <v>330</v>
      </c>
      <c r="AV366" s="8">
        <v>93</v>
      </c>
      <c r="AW366" s="8">
        <v>24</v>
      </c>
      <c r="AX366" s="8" t="s">
        <v>387</v>
      </c>
      <c r="AY366" s="8" t="s">
        <v>192</v>
      </c>
      <c r="AZ366" s="8" t="s">
        <v>324</v>
      </c>
      <c r="BA366" s="21">
        <f>IF(OR(tblsales[[#This Row],[Invoice Value USD]]="",tblsales[[#This Row],[Collected Amount USD]]=""),"",tblsales[[#This Row],[Invoice Value USD]]-tblsales[[#This Row],[Collected Amount USD]])</f>
        <v>1902307.7269139998</v>
      </c>
      <c r="BB366" s="21" t="str">
        <f>IF(OR(tblsales[[#This Row],[Contract Value USD]]="",tblsales[[#This Row],[Cost Estimate USD]]=""),"",tblsales[[#This Row],[Contract Value USD]]-tblsales[[#This Row],[Cost Estimate USD]])</f>
        <v/>
      </c>
      <c r="BC366" s="21" t="str">
        <f>IF(OR(tblsales[[#This Row],[Contract Value USD]]="",tblsales[[#This Row],[Cost Estimate USD]]=""),"",tblsales[[#This Row],[Contract Value USD]]-tblsales[[#This Row],[Cost Estimate USD]])</f>
        <v/>
      </c>
      <c r="BD366" s="23">
        <f>IF(tblsales[[#This Row],[Invoice Value USD]]="","",tblsales[[#This Row],[Collected Amount USD]]/tblsales[[#This Row],[Invoice Value USD]])</f>
        <v>0.5455164968816012</v>
      </c>
      <c r="BE366" s="11">
        <f>IF(tblsales[[#This Row],[SalesStage]]="Won",1,0)</f>
        <v>0</v>
      </c>
      <c r="BF366" s="21" t="str">
        <f>IF(tblsales[[#This Row],[Win Flag]]=1,"Won","Lost")</f>
        <v>Lost</v>
      </c>
      <c r="BG366" s="8"/>
    </row>
    <row r="367" spans="1:59" x14ac:dyDescent="0.3">
      <c r="A367" s="10" t="s">
        <v>1416</v>
      </c>
      <c r="B367" s="9">
        <v>46066</v>
      </c>
      <c r="C367" s="10" t="s">
        <v>244</v>
      </c>
      <c r="D367" s="10" t="s">
        <v>238</v>
      </c>
      <c r="E367" s="10" t="s">
        <v>20</v>
      </c>
      <c r="F367" s="10" t="s">
        <v>196</v>
      </c>
      <c r="G367" s="10" t="s">
        <v>332</v>
      </c>
      <c r="H367" s="10" t="s">
        <v>332</v>
      </c>
      <c r="I367" s="10" t="s">
        <v>198</v>
      </c>
      <c r="J367" s="10" t="s">
        <v>136</v>
      </c>
      <c r="K367" s="10" t="s">
        <v>223</v>
      </c>
      <c r="L367" s="10" t="s">
        <v>1417</v>
      </c>
      <c r="M367" s="9">
        <v>46004</v>
      </c>
      <c r="N367" s="9"/>
      <c r="O367" s="9">
        <v>46172</v>
      </c>
      <c r="P367" s="11">
        <v>24</v>
      </c>
      <c r="Q367" s="12">
        <v>17866156</v>
      </c>
      <c r="R367">
        <v>17866156</v>
      </c>
      <c r="S367" s="22">
        <v>0.19</v>
      </c>
      <c r="T367" s="22">
        <v>0.18</v>
      </c>
      <c r="U367" s="12">
        <v>17076471.899999999</v>
      </c>
      <c r="V367" s="24">
        <v>17076471.899999999</v>
      </c>
      <c r="W367" s="8">
        <v>11059330.539999999</v>
      </c>
      <c r="X367" s="24">
        <v>11059330.539999999</v>
      </c>
      <c r="Y367" s="22">
        <v>0.26</v>
      </c>
      <c r="Z367" s="22">
        <v>0.18</v>
      </c>
      <c r="AA367" s="8" t="s">
        <v>1418</v>
      </c>
      <c r="AB367" s="8">
        <v>15276627.630000001</v>
      </c>
      <c r="AC367" s="24">
        <v>15276627.630000001</v>
      </c>
      <c r="AD367" s="8">
        <v>11809710.390000001</v>
      </c>
      <c r="AE367" s="24">
        <v>11809710.390000001</v>
      </c>
      <c r="AF367" s="8">
        <v>45</v>
      </c>
      <c r="AG367" s="8">
        <v>46</v>
      </c>
      <c r="AH367" s="8" t="s">
        <v>332</v>
      </c>
      <c r="AI367" s="8" t="s">
        <v>226</v>
      </c>
      <c r="AJ367" s="22">
        <v>0.1</v>
      </c>
      <c r="AK367" s="8" t="s">
        <v>152</v>
      </c>
      <c r="AL367" s="22">
        <v>0.1</v>
      </c>
      <c r="AM367" s="22">
        <v>0.08</v>
      </c>
      <c r="AN367" s="8">
        <v>7</v>
      </c>
      <c r="AO367" s="8">
        <v>3306</v>
      </c>
      <c r="AP367" s="8">
        <v>853050.39</v>
      </c>
      <c r="AQ367" s="24">
        <v>853050.39</v>
      </c>
      <c r="AR367" s="8">
        <v>2938945.38</v>
      </c>
      <c r="AS367" s="37">
        <v>2938945.38</v>
      </c>
      <c r="AT367" s="8" t="s">
        <v>391</v>
      </c>
      <c r="AU367" s="8" t="s">
        <v>322</v>
      </c>
      <c r="AV367" s="8">
        <v>76.3</v>
      </c>
      <c r="AW367" s="8">
        <v>24</v>
      </c>
      <c r="AX367" s="8" t="s">
        <v>323</v>
      </c>
      <c r="AY367" s="8" t="s">
        <v>229</v>
      </c>
      <c r="AZ367" s="8" t="s">
        <v>332</v>
      </c>
      <c r="BA367" s="21">
        <f>IF(OR(tblsales[[#This Row],[Invoice Value USD]]="",tblsales[[#This Row],[Collected Amount USD]]=""),"",tblsales[[#This Row],[Invoice Value USD]]-tblsales[[#This Row],[Collected Amount USD]])</f>
        <v>3466917.24</v>
      </c>
      <c r="BB367" s="21">
        <f>IF(OR(tblsales[[#This Row],[Contract Value USD]]="",tblsales[[#This Row],[Cost Estimate USD]]=""),"",tblsales[[#This Row],[Contract Value USD]]-tblsales[[#This Row],[Cost Estimate USD]])</f>
        <v>6017141.3599999994</v>
      </c>
      <c r="BC367" s="21">
        <f>IF(OR(tblsales[[#This Row],[Contract Value USD]]="",tblsales[[#This Row],[Cost Estimate USD]]=""),"",tblsales[[#This Row],[Contract Value USD]]-tblsales[[#This Row],[Cost Estimate USD]])</f>
        <v>6017141.3599999994</v>
      </c>
      <c r="BD367" s="23">
        <f>IF(tblsales[[#This Row],[Invoice Value USD]]="","",tblsales[[#This Row],[Collected Amount USD]]/tblsales[[#This Row],[Invoice Value USD]])</f>
        <v>0.77305742314542492</v>
      </c>
      <c r="BE367" s="11">
        <f>IF(tblsales[[#This Row],[SalesStage]]="Won",1,0)</f>
        <v>0</v>
      </c>
      <c r="BF367" s="21" t="str">
        <f>IF(tblsales[[#This Row],[Win Flag]]=1,"Won","Lost")</f>
        <v>Lost</v>
      </c>
      <c r="BG367" s="8"/>
    </row>
    <row r="368" spans="1:59" x14ac:dyDescent="0.3">
      <c r="A368" s="10" t="s">
        <v>1419</v>
      </c>
      <c r="B368" s="9">
        <v>45907</v>
      </c>
      <c r="C368" s="10" t="s">
        <v>257</v>
      </c>
      <c r="D368" s="10" t="s">
        <v>255</v>
      </c>
      <c r="E368" s="10" t="s">
        <v>41</v>
      </c>
      <c r="F368" s="10" t="s">
        <v>228</v>
      </c>
      <c r="G368" s="10" t="s">
        <v>78</v>
      </c>
      <c r="H368" s="10" t="s">
        <v>236</v>
      </c>
      <c r="I368" s="10" t="s">
        <v>233</v>
      </c>
      <c r="J368" s="10" t="s">
        <v>130</v>
      </c>
      <c r="K368" s="10" t="s">
        <v>204</v>
      </c>
      <c r="L368" s="10" t="s">
        <v>1420</v>
      </c>
      <c r="M368" s="9">
        <v>45874</v>
      </c>
      <c r="N368" s="9"/>
      <c r="O368" s="9">
        <v>45970</v>
      </c>
      <c r="P368" s="11">
        <v>20</v>
      </c>
      <c r="Q368" s="12">
        <v>43904568</v>
      </c>
      <c r="R368">
        <v>11955213.8664</v>
      </c>
      <c r="S368" s="22">
        <v>0.31</v>
      </c>
      <c r="T368" s="22">
        <v>0.06</v>
      </c>
      <c r="U368" s="12">
        <v>32111801.039999999</v>
      </c>
      <c r="V368" s="24">
        <v>8744043.423192</v>
      </c>
      <c r="W368" s="8">
        <v>20013026.489999998</v>
      </c>
      <c r="X368" s="24">
        <v>5449547.1132269995</v>
      </c>
      <c r="Y368" s="22">
        <v>0.06</v>
      </c>
      <c r="Z368" s="22">
        <v>0.06</v>
      </c>
      <c r="AA368" s="8" t="s">
        <v>1421</v>
      </c>
      <c r="AB368" s="8"/>
      <c r="AC368" s="24"/>
      <c r="AD368" s="8">
        <v>3397852</v>
      </c>
      <c r="AE368" s="24">
        <v>925235.09959999996</v>
      </c>
      <c r="AF368" s="8">
        <v>90</v>
      </c>
      <c r="AG368" s="8">
        <v>43</v>
      </c>
      <c r="AH368" s="8" t="s">
        <v>376</v>
      </c>
      <c r="AI368" s="8" t="s">
        <v>336</v>
      </c>
      <c r="AJ368" s="22">
        <v>0.1</v>
      </c>
      <c r="AK368" s="8" t="s">
        <v>153</v>
      </c>
      <c r="AL368" s="22">
        <v>0.1</v>
      </c>
      <c r="AM368" s="22">
        <v>0.02</v>
      </c>
      <c r="AN368" s="8">
        <v>11</v>
      </c>
      <c r="AO368" s="8">
        <v>3660</v>
      </c>
      <c r="AP368" s="8">
        <v>932772.77</v>
      </c>
      <c r="AQ368" s="24">
        <v>253994.02527099999</v>
      </c>
      <c r="AR368" s="8">
        <v>3349650.19</v>
      </c>
      <c r="AS368" s="37">
        <v>912109.74673699995</v>
      </c>
      <c r="AT368" s="8" t="s">
        <v>391</v>
      </c>
      <c r="AU368" s="8" t="s">
        <v>330</v>
      </c>
      <c r="AV368" s="8">
        <v>88</v>
      </c>
      <c r="AW368" s="8"/>
      <c r="AX368" s="8" t="s">
        <v>387</v>
      </c>
      <c r="AY368" s="8" t="s">
        <v>186</v>
      </c>
      <c r="AZ368" s="8" t="s">
        <v>332</v>
      </c>
      <c r="BA368" s="21" t="str">
        <f>IF(OR(tblsales[[#This Row],[Invoice Value USD]]="",tblsales[[#This Row],[Collected Amount USD]]=""),"",tblsales[[#This Row],[Invoice Value USD]]-tblsales[[#This Row],[Collected Amount USD]])</f>
        <v/>
      </c>
      <c r="BB368" s="21">
        <f>IF(OR(tblsales[[#This Row],[Contract Value USD]]="",tblsales[[#This Row],[Cost Estimate USD]]=""),"",tblsales[[#This Row],[Contract Value USD]]-tblsales[[#This Row],[Cost Estimate USD]])</f>
        <v>3294496.3099650005</v>
      </c>
      <c r="BC368" s="21">
        <f>IF(OR(tblsales[[#This Row],[Contract Value USD]]="",tblsales[[#This Row],[Cost Estimate USD]]=""),"",tblsales[[#This Row],[Contract Value USD]]-tblsales[[#This Row],[Cost Estimate USD]])</f>
        <v>3294496.3099650005</v>
      </c>
      <c r="BD368" s="23" t="str">
        <f>IF(tblsales[[#This Row],[Invoice Value USD]]="","",tblsales[[#This Row],[Collected Amount USD]]/tblsales[[#This Row],[Invoice Value USD]])</f>
        <v/>
      </c>
      <c r="BE368" s="11">
        <f>IF(tblsales[[#This Row],[SalesStage]]="Won",1,0)</f>
        <v>0</v>
      </c>
      <c r="BF368" s="21" t="str">
        <f>IF(tblsales[[#This Row],[Win Flag]]=1,"Won","Lost")</f>
        <v>Lost</v>
      </c>
      <c r="BG368" s="8"/>
    </row>
    <row r="369" spans="1:59" x14ac:dyDescent="0.3">
      <c r="A369" s="10" t="s">
        <v>1422</v>
      </c>
      <c r="B369" s="9">
        <v>45801</v>
      </c>
      <c r="C369" s="10" t="s">
        <v>273</v>
      </c>
      <c r="D369" s="10" t="s">
        <v>190</v>
      </c>
      <c r="E369" s="10" t="s">
        <v>20</v>
      </c>
      <c r="F369" s="10" t="s">
        <v>196</v>
      </c>
      <c r="G369" s="10" t="s">
        <v>62</v>
      </c>
      <c r="H369" s="10" t="s">
        <v>182</v>
      </c>
      <c r="I369" s="10" t="s">
        <v>183</v>
      </c>
      <c r="J369" s="10" t="s">
        <v>136</v>
      </c>
      <c r="K369" s="10" t="s">
        <v>221</v>
      </c>
      <c r="L369" s="10" t="s">
        <v>1423</v>
      </c>
      <c r="M369" s="9">
        <v>45775</v>
      </c>
      <c r="N369" s="9">
        <v>45968</v>
      </c>
      <c r="O369" s="9"/>
      <c r="P369" s="11">
        <v>13</v>
      </c>
      <c r="Q369" s="12">
        <v>25482265</v>
      </c>
      <c r="R369">
        <v>25482265</v>
      </c>
      <c r="S369" s="22">
        <v>0.21</v>
      </c>
      <c r="T369" s="22">
        <v>0.16</v>
      </c>
      <c r="U369" s="12">
        <v>23351947.649999999</v>
      </c>
      <c r="V369" s="24">
        <v>23351947.649999999</v>
      </c>
      <c r="W369" s="8">
        <v>14836937.439999999</v>
      </c>
      <c r="X369" s="24">
        <v>14836937.439999999</v>
      </c>
      <c r="Y369" s="22">
        <v>0.17</v>
      </c>
      <c r="Z369" s="22">
        <v>0.06</v>
      </c>
      <c r="AA369" s="8" t="s">
        <v>1424</v>
      </c>
      <c r="AB369" s="8">
        <v>18297924.73</v>
      </c>
      <c r="AC369" s="24">
        <v>18297924.73</v>
      </c>
      <c r="AD369" s="8">
        <v>11938584.75</v>
      </c>
      <c r="AE369" s="24">
        <v>11938584.75</v>
      </c>
      <c r="AF369" s="8">
        <v>120</v>
      </c>
      <c r="AG369" s="8">
        <v>72</v>
      </c>
      <c r="AH369" s="8" t="s">
        <v>329</v>
      </c>
      <c r="AI369" s="8" t="s">
        <v>406</v>
      </c>
      <c r="AJ369" s="22">
        <v>0.79</v>
      </c>
      <c r="AK369" s="8" t="s">
        <v>152</v>
      </c>
      <c r="AL369" s="22">
        <v>0.1</v>
      </c>
      <c r="AM369" s="22">
        <v>0.1</v>
      </c>
      <c r="AN369" s="8">
        <v>0</v>
      </c>
      <c r="AO369" s="8">
        <v>3246</v>
      </c>
      <c r="AP369" s="8">
        <v>4893037.38</v>
      </c>
      <c r="AQ369" s="24">
        <v>4893037.38</v>
      </c>
      <c r="AR369" s="8">
        <v>3887673.73</v>
      </c>
      <c r="AS369" s="37">
        <v>3887673.73</v>
      </c>
      <c r="AT369" s="8" t="s">
        <v>385</v>
      </c>
      <c r="AU369" s="8" t="s">
        <v>332</v>
      </c>
      <c r="AV369" s="8">
        <v>71.5</v>
      </c>
      <c r="AW369" s="8">
        <v>36</v>
      </c>
      <c r="AX369" s="8" t="s">
        <v>332</v>
      </c>
      <c r="AY369" s="8" t="s">
        <v>192</v>
      </c>
      <c r="AZ369" s="8" t="s">
        <v>188</v>
      </c>
      <c r="BA369" s="21">
        <f>IF(OR(tblsales[[#This Row],[Invoice Value USD]]="",tblsales[[#This Row],[Collected Amount USD]]=""),"",tblsales[[#This Row],[Invoice Value USD]]-tblsales[[#This Row],[Collected Amount USD]])</f>
        <v>6359339.9800000004</v>
      </c>
      <c r="BB369" s="21">
        <f>IF(OR(tblsales[[#This Row],[Contract Value USD]]="",tblsales[[#This Row],[Cost Estimate USD]]=""),"",tblsales[[#This Row],[Contract Value USD]]-tblsales[[#This Row],[Cost Estimate USD]])</f>
        <v>8515010.209999999</v>
      </c>
      <c r="BC369" s="21">
        <f>IF(OR(tblsales[[#This Row],[Contract Value USD]]="",tblsales[[#This Row],[Cost Estimate USD]]=""),"",tblsales[[#This Row],[Contract Value USD]]-tblsales[[#This Row],[Cost Estimate USD]])</f>
        <v>8515010.209999999</v>
      </c>
      <c r="BD369" s="23">
        <f>IF(tblsales[[#This Row],[Invoice Value USD]]="","",tblsales[[#This Row],[Collected Amount USD]]/tblsales[[#This Row],[Invoice Value USD]])</f>
        <v>0.65245567058357878</v>
      </c>
      <c r="BE369" s="11">
        <f>IF(tblsales[[#This Row],[SalesStage]]="Won",1,0)</f>
        <v>0</v>
      </c>
      <c r="BF369" s="21" t="str">
        <f>IF(tblsales[[#This Row],[Win Flag]]=1,"Won","Lost")</f>
        <v>Lost</v>
      </c>
      <c r="BG369" s="8"/>
    </row>
    <row r="370" spans="1:59" x14ac:dyDescent="0.3">
      <c r="A370" s="10" t="s">
        <v>1425</v>
      </c>
      <c r="B370" s="9">
        <v>45889</v>
      </c>
      <c r="C370" s="10" t="s">
        <v>272</v>
      </c>
      <c r="D370" s="10" t="s">
        <v>209</v>
      </c>
      <c r="E370" s="10" t="s">
        <v>20</v>
      </c>
      <c r="F370" s="10" t="s">
        <v>196</v>
      </c>
      <c r="G370" s="10" t="s">
        <v>332</v>
      </c>
      <c r="H370" s="10" t="s">
        <v>182</v>
      </c>
      <c r="I370" s="10" t="s">
        <v>203</v>
      </c>
      <c r="J370" s="10" t="s">
        <v>136</v>
      </c>
      <c r="K370" s="10" t="s">
        <v>199</v>
      </c>
      <c r="L370" s="10" t="s">
        <v>1426</v>
      </c>
      <c r="M370" s="9">
        <v>45968</v>
      </c>
      <c r="N370" s="9"/>
      <c r="O370" s="9">
        <v>45923</v>
      </c>
      <c r="P370" s="11">
        <v>13</v>
      </c>
      <c r="Q370" s="12">
        <v>48705344</v>
      </c>
      <c r="R370">
        <v>48705344</v>
      </c>
      <c r="S370" s="22">
        <v>0.01</v>
      </c>
      <c r="T370" s="22">
        <v>0.16</v>
      </c>
      <c r="U370" s="12">
        <v>55933217.049999997</v>
      </c>
      <c r="V370" s="24">
        <v>55933217.049999997</v>
      </c>
      <c r="W370" s="8">
        <v>36788873.890000001</v>
      </c>
      <c r="X370" s="24">
        <v>36788873.890000001</v>
      </c>
      <c r="Y370" s="22">
        <v>0.05</v>
      </c>
      <c r="Z370" s="22">
        <v>0.08</v>
      </c>
      <c r="AA370" s="8" t="s">
        <v>1427</v>
      </c>
      <c r="AB370" s="8">
        <v>23470791.48</v>
      </c>
      <c r="AC370" s="24">
        <v>23470791.48</v>
      </c>
      <c r="AD370" s="8">
        <v>22364181.760000002</v>
      </c>
      <c r="AE370" s="24">
        <v>22364181.760000002</v>
      </c>
      <c r="AF370" s="8">
        <v>90</v>
      </c>
      <c r="AG370" s="8">
        <v>127</v>
      </c>
      <c r="AH370" s="8" t="s">
        <v>353</v>
      </c>
      <c r="AI370" s="8" t="s">
        <v>320</v>
      </c>
      <c r="AJ370" s="22">
        <v>0.98</v>
      </c>
      <c r="AK370" s="8" t="s">
        <v>152</v>
      </c>
      <c r="AL370" s="22">
        <v>0.1</v>
      </c>
      <c r="AM370" s="22">
        <v>0.09</v>
      </c>
      <c r="AN370" s="8">
        <v>0</v>
      </c>
      <c r="AO370" s="8">
        <v>2828</v>
      </c>
      <c r="AP370" s="8">
        <v>1882561.14</v>
      </c>
      <c r="AQ370" s="24">
        <v>1882561.14</v>
      </c>
      <c r="AR370" s="8">
        <v>21912070.629999999</v>
      </c>
      <c r="AS370" s="37">
        <v>21912070.629999999</v>
      </c>
      <c r="AT370" s="8" t="s">
        <v>385</v>
      </c>
      <c r="AU370" s="8" t="s">
        <v>386</v>
      </c>
      <c r="AV370" s="8"/>
      <c r="AW370" s="8">
        <v>36</v>
      </c>
      <c r="AX370" s="8" t="s">
        <v>323</v>
      </c>
      <c r="AY370" s="8" t="s">
        <v>206</v>
      </c>
      <c r="AZ370" s="8" t="s">
        <v>357</v>
      </c>
      <c r="BA370" s="21">
        <f>IF(OR(tblsales[[#This Row],[Invoice Value USD]]="",tblsales[[#This Row],[Collected Amount USD]]=""),"",tblsales[[#This Row],[Invoice Value USD]]-tblsales[[#This Row],[Collected Amount USD]])</f>
        <v>1106609.7199999988</v>
      </c>
      <c r="BB370" s="21">
        <f>IF(OR(tblsales[[#This Row],[Contract Value USD]]="",tblsales[[#This Row],[Cost Estimate USD]]=""),"",tblsales[[#This Row],[Contract Value USD]]-tblsales[[#This Row],[Cost Estimate USD]])</f>
        <v>19144343.159999996</v>
      </c>
      <c r="BC370" s="21">
        <f>IF(OR(tblsales[[#This Row],[Contract Value USD]]="",tblsales[[#This Row],[Cost Estimate USD]]=""),"",tblsales[[#This Row],[Contract Value USD]]-tblsales[[#This Row],[Cost Estimate USD]])</f>
        <v>19144343.159999996</v>
      </c>
      <c r="BD370" s="23">
        <f>IF(tblsales[[#This Row],[Invoice Value USD]]="","",tblsales[[#This Row],[Collected Amount USD]]/tblsales[[#This Row],[Invoice Value USD]])</f>
        <v>0.95285162322101635</v>
      </c>
      <c r="BE370" s="11">
        <f>IF(tblsales[[#This Row],[SalesStage]]="Won",1,0)</f>
        <v>1</v>
      </c>
      <c r="BF370" s="21" t="str">
        <f>IF(tblsales[[#This Row],[Win Flag]]=1,"Won","Lost")</f>
        <v>Won</v>
      </c>
      <c r="BG370" s="8"/>
    </row>
    <row r="371" spans="1:59" x14ac:dyDescent="0.3">
      <c r="A371" s="10" t="s">
        <v>1428</v>
      </c>
      <c r="B371" s="9">
        <v>46074</v>
      </c>
      <c r="C371" s="10" t="s">
        <v>276</v>
      </c>
      <c r="D371" s="10" t="s">
        <v>262</v>
      </c>
      <c r="E371" s="10" t="s">
        <v>20</v>
      </c>
      <c r="F371" s="10" t="s">
        <v>31</v>
      </c>
      <c r="G371" s="10" t="s">
        <v>28</v>
      </c>
      <c r="H371" s="10" t="s">
        <v>182</v>
      </c>
      <c r="I371" s="10" t="s">
        <v>240</v>
      </c>
      <c r="J371" s="10" t="s">
        <v>136</v>
      </c>
      <c r="K371" s="10" t="s">
        <v>204</v>
      </c>
      <c r="L371" s="10" t="s">
        <v>1429</v>
      </c>
      <c r="M371" s="9">
        <v>45990</v>
      </c>
      <c r="N371" s="9">
        <v>46095</v>
      </c>
      <c r="O371" s="9">
        <v>46271</v>
      </c>
      <c r="P371" s="11">
        <v>10</v>
      </c>
      <c r="Q371" s="12">
        <v>37404080</v>
      </c>
      <c r="R371">
        <v>10185130.983999999</v>
      </c>
      <c r="S371" s="22">
        <v>0.28000000000000003</v>
      </c>
      <c r="T371" s="22">
        <v>0.02</v>
      </c>
      <c r="U371" s="12">
        <v>27469556.350000001</v>
      </c>
      <c r="V371" s="24">
        <v>7479960.1941050002</v>
      </c>
      <c r="W371" s="8">
        <v>24450494.34</v>
      </c>
      <c r="X371" s="24">
        <v>6657869.6087819999</v>
      </c>
      <c r="Y371" s="22">
        <v>0.08</v>
      </c>
      <c r="Z371" s="22">
        <v>0.12</v>
      </c>
      <c r="AA371" s="8" t="s">
        <v>1430</v>
      </c>
      <c r="AB371" s="8">
        <v>19664427.969999999</v>
      </c>
      <c r="AC371" s="24">
        <v>5354623.7362309992</v>
      </c>
      <c r="AD371" s="8">
        <v>15712375.539999999</v>
      </c>
      <c r="AE371" s="24">
        <v>4278479.8595419992</v>
      </c>
      <c r="AF371" s="8">
        <v>45</v>
      </c>
      <c r="AG371" s="8">
        <v>50</v>
      </c>
      <c r="AH371" s="8" t="s">
        <v>376</v>
      </c>
      <c r="AI371" s="8" t="s">
        <v>455</v>
      </c>
      <c r="AJ371" s="22">
        <v>0.87</v>
      </c>
      <c r="AK371" s="8" t="s">
        <v>153</v>
      </c>
      <c r="AL371" s="22">
        <v>0.1</v>
      </c>
      <c r="AM371" s="22">
        <v>0.09</v>
      </c>
      <c r="AN371" s="8">
        <v>12</v>
      </c>
      <c r="AO371" s="8">
        <v>2207</v>
      </c>
      <c r="AP371" s="8">
        <v>4127634.84</v>
      </c>
      <c r="AQ371" s="24">
        <v>1123954.9669319999</v>
      </c>
      <c r="AR371" s="8">
        <v>6503668.29</v>
      </c>
      <c r="AS371" s="37">
        <v>1770948.875367</v>
      </c>
      <c r="AT371" s="8" t="s">
        <v>343</v>
      </c>
      <c r="AU371" s="8" t="s">
        <v>348</v>
      </c>
      <c r="AV371" s="8">
        <v>58</v>
      </c>
      <c r="AW371" s="8">
        <v>12</v>
      </c>
      <c r="AX371" s="8" t="s">
        <v>387</v>
      </c>
      <c r="AY371" s="8" t="s">
        <v>229</v>
      </c>
      <c r="AZ371" s="8" t="s">
        <v>332</v>
      </c>
      <c r="BA371" s="21">
        <f>IF(OR(tblsales[[#This Row],[Invoice Value USD]]="",tblsales[[#This Row],[Collected Amount USD]]=""),"",tblsales[[#This Row],[Invoice Value USD]]-tblsales[[#This Row],[Collected Amount USD]])</f>
        <v>1076143.8766890001</v>
      </c>
      <c r="BB371" s="21">
        <f>IF(OR(tblsales[[#This Row],[Contract Value USD]]="",tblsales[[#This Row],[Cost Estimate USD]]=""),"",tblsales[[#This Row],[Contract Value USD]]-tblsales[[#This Row],[Cost Estimate USD]])</f>
        <v>822090.58532300033</v>
      </c>
      <c r="BC371" s="21">
        <f>IF(OR(tblsales[[#This Row],[Contract Value USD]]="",tblsales[[#This Row],[Cost Estimate USD]]=""),"",tblsales[[#This Row],[Contract Value USD]]-tblsales[[#This Row],[Cost Estimate USD]])</f>
        <v>822090.58532300033</v>
      </c>
      <c r="BD371" s="23">
        <f>IF(tblsales[[#This Row],[Invoice Value USD]]="","",tblsales[[#This Row],[Collected Amount USD]]/tblsales[[#This Row],[Invoice Value USD]])</f>
        <v>0.79902530416703488</v>
      </c>
      <c r="BE371" s="11">
        <f>IF(tblsales[[#This Row],[SalesStage]]="Won",1,0)</f>
        <v>0</v>
      </c>
      <c r="BF371" s="21" t="str">
        <f>IF(tblsales[[#This Row],[Win Flag]]=1,"Won","Lost")</f>
        <v>Lost</v>
      </c>
      <c r="BG371" s="8"/>
    </row>
    <row r="372" spans="1:59" x14ac:dyDescent="0.3">
      <c r="A372" s="10" t="s">
        <v>1431</v>
      </c>
      <c r="B372" s="9">
        <v>45848</v>
      </c>
      <c r="C372" s="10" t="s">
        <v>189</v>
      </c>
      <c r="D372" s="10" t="s">
        <v>274</v>
      </c>
      <c r="E372" s="10" t="s">
        <v>41</v>
      </c>
      <c r="F372" s="10" t="s">
        <v>350</v>
      </c>
      <c r="G372" s="10" t="s">
        <v>80</v>
      </c>
      <c r="H372" s="10" t="s">
        <v>236</v>
      </c>
      <c r="I372" s="10" t="s">
        <v>183</v>
      </c>
      <c r="J372" s="10" t="s">
        <v>130</v>
      </c>
      <c r="K372" s="10" t="s">
        <v>223</v>
      </c>
      <c r="L372" s="10" t="s">
        <v>1432</v>
      </c>
      <c r="M372" s="9">
        <v>45821</v>
      </c>
      <c r="N372" s="9"/>
      <c r="O372" s="9"/>
      <c r="P372" s="11">
        <v>25</v>
      </c>
      <c r="Q372" s="12"/>
      <c r="S372" s="22">
        <v>0.26</v>
      </c>
      <c r="T372" s="22">
        <v>-0.02</v>
      </c>
      <c r="U372" s="12">
        <v>11441662.43</v>
      </c>
      <c r="V372" s="24">
        <v>3115564.6796889999</v>
      </c>
      <c r="W372" s="8">
        <v>9817151.7799999993</v>
      </c>
      <c r="X372" s="24">
        <v>2673210.4296939997</v>
      </c>
      <c r="Y372" s="22">
        <v>0.16</v>
      </c>
      <c r="Z372" s="22">
        <v>0.09</v>
      </c>
      <c r="AA372" s="8" t="s">
        <v>1433</v>
      </c>
      <c r="AB372" s="8">
        <v>4691303.21</v>
      </c>
      <c r="AC372" s="24">
        <v>1277441.864083</v>
      </c>
      <c r="AD372" s="8">
        <v>4975748.76</v>
      </c>
      <c r="AE372" s="24">
        <v>1354896.387348</v>
      </c>
      <c r="AF372" s="8">
        <v>90</v>
      </c>
      <c r="AG372" s="8">
        <v>82</v>
      </c>
      <c r="AH372" s="8" t="s">
        <v>376</v>
      </c>
      <c r="AI372" s="8" t="s">
        <v>226</v>
      </c>
      <c r="AJ372" s="22">
        <v>0.19</v>
      </c>
      <c r="AK372" s="8" t="s">
        <v>153</v>
      </c>
      <c r="AL372" s="22">
        <v>0.15</v>
      </c>
      <c r="AM372" s="22">
        <v>7.0000000000000007E-2</v>
      </c>
      <c r="AN372" s="8">
        <v>12</v>
      </c>
      <c r="AO372" s="8">
        <v>414</v>
      </c>
      <c r="AP372" s="8">
        <v>1390983.7</v>
      </c>
      <c r="AQ372" s="24">
        <v>378764.86150999996</v>
      </c>
      <c r="AR372" s="8">
        <v>3253988.13</v>
      </c>
      <c r="AS372" s="37">
        <v>886060.96779899998</v>
      </c>
      <c r="AT372" s="8" t="s">
        <v>355</v>
      </c>
      <c r="AU372" s="8" t="s">
        <v>356</v>
      </c>
      <c r="AV372" s="8">
        <v>55</v>
      </c>
      <c r="AW372" s="8">
        <v>48</v>
      </c>
      <c r="AX372" s="8" t="s">
        <v>332</v>
      </c>
      <c r="AY372" s="8" t="s">
        <v>224</v>
      </c>
      <c r="AZ372" s="8" t="s">
        <v>188</v>
      </c>
      <c r="BA372" s="21">
        <f>IF(OR(tblsales[[#This Row],[Invoice Value USD]]="",tblsales[[#This Row],[Collected Amount USD]]=""),"",tblsales[[#This Row],[Invoice Value USD]]-tblsales[[#This Row],[Collected Amount USD]])</f>
        <v>-77454.523264999967</v>
      </c>
      <c r="BB372" s="21">
        <f>IF(OR(tblsales[[#This Row],[Contract Value USD]]="",tblsales[[#This Row],[Cost Estimate USD]]=""),"",tblsales[[#This Row],[Contract Value USD]]-tblsales[[#This Row],[Cost Estimate USD]])</f>
        <v>442354.24999500019</v>
      </c>
      <c r="BC372" s="21">
        <f>IF(OR(tblsales[[#This Row],[Contract Value USD]]="",tblsales[[#This Row],[Cost Estimate USD]]=""),"",tblsales[[#This Row],[Contract Value USD]]-tblsales[[#This Row],[Cost Estimate USD]])</f>
        <v>442354.24999500019</v>
      </c>
      <c r="BD372" s="23">
        <f>IF(tblsales[[#This Row],[Invoice Value USD]]="","",tblsales[[#This Row],[Collected Amount USD]]/tblsales[[#This Row],[Invoice Value USD]])</f>
        <v>1.0606325230468316</v>
      </c>
      <c r="BE372" s="11">
        <f>IF(tblsales[[#This Row],[SalesStage]]="Won",1,0)</f>
        <v>0</v>
      </c>
      <c r="BF372" s="21" t="str">
        <f>IF(tblsales[[#This Row],[Win Flag]]=1,"Won","Lost")</f>
        <v>Lost</v>
      </c>
      <c r="BG372" s="8"/>
    </row>
    <row r="373" spans="1:59" x14ac:dyDescent="0.3">
      <c r="A373" s="10" t="s">
        <v>1434</v>
      </c>
      <c r="B373" s="9">
        <v>45736</v>
      </c>
      <c r="C373" s="10" t="s">
        <v>231</v>
      </c>
      <c r="D373" s="10" t="s">
        <v>220</v>
      </c>
      <c r="E373" s="10" t="s">
        <v>41</v>
      </c>
      <c r="F373" s="10" t="s">
        <v>363</v>
      </c>
      <c r="G373" s="10" t="s">
        <v>66</v>
      </c>
      <c r="H373" s="10" t="s">
        <v>182</v>
      </c>
      <c r="I373" s="10" t="s">
        <v>198</v>
      </c>
      <c r="J373" s="10" t="s">
        <v>130</v>
      </c>
      <c r="K373" s="10" t="s">
        <v>210</v>
      </c>
      <c r="L373" s="10" t="s">
        <v>1435</v>
      </c>
      <c r="M373" s="9">
        <v>45681</v>
      </c>
      <c r="N373" s="9"/>
      <c r="O373" s="9">
        <v>45835</v>
      </c>
      <c r="P373" s="11">
        <v>20</v>
      </c>
      <c r="Q373" s="12">
        <v>6469599</v>
      </c>
      <c r="R373">
        <v>6469599</v>
      </c>
      <c r="S373" s="22">
        <v>0.18</v>
      </c>
      <c r="T373" s="22">
        <v>0.01</v>
      </c>
      <c r="U373" s="12">
        <v>5358121.8899999997</v>
      </c>
      <c r="V373" s="24">
        <v>5358121.8899999997</v>
      </c>
      <c r="W373" s="8">
        <v>4050362.93</v>
      </c>
      <c r="X373" s="24">
        <v>4050362.93</v>
      </c>
      <c r="Y373" s="22">
        <v>0.32</v>
      </c>
      <c r="Z373" s="22">
        <v>0.1</v>
      </c>
      <c r="AA373" s="8" t="s">
        <v>1436</v>
      </c>
      <c r="AB373" s="8">
        <v>3996316.29</v>
      </c>
      <c r="AC373" s="24">
        <v>3996316.29</v>
      </c>
      <c r="AD373" s="8">
        <v>3207547.53</v>
      </c>
      <c r="AE373" s="24">
        <v>3207547.53</v>
      </c>
      <c r="AF373" s="8">
        <v>60</v>
      </c>
      <c r="AG373" s="8">
        <v>180</v>
      </c>
      <c r="AH373" s="8" t="s">
        <v>342</v>
      </c>
      <c r="AI373" s="8" t="s">
        <v>406</v>
      </c>
      <c r="AJ373" s="22">
        <v>0.93</v>
      </c>
      <c r="AK373" s="8" t="s">
        <v>152</v>
      </c>
      <c r="AL373" s="22">
        <v>0.05</v>
      </c>
      <c r="AM373" s="22">
        <v>0.06</v>
      </c>
      <c r="AN373" s="8">
        <v>0</v>
      </c>
      <c r="AO373" s="8">
        <v>3591</v>
      </c>
      <c r="AP373" s="8">
        <v>696019.85</v>
      </c>
      <c r="AQ373" s="24">
        <v>696019.85</v>
      </c>
      <c r="AR373" s="8">
        <v>904238.97</v>
      </c>
      <c r="AS373" s="37">
        <v>904238.97</v>
      </c>
      <c r="AT373" s="8" t="s">
        <v>332</v>
      </c>
      <c r="AU373" s="8" t="s">
        <v>348</v>
      </c>
      <c r="AV373" s="8">
        <v>91.5</v>
      </c>
      <c r="AW373" s="8">
        <v>36</v>
      </c>
      <c r="AX373" s="8" t="s">
        <v>332</v>
      </c>
      <c r="AY373" s="8" t="s">
        <v>186</v>
      </c>
      <c r="AZ373" s="8" t="s">
        <v>332</v>
      </c>
      <c r="BA373" s="21">
        <f>IF(OR(tblsales[[#This Row],[Invoice Value USD]]="",tblsales[[#This Row],[Collected Amount USD]]=""),"",tblsales[[#This Row],[Invoice Value USD]]-tblsales[[#This Row],[Collected Amount USD]])</f>
        <v>788768.76000000024</v>
      </c>
      <c r="BB373" s="21">
        <f>IF(OR(tblsales[[#This Row],[Contract Value USD]]="",tblsales[[#This Row],[Cost Estimate USD]]=""),"",tblsales[[#This Row],[Contract Value USD]]-tblsales[[#This Row],[Cost Estimate USD]])</f>
        <v>1307758.9599999995</v>
      </c>
      <c r="BC373" s="21">
        <f>IF(OR(tblsales[[#This Row],[Contract Value USD]]="",tblsales[[#This Row],[Cost Estimate USD]]=""),"",tblsales[[#This Row],[Contract Value USD]]-tblsales[[#This Row],[Cost Estimate USD]])</f>
        <v>1307758.9599999995</v>
      </c>
      <c r="BD373" s="23">
        <f>IF(tblsales[[#This Row],[Invoice Value USD]]="","",tblsales[[#This Row],[Collected Amount USD]]/tblsales[[#This Row],[Invoice Value USD]])</f>
        <v>0.80262604289511819</v>
      </c>
      <c r="BE373" s="11">
        <f>IF(tblsales[[#This Row],[SalesStage]]="Won",1,0)</f>
        <v>0</v>
      </c>
      <c r="BF373" s="21" t="str">
        <f>IF(tblsales[[#This Row],[Win Flag]]=1,"Won","Lost")</f>
        <v>Lost</v>
      </c>
      <c r="BG373" s="8"/>
    </row>
    <row r="374" spans="1:59" x14ac:dyDescent="0.3">
      <c r="A374" s="10" t="s">
        <v>1437</v>
      </c>
      <c r="B374" s="9">
        <v>45768</v>
      </c>
      <c r="C374" s="10" t="s">
        <v>258</v>
      </c>
      <c r="D374" s="10" t="s">
        <v>232</v>
      </c>
      <c r="E374" s="10" t="s">
        <v>332</v>
      </c>
      <c r="F374" s="10" t="s">
        <v>75</v>
      </c>
      <c r="G374" s="10" t="s">
        <v>28</v>
      </c>
      <c r="H374" s="10" t="s">
        <v>197</v>
      </c>
      <c r="I374" s="10" t="s">
        <v>183</v>
      </c>
      <c r="J374" s="10" t="s">
        <v>130</v>
      </c>
      <c r="K374" s="10" t="s">
        <v>184</v>
      </c>
      <c r="L374" s="10" t="s">
        <v>1438</v>
      </c>
      <c r="M374" s="9">
        <v>45747</v>
      </c>
      <c r="N374" s="9">
        <v>45813</v>
      </c>
      <c r="O374" s="9"/>
      <c r="P374" s="11">
        <v>14</v>
      </c>
      <c r="Q374" s="12">
        <v>42991829</v>
      </c>
      <c r="R374">
        <v>42991829</v>
      </c>
      <c r="S374" s="22">
        <v>0.31</v>
      </c>
      <c r="T374" s="22">
        <v>0.13</v>
      </c>
      <c r="U374" s="12">
        <v>33520729.07</v>
      </c>
      <c r="V374" s="24">
        <v>33520729.07</v>
      </c>
      <c r="W374" s="8">
        <v>28037351.300000001</v>
      </c>
      <c r="X374" s="24">
        <v>28037351.300000001</v>
      </c>
      <c r="Y374" s="22">
        <v>0.28000000000000003</v>
      </c>
      <c r="Z374" s="22">
        <v>0.11</v>
      </c>
      <c r="AA374" s="8" t="s">
        <v>1439</v>
      </c>
      <c r="AB374" s="8">
        <v>3959808.21</v>
      </c>
      <c r="AC374" s="24">
        <v>3959808.21</v>
      </c>
      <c r="AD374" s="8">
        <v>3043040.49</v>
      </c>
      <c r="AE374" s="24">
        <v>3043040.49</v>
      </c>
      <c r="AF374" s="8">
        <v>45</v>
      </c>
      <c r="AG374" s="8">
        <v>143</v>
      </c>
      <c r="AH374" s="8" t="s">
        <v>353</v>
      </c>
      <c r="AI374" s="8" t="s">
        <v>455</v>
      </c>
      <c r="AJ374" s="22">
        <v>0.2</v>
      </c>
      <c r="AK374" s="8" t="s">
        <v>152</v>
      </c>
      <c r="AL374" s="22">
        <v>0.05</v>
      </c>
      <c r="AM374" s="22">
        <v>0.09</v>
      </c>
      <c r="AN374" s="8">
        <v>0</v>
      </c>
      <c r="AO374" s="8">
        <v>2817</v>
      </c>
      <c r="AP374" s="8">
        <v>1076067.24</v>
      </c>
      <c r="AQ374" s="24">
        <v>1076067.24</v>
      </c>
      <c r="AR374" s="8">
        <v>9121775.7599999998</v>
      </c>
      <c r="AS374" s="37">
        <v>9121775.7599999998</v>
      </c>
      <c r="AT374" s="8" t="s">
        <v>321</v>
      </c>
      <c r="AU374" s="8" t="s">
        <v>332</v>
      </c>
      <c r="AV374" s="8">
        <v>52</v>
      </c>
      <c r="AW374" s="8">
        <v>48</v>
      </c>
      <c r="AX374" s="8" t="s">
        <v>332</v>
      </c>
      <c r="AY374" s="8" t="s">
        <v>192</v>
      </c>
      <c r="AZ374" s="8" t="s">
        <v>357</v>
      </c>
      <c r="BA374" s="21">
        <f>IF(OR(tblsales[[#This Row],[Invoice Value USD]]="",tblsales[[#This Row],[Collected Amount USD]]=""),"",tblsales[[#This Row],[Invoice Value USD]]-tblsales[[#This Row],[Collected Amount USD]])</f>
        <v>916767.71999999974</v>
      </c>
      <c r="BB374" s="21">
        <f>IF(OR(tblsales[[#This Row],[Contract Value USD]]="",tblsales[[#This Row],[Cost Estimate USD]]=""),"",tblsales[[#This Row],[Contract Value USD]]-tblsales[[#This Row],[Cost Estimate USD]])</f>
        <v>5483377.7699999996</v>
      </c>
      <c r="BC374" s="21">
        <f>IF(OR(tblsales[[#This Row],[Contract Value USD]]="",tblsales[[#This Row],[Cost Estimate USD]]=""),"",tblsales[[#This Row],[Contract Value USD]]-tblsales[[#This Row],[Cost Estimate USD]])</f>
        <v>5483377.7699999996</v>
      </c>
      <c r="BD374" s="23">
        <f>IF(tblsales[[#This Row],[Invoice Value USD]]="","",tblsales[[#This Row],[Collected Amount USD]]/tblsales[[#This Row],[Invoice Value USD]])</f>
        <v>0.76848178715200965</v>
      </c>
      <c r="BE374" s="11">
        <f>IF(tblsales[[#This Row],[SalesStage]]="Won",1,0)</f>
        <v>0</v>
      </c>
      <c r="BF374" s="21" t="str">
        <f>IF(tblsales[[#This Row],[Win Flag]]=1,"Won","Lost")</f>
        <v>Lost</v>
      </c>
      <c r="BG374" s="8"/>
    </row>
    <row r="375" spans="1:59" x14ac:dyDescent="0.3">
      <c r="A375" s="10" t="s">
        <v>1440</v>
      </c>
      <c r="B375" s="9">
        <v>46035</v>
      </c>
      <c r="C375" s="10" t="s">
        <v>254</v>
      </c>
      <c r="D375" s="10" t="s">
        <v>215</v>
      </c>
      <c r="E375" s="10" t="s">
        <v>41</v>
      </c>
      <c r="F375" s="10" t="s">
        <v>228</v>
      </c>
      <c r="G375" s="10" t="s">
        <v>70</v>
      </c>
      <c r="H375" s="10" t="s">
        <v>182</v>
      </c>
      <c r="I375" s="10" t="s">
        <v>233</v>
      </c>
      <c r="J375" s="10" t="s">
        <v>105</v>
      </c>
      <c r="K375" s="10" t="s">
        <v>333</v>
      </c>
      <c r="L375" s="10" t="s">
        <v>1441</v>
      </c>
      <c r="M375" s="9">
        <v>45911</v>
      </c>
      <c r="N375" s="9">
        <v>46048</v>
      </c>
      <c r="O375" s="9"/>
      <c r="P375" s="11">
        <v>17</v>
      </c>
      <c r="Q375" s="12">
        <v>5864135</v>
      </c>
      <c r="R375">
        <v>1596803.9604999998</v>
      </c>
      <c r="S375" s="22">
        <v>0.21</v>
      </c>
      <c r="T375" s="22">
        <v>0.01</v>
      </c>
      <c r="U375" s="12">
        <v>4678993.32</v>
      </c>
      <c r="V375" s="24">
        <v>1274089.8810360001</v>
      </c>
      <c r="W375" s="8">
        <v>3087974.43</v>
      </c>
      <c r="X375" s="24">
        <v>840855.43728900002</v>
      </c>
      <c r="Y375" s="22">
        <v>0.21</v>
      </c>
      <c r="Z375" s="22">
        <v>0.11</v>
      </c>
      <c r="AA375" s="8" t="s">
        <v>1442</v>
      </c>
      <c r="AB375" s="8">
        <v>3268572.53</v>
      </c>
      <c r="AC375" s="24">
        <v>890032.2999189999</v>
      </c>
      <c r="AD375" s="8">
        <v>2389309.04</v>
      </c>
      <c r="AE375" s="24">
        <v>650608.85159199999</v>
      </c>
      <c r="AF375" s="8">
        <v>45</v>
      </c>
      <c r="AG375" s="8">
        <v>35</v>
      </c>
      <c r="AH375" s="8" t="s">
        <v>329</v>
      </c>
      <c r="AI375" s="8" t="s">
        <v>226</v>
      </c>
      <c r="AJ375" s="22">
        <v>0.2</v>
      </c>
      <c r="AK375" s="8" t="s">
        <v>153</v>
      </c>
      <c r="AL375" s="22">
        <v>0.1</v>
      </c>
      <c r="AM375" s="22">
        <v>0.02</v>
      </c>
      <c r="AN375" s="8">
        <v>7</v>
      </c>
      <c r="AO375" s="8">
        <v>111</v>
      </c>
      <c r="AP375" s="8">
        <v>946512.48</v>
      </c>
      <c r="AQ375" s="24">
        <v>257735.34830399998</v>
      </c>
      <c r="AR375" s="8">
        <v>1801508.43</v>
      </c>
      <c r="AS375" s="37">
        <v>490550.74548899994</v>
      </c>
      <c r="AT375" s="8" t="s">
        <v>332</v>
      </c>
      <c r="AU375" s="8" t="s">
        <v>322</v>
      </c>
      <c r="AV375" s="8">
        <v>83.7</v>
      </c>
      <c r="AW375" s="8">
        <v>36</v>
      </c>
      <c r="AX375" s="8" t="s">
        <v>387</v>
      </c>
      <c r="AY375" s="8" t="s">
        <v>186</v>
      </c>
      <c r="AZ375" s="8" t="s">
        <v>361</v>
      </c>
      <c r="BA375" s="21">
        <f>IF(OR(tblsales[[#This Row],[Invoice Value USD]]="",tblsales[[#This Row],[Collected Amount USD]]=""),"",tblsales[[#This Row],[Invoice Value USD]]-tblsales[[#This Row],[Collected Amount USD]])</f>
        <v>239423.4483269999</v>
      </c>
      <c r="BB375" s="21">
        <f>IF(OR(tblsales[[#This Row],[Contract Value USD]]="",tblsales[[#This Row],[Cost Estimate USD]]=""),"",tblsales[[#This Row],[Contract Value USD]]-tblsales[[#This Row],[Cost Estimate USD]])</f>
        <v>433234.44374700007</v>
      </c>
      <c r="BC375" s="21">
        <f>IF(OR(tblsales[[#This Row],[Contract Value USD]]="",tblsales[[#This Row],[Cost Estimate USD]]=""),"",tblsales[[#This Row],[Contract Value USD]]-tblsales[[#This Row],[Cost Estimate USD]])</f>
        <v>433234.44374700007</v>
      </c>
      <c r="BD375" s="23">
        <f>IF(tblsales[[#This Row],[Invoice Value USD]]="","",tblsales[[#This Row],[Collected Amount USD]]/tblsales[[#This Row],[Invoice Value USD]])</f>
        <v>0.73099465227409233</v>
      </c>
      <c r="BE375" s="11">
        <f>IF(tblsales[[#This Row],[SalesStage]]="Won",1,0)</f>
        <v>0</v>
      </c>
      <c r="BF375" s="21" t="str">
        <f>IF(tblsales[[#This Row],[Win Flag]]=1,"Won","Lost")</f>
        <v>Lost</v>
      </c>
      <c r="BG375" s="8"/>
    </row>
    <row r="376" spans="1:59" x14ac:dyDescent="0.3">
      <c r="A376" s="10" t="s">
        <v>1443</v>
      </c>
      <c r="B376" s="9">
        <v>45717</v>
      </c>
      <c r="C376" s="10" t="s">
        <v>244</v>
      </c>
      <c r="D376" s="10" t="s">
        <v>202</v>
      </c>
      <c r="E376" s="10" t="s">
        <v>332</v>
      </c>
      <c r="F376" s="10" t="s">
        <v>228</v>
      </c>
      <c r="G376" s="10" t="s">
        <v>38</v>
      </c>
      <c r="H376" s="10" t="s">
        <v>236</v>
      </c>
      <c r="I376" s="10" t="s">
        <v>191</v>
      </c>
      <c r="J376" s="10" t="s">
        <v>130</v>
      </c>
      <c r="K376" s="10" t="s">
        <v>333</v>
      </c>
      <c r="L376" s="10" t="s">
        <v>1444</v>
      </c>
      <c r="M376" s="9">
        <v>45628</v>
      </c>
      <c r="N376" s="9"/>
      <c r="O376" s="9">
        <v>45781</v>
      </c>
      <c r="P376" s="11">
        <v>17</v>
      </c>
      <c r="Q376" s="12">
        <v>13395441</v>
      </c>
      <c r="R376">
        <v>3647578.5842999998</v>
      </c>
      <c r="S376" s="22">
        <v>0.17</v>
      </c>
      <c r="T376" s="22">
        <v>7.0000000000000007E-2</v>
      </c>
      <c r="U376" s="12">
        <v>11896491.15</v>
      </c>
      <c r="V376" s="24">
        <v>3239414.540145</v>
      </c>
      <c r="W376" s="8">
        <v>8089407.1200000001</v>
      </c>
      <c r="X376" s="24">
        <v>2202745.558776</v>
      </c>
      <c r="Y376" s="22">
        <v>0.32</v>
      </c>
      <c r="Z376" s="22">
        <v>0.08</v>
      </c>
      <c r="AA376" s="8" t="s">
        <v>1445</v>
      </c>
      <c r="AB376" s="8">
        <v>7253510.7699999996</v>
      </c>
      <c r="AC376" s="24">
        <v>1975130.9826709998</v>
      </c>
      <c r="AD376" s="8">
        <v>4429640.66</v>
      </c>
      <c r="AE376" s="24">
        <v>1206191.151718</v>
      </c>
      <c r="AF376" s="8">
        <v>60</v>
      </c>
      <c r="AG376" s="8">
        <v>123</v>
      </c>
      <c r="AH376" s="8" t="s">
        <v>376</v>
      </c>
      <c r="AI376" s="8" t="s">
        <v>354</v>
      </c>
      <c r="AJ376" s="22">
        <v>0.94</v>
      </c>
      <c r="AK376" s="8" t="s">
        <v>153</v>
      </c>
      <c r="AL376" s="22">
        <v>0.05</v>
      </c>
      <c r="AM376" s="22">
        <v>0.05</v>
      </c>
      <c r="AN376" s="8">
        <v>6</v>
      </c>
      <c r="AO376" s="8">
        <v>2103</v>
      </c>
      <c r="AP376" s="8">
        <v>2319777.2799999998</v>
      </c>
      <c r="AQ376" s="24">
        <v>631675.35334399994</v>
      </c>
      <c r="AR376" s="8"/>
      <c r="AS376" s="37"/>
      <c r="AT376" s="8" t="s">
        <v>332</v>
      </c>
      <c r="AU376" s="8" t="s">
        <v>386</v>
      </c>
      <c r="AV376" s="8">
        <v>89</v>
      </c>
      <c r="AW376" s="8">
        <v>36</v>
      </c>
      <c r="AX376" s="8" t="s">
        <v>387</v>
      </c>
      <c r="AY376" s="8" t="s">
        <v>206</v>
      </c>
      <c r="AZ376" s="8" t="s">
        <v>332</v>
      </c>
      <c r="BA376" s="21">
        <f>IF(OR(tblsales[[#This Row],[Invoice Value USD]]="",tblsales[[#This Row],[Collected Amount USD]]=""),"",tblsales[[#This Row],[Invoice Value USD]]-tblsales[[#This Row],[Collected Amount USD]])</f>
        <v>768939.83095299988</v>
      </c>
      <c r="BB376" s="21">
        <f>IF(OR(tblsales[[#This Row],[Contract Value USD]]="",tblsales[[#This Row],[Cost Estimate USD]]=""),"",tblsales[[#This Row],[Contract Value USD]]-tblsales[[#This Row],[Cost Estimate USD]])</f>
        <v>1036668.9813689999</v>
      </c>
      <c r="BC376" s="21">
        <f>IF(OR(tblsales[[#This Row],[Contract Value USD]]="",tblsales[[#This Row],[Cost Estimate USD]]=""),"",tblsales[[#This Row],[Contract Value USD]]-tblsales[[#This Row],[Cost Estimate USD]])</f>
        <v>1036668.9813689999</v>
      </c>
      <c r="BD376" s="23">
        <f>IF(tblsales[[#This Row],[Invoice Value USD]]="","",tblsales[[#This Row],[Collected Amount USD]]/tblsales[[#This Row],[Invoice Value USD]])</f>
        <v>0.61068919595744942</v>
      </c>
      <c r="BE376" s="11">
        <f>IF(tblsales[[#This Row],[SalesStage]]="Won",1,0)</f>
        <v>0</v>
      </c>
      <c r="BF376" s="21" t="str">
        <f>IF(tblsales[[#This Row],[Win Flag]]=1,"Won","Lost")</f>
        <v>Lost</v>
      </c>
      <c r="BG376" s="8"/>
    </row>
    <row r="377" spans="1:59" x14ac:dyDescent="0.3">
      <c r="A377" s="10" t="s">
        <v>1446</v>
      </c>
      <c r="B377" s="9">
        <v>45948</v>
      </c>
      <c r="C377" s="10" t="s">
        <v>235</v>
      </c>
      <c r="D377" s="10" t="s">
        <v>180</v>
      </c>
      <c r="E377" s="10" t="s">
        <v>52</v>
      </c>
      <c r="F377" s="10" t="s">
        <v>75</v>
      </c>
      <c r="G377" s="10" t="s">
        <v>66</v>
      </c>
      <c r="H377" s="10" t="s">
        <v>197</v>
      </c>
      <c r="I377" s="10" t="s">
        <v>246</v>
      </c>
      <c r="J377" s="10" t="s">
        <v>119</v>
      </c>
      <c r="K377" s="10" t="s">
        <v>221</v>
      </c>
      <c r="L377" s="10" t="s">
        <v>1447</v>
      </c>
      <c r="M377" s="9">
        <v>45877</v>
      </c>
      <c r="N377" s="9"/>
      <c r="O377" s="9">
        <v>46017</v>
      </c>
      <c r="P377" s="11">
        <v>43</v>
      </c>
      <c r="Q377" s="12">
        <v>2982497</v>
      </c>
      <c r="R377">
        <v>2982497</v>
      </c>
      <c r="S377" s="22">
        <v>0.11</v>
      </c>
      <c r="T377" s="22">
        <v>7.0000000000000007E-2</v>
      </c>
      <c r="U377" s="12">
        <v>2840231.89</v>
      </c>
      <c r="V377" s="24">
        <v>2840231.89</v>
      </c>
      <c r="W377" s="8">
        <v>1784117.15</v>
      </c>
      <c r="X377" s="24">
        <v>1784117.15</v>
      </c>
      <c r="Y377" s="22">
        <v>0.23</v>
      </c>
      <c r="Z377" s="22">
        <v>0.19</v>
      </c>
      <c r="AA377" s="8" t="s">
        <v>1448</v>
      </c>
      <c r="AB377" s="8">
        <v>619684.63</v>
      </c>
      <c r="AC377" s="24">
        <v>619684.63</v>
      </c>
      <c r="AD377" s="8"/>
      <c r="AE377" s="24"/>
      <c r="AF377" s="8">
        <v>60</v>
      </c>
      <c r="AG377" s="8">
        <v>17</v>
      </c>
      <c r="AH377" s="8" t="s">
        <v>329</v>
      </c>
      <c r="AI377" s="8" t="s">
        <v>226</v>
      </c>
      <c r="AJ377" s="22">
        <v>0.66</v>
      </c>
      <c r="AK377" s="8" t="s">
        <v>152</v>
      </c>
      <c r="AL377" s="22">
        <v>0.05</v>
      </c>
      <c r="AM377" s="22">
        <v>0.06</v>
      </c>
      <c r="AN377" s="8">
        <v>7</v>
      </c>
      <c r="AO377" s="8">
        <v>3707</v>
      </c>
      <c r="AP377" s="8">
        <v>685899.92</v>
      </c>
      <c r="AQ377" s="24">
        <v>685899.92</v>
      </c>
      <c r="AR377" s="8">
        <v>756226.27</v>
      </c>
      <c r="AS377" s="37">
        <v>756226.27</v>
      </c>
      <c r="AT377" s="8" t="s">
        <v>321</v>
      </c>
      <c r="AU377" s="8" t="s">
        <v>386</v>
      </c>
      <c r="AV377" s="8">
        <v>72.900000000000006</v>
      </c>
      <c r="AW377" s="8">
        <v>48</v>
      </c>
      <c r="AX377" s="8" t="s">
        <v>392</v>
      </c>
      <c r="AY377" s="8" t="s">
        <v>192</v>
      </c>
      <c r="AZ377" s="8" t="s">
        <v>377</v>
      </c>
      <c r="BA377" s="21" t="str">
        <f>IF(OR(tblsales[[#This Row],[Invoice Value USD]]="",tblsales[[#This Row],[Collected Amount USD]]=""),"",tblsales[[#This Row],[Invoice Value USD]]-tblsales[[#This Row],[Collected Amount USD]])</f>
        <v/>
      </c>
      <c r="BB377" s="21">
        <f>IF(OR(tblsales[[#This Row],[Contract Value USD]]="",tblsales[[#This Row],[Cost Estimate USD]]=""),"",tblsales[[#This Row],[Contract Value USD]]-tblsales[[#This Row],[Cost Estimate USD]])</f>
        <v>1056114.7400000002</v>
      </c>
      <c r="BC377" s="21">
        <f>IF(OR(tblsales[[#This Row],[Contract Value USD]]="",tblsales[[#This Row],[Cost Estimate USD]]=""),"",tblsales[[#This Row],[Contract Value USD]]-tblsales[[#This Row],[Cost Estimate USD]])</f>
        <v>1056114.7400000002</v>
      </c>
      <c r="BD377" s="23">
        <f>IF(tblsales[[#This Row],[Invoice Value USD]]="","",tblsales[[#This Row],[Collected Amount USD]]/tblsales[[#This Row],[Invoice Value USD]])</f>
        <v>0</v>
      </c>
      <c r="BE377" s="11">
        <f>IF(tblsales[[#This Row],[SalesStage]]="Won",1,0)</f>
        <v>0</v>
      </c>
      <c r="BF377" s="21" t="str">
        <f>IF(tblsales[[#This Row],[Win Flag]]=1,"Won","Lost")</f>
        <v>Lost</v>
      </c>
      <c r="BG377" s="8"/>
    </row>
    <row r="378" spans="1:59" x14ac:dyDescent="0.3">
      <c r="A378" s="10" t="s">
        <v>1449</v>
      </c>
      <c r="B378" s="9">
        <v>45846</v>
      </c>
      <c r="C378" s="10" t="s">
        <v>252</v>
      </c>
      <c r="D378" s="10" t="s">
        <v>262</v>
      </c>
      <c r="E378" s="10" t="s">
        <v>20</v>
      </c>
      <c r="F378" s="10" t="s">
        <v>196</v>
      </c>
      <c r="G378" s="10" t="s">
        <v>78</v>
      </c>
      <c r="H378" s="10" t="s">
        <v>263</v>
      </c>
      <c r="I378" s="10" t="s">
        <v>198</v>
      </c>
      <c r="J378" s="10" t="s">
        <v>136</v>
      </c>
      <c r="K378" s="10" t="s">
        <v>223</v>
      </c>
      <c r="L378" s="10" t="s">
        <v>1450</v>
      </c>
      <c r="M378" s="9">
        <v>45832</v>
      </c>
      <c r="N378" s="9">
        <v>45785</v>
      </c>
      <c r="O378" s="9">
        <v>45951</v>
      </c>
      <c r="P378" s="11">
        <v>28</v>
      </c>
      <c r="Q378" s="12">
        <v>44432899</v>
      </c>
      <c r="R378">
        <v>12099078.397699999</v>
      </c>
      <c r="S378" s="22">
        <v>0.11</v>
      </c>
      <c r="T378" s="22">
        <v>0.12</v>
      </c>
      <c r="U378" s="12">
        <v>44290713.719999999</v>
      </c>
      <c r="V378" s="24">
        <v>12060361.345956</v>
      </c>
      <c r="W378" s="8">
        <v>32421222.52</v>
      </c>
      <c r="X378" s="24">
        <v>8828298.8921959996</v>
      </c>
      <c r="Y378" s="22">
        <v>0.34</v>
      </c>
      <c r="Z378" s="22">
        <v>0.12</v>
      </c>
      <c r="AA378" s="8" t="s">
        <v>1451</v>
      </c>
      <c r="AB378" s="8">
        <v>21770973.34</v>
      </c>
      <c r="AC378" s="24">
        <v>5928236.0404819995</v>
      </c>
      <c r="AD378" s="8">
        <v>20751681.16</v>
      </c>
      <c r="AE378" s="24">
        <v>5650682.7798680002</v>
      </c>
      <c r="AF378" s="8">
        <v>120</v>
      </c>
      <c r="AG378" s="8">
        <v>147</v>
      </c>
      <c r="AH378" s="8" t="s">
        <v>347</v>
      </c>
      <c r="AI378" s="8" t="s">
        <v>354</v>
      </c>
      <c r="AJ378" s="22">
        <v>0.08</v>
      </c>
      <c r="AK378" s="8" t="s">
        <v>153</v>
      </c>
      <c r="AL378" s="22">
        <v>0.05</v>
      </c>
      <c r="AM378" s="22">
        <v>0.02</v>
      </c>
      <c r="AN378" s="8">
        <v>15</v>
      </c>
      <c r="AO378" s="8">
        <v>3371</v>
      </c>
      <c r="AP378" s="8">
        <v>5728393.7199999997</v>
      </c>
      <c r="AQ378" s="24">
        <v>1559841.6099559998</v>
      </c>
      <c r="AR378" s="8">
        <v>9411055.4100000001</v>
      </c>
      <c r="AS378" s="37">
        <v>2562630.3881429997</v>
      </c>
      <c r="AT378" s="8" t="s">
        <v>385</v>
      </c>
      <c r="AU378" s="8" t="s">
        <v>332</v>
      </c>
      <c r="AV378" s="8">
        <v>56</v>
      </c>
      <c r="AW378" s="8"/>
      <c r="AX378" s="8" t="s">
        <v>332</v>
      </c>
      <c r="AY378" s="8" t="s">
        <v>186</v>
      </c>
      <c r="AZ378" s="8" t="s">
        <v>188</v>
      </c>
      <c r="BA378" s="21">
        <f>IF(OR(tblsales[[#This Row],[Invoice Value USD]]="",tblsales[[#This Row],[Collected Amount USD]]=""),"",tblsales[[#This Row],[Invoice Value USD]]-tblsales[[#This Row],[Collected Amount USD]])</f>
        <v>277553.26061399933</v>
      </c>
      <c r="BB378" s="21">
        <f>IF(OR(tblsales[[#This Row],[Contract Value USD]]="",tblsales[[#This Row],[Cost Estimate USD]]=""),"",tblsales[[#This Row],[Contract Value USD]]-tblsales[[#This Row],[Cost Estimate USD]])</f>
        <v>3232062.4537599999</v>
      </c>
      <c r="BC378" s="21">
        <f>IF(OR(tblsales[[#This Row],[Contract Value USD]]="",tblsales[[#This Row],[Cost Estimate USD]]=""),"",tblsales[[#This Row],[Contract Value USD]]-tblsales[[#This Row],[Cost Estimate USD]])</f>
        <v>3232062.4537599999</v>
      </c>
      <c r="BD378" s="23">
        <f>IF(tblsales[[#This Row],[Invoice Value USD]]="","",tblsales[[#This Row],[Collected Amount USD]]/tblsales[[#This Row],[Invoice Value USD]])</f>
        <v>0.95318113875380839</v>
      </c>
      <c r="BE378" s="11">
        <f>IF(tblsales[[#This Row],[SalesStage]]="Won",1,0)</f>
        <v>0</v>
      </c>
      <c r="BF378" s="21" t="str">
        <f>IF(tblsales[[#This Row],[Win Flag]]=1,"Won","Lost")</f>
        <v>Lost</v>
      </c>
      <c r="BG378" s="8"/>
    </row>
    <row r="379" spans="1:59" x14ac:dyDescent="0.3">
      <c r="A379" s="10" t="s">
        <v>1452</v>
      </c>
      <c r="B379" s="9">
        <v>45769</v>
      </c>
      <c r="C379" s="10" t="s">
        <v>244</v>
      </c>
      <c r="D379" s="10" t="s">
        <v>332</v>
      </c>
      <c r="E379" s="10" t="s">
        <v>20</v>
      </c>
      <c r="F379" s="10" t="s">
        <v>35</v>
      </c>
      <c r="G379" s="10" t="s">
        <v>62</v>
      </c>
      <c r="H379" s="10" t="s">
        <v>212</v>
      </c>
      <c r="I379" s="10" t="s">
        <v>332</v>
      </c>
      <c r="J379" s="10" t="s">
        <v>136</v>
      </c>
      <c r="K379" s="10" t="s">
        <v>204</v>
      </c>
      <c r="L379" s="10" t="s">
        <v>1453</v>
      </c>
      <c r="M379" s="9">
        <v>45742</v>
      </c>
      <c r="N379" s="9">
        <v>45772</v>
      </c>
      <c r="O379" s="9">
        <v>45665</v>
      </c>
      <c r="P379" s="11">
        <v>51</v>
      </c>
      <c r="Q379" s="12">
        <v>33914242</v>
      </c>
      <c r="R379">
        <v>9234848.0965999998</v>
      </c>
      <c r="S379" s="22">
        <v>0.27</v>
      </c>
      <c r="T379" s="22">
        <v>0.12</v>
      </c>
      <c r="U379" s="12">
        <v>27728284.260000002</v>
      </c>
      <c r="V379" s="24">
        <v>7550411.803998</v>
      </c>
      <c r="W379" s="8">
        <v>23826791.84</v>
      </c>
      <c r="X379" s="24">
        <v>6488035.4180319998</v>
      </c>
      <c r="Y379" s="22">
        <v>0.2</v>
      </c>
      <c r="Z379" s="22">
        <v>0.11</v>
      </c>
      <c r="AA379" s="8" t="s">
        <v>1454</v>
      </c>
      <c r="AB379" s="8">
        <v>20438170.039999999</v>
      </c>
      <c r="AC379" s="24">
        <v>5565313.7018919997</v>
      </c>
      <c r="AD379" s="8">
        <v>6894871.1399999997</v>
      </c>
      <c r="AE379" s="24">
        <v>1877473.4114219998</v>
      </c>
      <c r="AF379" s="8">
        <v>90</v>
      </c>
      <c r="AG379" s="8">
        <v>53</v>
      </c>
      <c r="AH379" s="8" t="s">
        <v>347</v>
      </c>
      <c r="AI379" s="8" t="s">
        <v>455</v>
      </c>
      <c r="AJ379" s="22">
        <v>0.59</v>
      </c>
      <c r="AK379" s="8" t="s">
        <v>153</v>
      </c>
      <c r="AL379" s="22">
        <v>0.05</v>
      </c>
      <c r="AM379" s="22">
        <v>0.04</v>
      </c>
      <c r="AN379" s="8">
        <v>5</v>
      </c>
      <c r="AO379" s="8">
        <v>131</v>
      </c>
      <c r="AP379" s="8">
        <v>6571776.3399999999</v>
      </c>
      <c r="AQ379" s="24">
        <v>1789494.6973819998</v>
      </c>
      <c r="AR379" s="8">
        <v>4739444.25</v>
      </c>
      <c r="AS379" s="37">
        <v>1290550.669275</v>
      </c>
      <c r="AT379" s="8" t="s">
        <v>332</v>
      </c>
      <c r="AU379" s="8" t="s">
        <v>322</v>
      </c>
      <c r="AV379" s="8">
        <v>53.1</v>
      </c>
      <c r="AW379" s="8">
        <v>60</v>
      </c>
      <c r="AX379" s="8" t="s">
        <v>332</v>
      </c>
      <c r="AY379" s="8" t="s">
        <v>206</v>
      </c>
      <c r="AZ379" s="8" t="s">
        <v>357</v>
      </c>
      <c r="BA379" s="21">
        <f>IF(OR(tblsales[[#This Row],[Invoice Value USD]]="",tblsales[[#This Row],[Collected Amount USD]]=""),"",tblsales[[#This Row],[Invoice Value USD]]-tblsales[[#This Row],[Collected Amount USD]])</f>
        <v>3687840.2904699999</v>
      </c>
      <c r="BB379" s="21">
        <f>IF(OR(tblsales[[#This Row],[Contract Value USD]]="",tblsales[[#This Row],[Cost Estimate USD]]=""),"",tblsales[[#This Row],[Contract Value USD]]-tblsales[[#This Row],[Cost Estimate USD]])</f>
        <v>1062376.3859660001</v>
      </c>
      <c r="BC379" s="21">
        <f>IF(OR(tblsales[[#This Row],[Contract Value USD]]="",tblsales[[#This Row],[Cost Estimate USD]]=""),"",tblsales[[#This Row],[Contract Value USD]]-tblsales[[#This Row],[Cost Estimate USD]])</f>
        <v>1062376.3859660001</v>
      </c>
      <c r="BD379" s="23">
        <f>IF(tblsales[[#This Row],[Invoice Value USD]]="","",tblsales[[#This Row],[Collected Amount USD]]/tblsales[[#This Row],[Invoice Value USD]])</f>
        <v>0.33735266545419151</v>
      </c>
      <c r="BE379" s="11">
        <f>IF(tblsales[[#This Row],[SalesStage]]="Won",1,0)</f>
        <v>0</v>
      </c>
      <c r="BF379" s="21" t="str">
        <f>IF(tblsales[[#This Row],[Win Flag]]=1,"Won","Lost")</f>
        <v>Lost</v>
      </c>
      <c r="BG379" s="8"/>
    </row>
    <row r="380" spans="1:59" x14ac:dyDescent="0.3">
      <c r="A380" s="10" t="s">
        <v>1455</v>
      </c>
      <c r="B380" s="9">
        <v>45736</v>
      </c>
      <c r="C380" s="10" t="s">
        <v>231</v>
      </c>
      <c r="D380" s="10" t="s">
        <v>265</v>
      </c>
      <c r="E380" s="10" t="s">
        <v>36</v>
      </c>
      <c r="F380" s="10" t="s">
        <v>19</v>
      </c>
      <c r="G380" s="10" t="s">
        <v>78</v>
      </c>
      <c r="H380" s="10" t="s">
        <v>212</v>
      </c>
      <c r="I380" s="10" t="s">
        <v>191</v>
      </c>
      <c r="J380" s="10" t="s">
        <v>115</v>
      </c>
      <c r="K380" s="10" t="s">
        <v>210</v>
      </c>
      <c r="L380" s="10" t="s">
        <v>1456</v>
      </c>
      <c r="M380" s="9">
        <v>45696</v>
      </c>
      <c r="N380" s="9">
        <v>45776</v>
      </c>
      <c r="O380" s="9"/>
      <c r="P380" s="11">
        <v>39</v>
      </c>
      <c r="Q380" s="12">
        <v>28297109</v>
      </c>
      <c r="R380">
        <v>7773215.8422999997</v>
      </c>
      <c r="S380" s="22">
        <v>0.25</v>
      </c>
      <c r="T380" s="22">
        <v>0.19</v>
      </c>
      <c r="U380" s="12">
        <v>25255169.780000001</v>
      </c>
      <c r="V380" s="24">
        <v>6937595.1385660004</v>
      </c>
      <c r="W380" s="8">
        <v>18324242.949999999</v>
      </c>
      <c r="X380" s="24">
        <v>5033669.5383649999</v>
      </c>
      <c r="Y380" s="22"/>
      <c r="Z380" s="22">
        <v>0.11</v>
      </c>
      <c r="AA380" s="8" t="s">
        <v>1457</v>
      </c>
      <c r="AB380" s="8">
        <v>17780769.23</v>
      </c>
      <c r="AC380" s="24">
        <v>4884377.3074810002</v>
      </c>
      <c r="AD380" s="8">
        <v>16324382.18</v>
      </c>
      <c r="AE380" s="24">
        <v>4484307.7848460004</v>
      </c>
      <c r="AF380" s="8">
        <v>45</v>
      </c>
      <c r="AG380" s="8">
        <v>119</v>
      </c>
      <c r="AH380" s="8" t="s">
        <v>332</v>
      </c>
      <c r="AI380" s="8" t="s">
        <v>381</v>
      </c>
      <c r="AJ380" s="22">
        <v>0.14000000000000001</v>
      </c>
      <c r="AK380" s="8" t="s">
        <v>155</v>
      </c>
      <c r="AL380" s="22">
        <v>0.15</v>
      </c>
      <c r="AM380" s="22">
        <v>0.09</v>
      </c>
      <c r="AN380" s="8">
        <v>0</v>
      </c>
      <c r="AO380" s="8">
        <v>3023</v>
      </c>
      <c r="AP380" s="8">
        <v>4032477.31</v>
      </c>
      <c r="AQ380" s="24">
        <v>1107721.517057</v>
      </c>
      <c r="AR380" s="8">
        <v>12620909.390000001</v>
      </c>
      <c r="AS380" s="37">
        <v>3466963.8094330002</v>
      </c>
      <c r="AT380" s="8" t="s">
        <v>391</v>
      </c>
      <c r="AU380" s="8" t="s">
        <v>322</v>
      </c>
      <c r="AV380" s="8"/>
      <c r="AW380" s="8">
        <v>60</v>
      </c>
      <c r="AX380" s="8" t="s">
        <v>392</v>
      </c>
      <c r="AY380" s="8" t="s">
        <v>224</v>
      </c>
      <c r="AZ380" s="8" t="s">
        <v>332</v>
      </c>
      <c r="BA380" s="21">
        <f>IF(OR(tblsales[[#This Row],[Invoice Value USD]]="",tblsales[[#This Row],[Collected Amount USD]]=""),"",tblsales[[#This Row],[Invoice Value USD]]-tblsales[[#This Row],[Collected Amount USD]])</f>
        <v>400069.52263499983</v>
      </c>
      <c r="BB380" s="21">
        <f>IF(OR(tblsales[[#This Row],[Contract Value USD]]="",tblsales[[#This Row],[Cost Estimate USD]]=""),"",tblsales[[#This Row],[Contract Value USD]]-tblsales[[#This Row],[Cost Estimate USD]])</f>
        <v>1903925.6002010005</v>
      </c>
      <c r="BC380" s="21">
        <f>IF(OR(tblsales[[#This Row],[Contract Value USD]]="",tblsales[[#This Row],[Cost Estimate USD]]=""),"",tblsales[[#This Row],[Contract Value USD]]-tblsales[[#This Row],[Cost Estimate USD]])</f>
        <v>1903925.6002010005</v>
      </c>
      <c r="BD380" s="23">
        <f>IF(tblsales[[#This Row],[Invoice Value USD]]="","",tblsales[[#This Row],[Collected Amount USD]]/tblsales[[#This Row],[Invoice Value USD]])</f>
        <v>0.91809201102825411</v>
      </c>
      <c r="BE380" s="11">
        <f>IF(tblsales[[#This Row],[SalesStage]]="Won",1,0)</f>
        <v>0</v>
      </c>
      <c r="BF380" s="21" t="str">
        <f>IF(tblsales[[#This Row],[Win Flag]]=1,"Won","Lost")</f>
        <v>Lost</v>
      </c>
      <c r="BG380" s="8"/>
    </row>
    <row r="381" spans="1:59" x14ac:dyDescent="0.3">
      <c r="A381" s="10" t="s">
        <v>1458</v>
      </c>
      <c r="B381" s="9">
        <v>46058</v>
      </c>
      <c r="C381" s="10" t="s">
        <v>285</v>
      </c>
      <c r="D381" s="10" t="s">
        <v>180</v>
      </c>
      <c r="E381" s="10" t="s">
        <v>41</v>
      </c>
      <c r="F381" s="10" t="s">
        <v>350</v>
      </c>
      <c r="G381" s="10" t="s">
        <v>33</v>
      </c>
      <c r="H381" s="10" t="s">
        <v>216</v>
      </c>
      <c r="I381" s="10" t="s">
        <v>203</v>
      </c>
      <c r="J381" s="10" t="s">
        <v>130</v>
      </c>
      <c r="K381" s="10" t="s">
        <v>223</v>
      </c>
      <c r="L381" s="10" t="s">
        <v>1459</v>
      </c>
      <c r="M381" s="9">
        <v>46048</v>
      </c>
      <c r="N381" s="9">
        <v>46107</v>
      </c>
      <c r="O381" s="9"/>
      <c r="P381" s="11"/>
      <c r="Q381" s="12">
        <v>46755957</v>
      </c>
      <c r="R381">
        <v>12731647.0911</v>
      </c>
      <c r="S381" s="22">
        <v>0.24</v>
      </c>
      <c r="T381" s="22">
        <v>0.14000000000000001</v>
      </c>
      <c r="U381" s="12">
        <v>40509361.140000001</v>
      </c>
      <c r="V381" s="24">
        <v>11030699.038422</v>
      </c>
      <c r="W381" s="8">
        <v>26202377.43</v>
      </c>
      <c r="X381" s="24">
        <v>7134907.3741889996</v>
      </c>
      <c r="Y381" s="22">
        <v>0.06</v>
      </c>
      <c r="Z381" s="22">
        <v>0.18</v>
      </c>
      <c r="AA381" s="8" t="s">
        <v>1460</v>
      </c>
      <c r="AB381" s="8">
        <v>18068072.41</v>
      </c>
      <c r="AC381" s="24">
        <v>4919936.1172429994</v>
      </c>
      <c r="AD381" s="8">
        <v>13208154.029999999</v>
      </c>
      <c r="AE381" s="24">
        <v>3596580.3423689995</v>
      </c>
      <c r="AF381" s="8">
        <v>90</v>
      </c>
      <c r="AG381" s="8">
        <v>121</v>
      </c>
      <c r="AH381" s="8" t="s">
        <v>332</v>
      </c>
      <c r="AI381" s="8" t="s">
        <v>406</v>
      </c>
      <c r="AJ381" s="22">
        <v>0.52</v>
      </c>
      <c r="AK381" s="8" t="s">
        <v>153</v>
      </c>
      <c r="AL381" s="22">
        <v>0.05</v>
      </c>
      <c r="AM381" s="22">
        <v>0.04</v>
      </c>
      <c r="AN381" s="8">
        <v>12</v>
      </c>
      <c r="AO381" s="8">
        <v>547</v>
      </c>
      <c r="AP381" s="8">
        <v>4556718.51</v>
      </c>
      <c r="AQ381" s="24">
        <v>1240794.4502729999</v>
      </c>
      <c r="AR381" s="8">
        <v>13783525.27</v>
      </c>
      <c r="AS381" s="37">
        <v>3753253.9310209998</v>
      </c>
      <c r="AT381" s="8" t="s">
        <v>321</v>
      </c>
      <c r="AU381" s="8" t="s">
        <v>322</v>
      </c>
      <c r="AV381" s="8"/>
      <c r="AW381" s="8">
        <v>24</v>
      </c>
      <c r="AX381" s="8" t="s">
        <v>337</v>
      </c>
      <c r="AY381" s="8" t="s">
        <v>192</v>
      </c>
      <c r="AZ381" s="8" t="s">
        <v>332</v>
      </c>
      <c r="BA381" s="21">
        <f>IF(OR(tblsales[[#This Row],[Invoice Value USD]]="",tblsales[[#This Row],[Collected Amount USD]]=""),"",tblsales[[#This Row],[Invoice Value USD]]-tblsales[[#This Row],[Collected Amount USD]])</f>
        <v>1323355.7748739999</v>
      </c>
      <c r="BB381" s="21">
        <f>IF(OR(tblsales[[#This Row],[Contract Value USD]]="",tblsales[[#This Row],[Cost Estimate USD]]=""),"",tblsales[[#This Row],[Contract Value USD]]-tblsales[[#This Row],[Cost Estimate USD]])</f>
        <v>3895791.664233</v>
      </c>
      <c r="BC381" s="21">
        <f>IF(OR(tblsales[[#This Row],[Contract Value USD]]="",tblsales[[#This Row],[Cost Estimate USD]]=""),"",tblsales[[#This Row],[Contract Value USD]]-tblsales[[#This Row],[Cost Estimate USD]])</f>
        <v>3895791.664233</v>
      </c>
      <c r="BD381" s="23">
        <f>IF(tblsales[[#This Row],[Invoice Value USD]]="","",tblsales[[#This Row],[Collected Amount USD]]/tblsales[[#This Row],[Invoice Value USD]])</f>
        <v>0.73102175651508805</v>
      </c>
      <c r="BE381" s="11">
        <f>IF(tblsales[[#This Row],[SalesStage]]="Won",1,0)</f>
        <v>0</v>
      </c>
      <c r="BF381" s="21" t="str">
        <f>IF(tblsales[[#This Row],[Win Flag]]=1,"Won","Lost")</f>
        <v>Lost</v>
      </c>
      <c r="BG381" s="8"/>
    </row>
    <row r="382" spans="1:59" x14ac:dyDescent="0.3">
      <c r="A382" s="10" t="s">
        <v>1461</v>
      </c>
      <c r="B382" s="9">
        <v>45996</v>
      </c>
      <c r="C382" s="10" t="s">
        <v>217</v>
      </c>
      <c r="D382" s="10" t="s">
        <v>245</v>
      </c>
      <c r="E382" s="10" t="s">
        <v>41</v>
      </c>
      <c r="F382" s="10" t="s">
        <v>363</v>
      </c>
      <c r="G382" s="10" t="s">
        <v>16</v>
      </c>
      <c r="H382" s="10" t="s">
        <v>182</v>
      </c>
      <c r="I382" s="10" t="s">
        <v>191</v>
      </c>
      <c r="J382" s="10" t="s">
        <v>105</v>
      </c>
      <c r="K382" s="10" t="s">
        <v>204</v>
      </c>
      <c r="L382" s="10" t="s">
        <v>1462</v>
      </c>
      <c r="M382" s="9">
        <v>45984</v>
      </c>
      <c r="N382" s="9">
        <v>46082</v>
      </c>
      <c r="O382" s="9">
        <v>46048</v>
      </c>
      <c r="P382" s="11">
        <v>60</v>
      </c>
      <c r="Q382" s="12">
        <v>1491211</v>
      </c>
      <c r="R382">
        <v>1491211</v>
      </c>
      <c r="S382" s="22">
        <v>0.17</v>
      </c>
      <c r="T382" s="22">
        <v>0.08</v>
      </c>
      <c r="U382" s="12">
        <v>1336721.54</v>
      </c>
      <c r="V382" s="24">
        <v>1336721.54</v>
      </c>
      <c r="W382" s="8">
        <v>914562.57</v>
      </c>
      <c r="X382" s="24">
        <v>914562.57</v>
      </c>
      <c r="Y382" s="22">
        <v>0.33</v>
      </c>
      <c r="Z382" s="22">
        <v>0.11</v>
      </c>
      <c r="AA382" s="8" t="s">
        <v>1463</v>
      </c>
      <c r="AB382" s="8">
        <v>816476.76</v>
      </c>
      <c r="AC382" s="24">
        <v>816476.76</v>
      </c>
      <c r="AD382" s="8">
        <v>875877.61</v>
      </c>
      <c r="AE382" s="24">
        <v>875877.61</v>
      </c>
      <c r="AF382" s="8">
        <v>120</v>
      </c>
      <c r="AG382" s="8">
        <v>48</v>
      </c>
      <c r="AH382" s="8" t="s">
        <v>353</v>
      </c>
      <c r="AI382" s="8" t="s">
        <v>455</v>
      </c>
      <c r="AJ382" s="22">
        <v>0.65</v>
      </c>
      <c r="AK382" s="8" t="s">
        <v>152</v>
      </c>
      <c r="AL382" s="22">
        <v>0.1</v>
      </c>
      <c r="AM382" s="22">
        <v>7.0000000000000007E-2</v>
      </c>
      <c r="AN382" s="8">
        <v>2</v>
      </c>
      <c r="AO382" s="8">
        <v>58</v>
      </c>
      <c r="AP382" s="8">
        <v>30101.59</v>
      </c>
      <c r="AQ382" s="24">
        <v>30101.59</v>
      </c>
      <c r="AR382" s="8">
        <v>567040.73</v>
      </c>
      <c r="AS382" s="37">
        <v>567040.73</v>
      </c>
      <c r="AT382" s="8" t="s">
        <v>332</v>
      </c>
      <c r="AU382" s="8" t="s">
        <v>356</v>
      </c>
      <c r="AV382" s="8">
        <v>62.7</v>
      </c>
      <c r="AW382" s="8">
        <v>24</v>
      </c>
      <c r="AX382" s="8" t="s">
        <v>392</v>
      </c>
      <c r="AY382" s="8" t="s">
        <v>206</v>
      </c>
      <c r="AZ382" s="8" t="s">
        <v>377</v>
      </c>
      <c r="BA382" s="21">
        <f>IF(OR(tblsales[[#This Row],[Invoice Value USD]]="",tblsales[[#This Row],[Collected Amount USD]]=""),"",tblsales[[#This Row],[Invoice Value USD]]-tblsales[[#This Row],[Collected Amount USD]])</f>
        <v>-59400.849999999977</v>
      </c>
      <c r="BB382" s="21">
        <f>IF(OR(tblsales[[#This Row],[Contract Value USD]]="",tblsales[[#This Row],[Cost Estimate USD]]=""),"",tblsales[[#This Row],[Contract Value USD]]-tblsales[[#This Row],[Cost Estimate USD]])</f>
        <v>422158.97000000009</v>
      </c>
      <c r="BC382" s="21">
        <f>IF(OR(tblsales[[#This Row],[Contract Value USD]]="",tblsales[[#This Row],[Cost Estimate USD]]=""),"",tblsales[[#This Row],[Contract Value USD]]-tblsales[[#This Row],[Cost Estimate USD]])</f>
        <v>422158.97000000009</v>
      </c>
      <c r="BD382" s="23">
        <f>IF(tblsales[[#This Row],[Invoice Value USD]]="","",tblsales[[#This Row],[Collected Amount USD]]/tblsales[[#This Row],[Invoice Value USD]])</f>
        <v>1.0727526525066065</v>
      </c>
      <c r="BE382" s="11">
        <f>IF(tblsales[[#This Row],[SalesStage]]="Won",1,0)</f>
        <v>0</v>
      </c>
      <c r="BF382" s="21" t="str">
        <f>IF(tblsales[[#This Row],[Win Flag]]=1,"Won","Lost")</f>
        <v>Lost</v>
      </c>
      <c r="BG382" s="8"/>
    </row>
    <row r="383" spans="1:59" x14ac:dyDescent="0.3">
      <c r="A383" s="10" t="s">
        <v>1464</v>
      </c>
      <c r="B383" s="9">
        <v>45704</v>
      </c>
      <c r="C383" s="10" t="s">
        <v>195</v>
      </c>
      <c r="D383" s="10" t="s">
        <v>232</v>
      </c>
      <c r="E383" s="10" t="s">
        <v>41</v>
      </c>
      <c r="F383" s="10" t="s">
        <v>228</v>
      </c>
      <c r="G383" s="10" t="s">
        <v>16</v>
      </c>
      <c r="H383" s="10" t="s">
        <v>236</v>
      </c>
      <c r="I383" s="10" t="s">
        <v>240</v>
      </c>
      <c r="J383" s="10" t="s">
        <v>105</v>
      </c>
      <c r="K383" s="10" t="s">
        <v>333</v>
      </c>
      <c r="L383" s="10" t="s">
        <v>1465</v>
      </c>
      <c r="M383" s="9">
        <v>45647</v>
      </c>
      <c r="N383" s="9">
        <v>45719</v>
      </c>
      <c r="O383" s="9">
        <v>45768</v>
      </c>
      <c r="P383" s="11">
        <v>58</v>
      </c>
      <c r="Q383" s="12">
        <v>10683082</v>
      </c>
      <c r="R383">
        <v>2934642.6253999998</v>
      </c>
      <c r="S383" s="22">
        <v>0.34</v>
      </c>
      <c r="T383" s="22">
        <v>0.06</v>
      </c>
      <c r="U383" s="12">
        <v>7473884.1699999999</v>
      </c>
      <c r="V383" s="24">
        <v>2053075.981499</v>
      </c>
      <c r="W383" s="8">
        <v>5497272.2400000002</v>
      </c>
      <c r="X383" s="24">
        <v>1510100.6843280001</v>
      </c>
      <c r="Y383" s="22">
        <v>0.23</v>
      </c>
      <c r="Z383" s="22">
        <v>0.09</v>
      </c>
      <c r="AA383" s="8" t="s">
        <v>1466</v>
      </c>
      <c r="AB383" s="8">
        <v>1953280.3</v>
      </c>
      <c r="AC383" s="24">
        <v>536566.09840999998</v>
      </c>
      <c r="AD383" s="8">
        <v>871381.17</v>
      </c>
      <c r="AE383" s="24">
        <v>239368.40739900002</v>
      </c>
      <c r="AF383" s="8">
        <v>60</v>
      </c>
      <c r="AG383" s="8">
        <v>146</v>
      </c>
      <c r="AH383" s="8" t="s">
        <v>347</v>
      </c>
      <c r="AI383" s="8" t="s">
        <v>226</v>
      </c>
      <c r="AJ383" s="22">
        <v>0.47</v>
      </c>
      <c r="AK383" s="8" t="s">
        <v>155</v>
      </c>
      <c r="AL383" s="22">
        <v>0.15</v>
      </c>
      <c r="AM383" s="22">
        <v>0.02</v>
      </c>
      <c r="AN383" s="8">
        <v>12</v>
      </c>
      <c r="AO383" s="8">
        <v>3132</v>
      </c>
      <c r="AP383" s="8">
        <v>946390.48</v>
      </c>
      <c r="AQ383" s="24">
        <v>259973.46485600001</v>
      </c>
      <c r="AR383" s="8">
        <v>3647721.85</v>
      </c>
      <c r="AS383" s="37">
        <v>1002029.192195</v>
      </c>
      <c r="AT383" s="8" t="s">
        <v>343</v>
      </c>
      <c r="AU383" s="8" t="s">
        <v>356</v>
      </c>
      <c r="AV383" s="8">
        <v>57.6</v>
      </c>
      <c r="AW383" s="8">
        <v>60</v>
      </c>
      <c r="AX383" s="8" t="s">
        <v>337</v>
      </c>
      <c r="AY383" s="8" t="s">
        <v>224</v>
      </c>
      <c r="AZ383" s="8" t="s">
        <v>324</v>
      </c>
      <c r="BA383" s="21">
        <f>IF(OR(tblsales[[#This Row],[Invoice Value USD]]="",tblsales[[#This Row],[Collected Amount USD]]=""),"",tblsales[[#This Row],[Invoice Value USD]]-tblsales[[#This Row],[Collected Amount USD]])</f>
        <v>297197.69101099996</v>
      </c>
      <c r="BB383" s="21">
        <f>IF(OR(tblsales[[#This Row],[Contract Value USD]]="",tblsales[[#This Row],[Cost Estimate USD]]=""),"",tblsales[[#This Row],[Contract Value USD]]-tblsales[[#This Row],[Cost Estimate USD]])</f>
        <v>542975.29717099993</v>
      </c>
      <c r="BC383" s="21">
        <f>IF(OR(tblsales[[#This Row],[Contract Value USD]]="",tblsales[[#This Row],[Cost Estimate USD]]=""),"",tblsales[[#This Row],[Contract Value USD]]-tblsales[[#This Row],[Cost Estimate USD]])</f>
        <v>542975.29717099993</v>
      </c>
      <c r="BD383" s="23">
        <f>IF(tblsales[[#This Row],[Invoice Value USD]]="","",tblsales[[#This Row],[Collected Amount USD]]/tblsales[[#This Row],[Invoice Value USD]])</f>
        <v>0.44611168709375715</v>
      </c>
      <c r="BE383" s="11">
        <f>IF(tblsales[[#This Row],[SalesStage]]="Won",1,0)</f>
        <v>0</v>
      </c>
      <c r="BF383" s="21" t="str">
        <f>IF(tblsales[[#This Row],[Win Flag]]=1,"Won","Lost")</f>
        <v>Lost</v>
      </c>
      <c r="BG383" s="8"/>
    </row>
    <row r="384" spans="1:59" x14ac:dyDescent="0.3">
      <c r="A384" s="10" t="s">
        <v>1467</v>
      </c>
      <c r="B384" s="9">
        <v>45727</v>
      </c>
      <c r="C384" s="10" t="s">
        <v>271</v>
      </c>
      <c r="D384" s="10" t="s">
        <v>250</v>
      </c>
      <c r="E384" s="10" t="s">
        <v>113</v>
      </c>
      <c r="F384" s="10" t="s">
        <v>181</v>
      </c>
      <c r="G384" s="10" t="s">
        <v>80</v>
      </c>
      <c r="H384" s="10" t="s">
        <v>263</v>
      </c>
      <c r="I384" s="10" t="s">
        <v>191</v>
      </c>
      <c r="J384" s="10" t="s">
        <v>127</v>
      </c>
      <c r="K384" s="10" t="s">
        <v>221</v>
      </c>
      <c r="L384" s="10" t="s">
        <v>1468</v>
      </c>
      <c r="M384" s="9">
        <v>45690</v>
      </c>
      <c r="N384" s="9" t="s">
        <v>1469</v>
      </c>
      <c r="O384" s="9">
        <v>45808</v>
      </c>
      <c r="P384" s="11">
        <v>31</v>
      </c>
      <c r="Q384" s="12">
        <v>3588844</v>
      </c>
      <c r="R384">
        <v>3588844</v>
      </c>
      <c r="S384" s="22">
        <v>0.33</v>
      </c>
      <c r="T384" s="22">
        <v>0</v>
      </c>
      <c r="U384" s="12">
        <v>2404525.48</v>
      </c>
      <c r="V384" s="24">
        <v>2404525.48</v>
      </c>
      <c r="W384" s="8">
        <v>1711182.2</v>
      </c>
      <c r="X384" s="24">
        <v>1711182.2</v>
      </c>
      <c r="Y384" s="22">
        <v>0.05</v>
      </c>
      <c r="Z384" s="22">
        <v>7.0000000000000007E-2</v>
      </c>
      <c r="AA384" s="8" t="s">
        <v>1470</v>
      </c>
      <c r="AB384" s="8">
        <v>1192090.69</v>
      </c>
      <c r="AC384" s="24">
        <v>1192090.69</v>
      </c>
      <c r="AD384" s="8">
        <v>533597.81000000006</v>
      </c>
      <c r="AE384" s="24">
        <v>533597.81000000006</v>
      </c>
      <c r="AF384" s="8">
        <v>90</v>
      </c>
      <c r="AG384" s="8">
        <v>145</v>
      </c>
      <c r="AH384" s="8" t="s">
        <v>329</v>
      </c>
      <c r="AI384" s="8" t="s">
        <v>406</v>
      </c>
      <c r="AJ384" s="22">
        <v>0.63</v>
      </c>
      <c r="AK384" s="8" t="s">
        <v>152</v>
      </c>
      <c r="AL384" s="22">
        <v>0.05</v>
      </c>
      <c r="AM384" s="22">
        <v>0.04</v>
      </c>
      <c r="AN384" s="8">
        <v>12</v>
      </c>
      <c r="AO384" s="8">
        <v>2691</v>
      </c>
      <c r="AP384" s="8">
        <v>340029.83</v>
      </c>
      <c r="AQ384" s="24">
        <v>340029.83</v>
      </c>
      <c r="AR384" s="8">
        <v>975694.71</v>
      </c>
      <c r="AS384" s="37">
        <v>975694.71</v>
      </c>
      <c r="AT384" s="8" t="s">
        <v>332</v>
      </c>
      <c r="AU384" s="8" t="s">
        <v>386</v>
      </c>
      <c r="AV384" s="8">
        <v>52.4</v>
      </c>
      <c r="AW384" s="8"/>
      <c r="AX384" s="8" t="s">
        <v>323</v>
      </c>
      <c r="AY384" s="8" t="s">
        <v>192</v>
      </c>
      <c r="AZ384" s="8" t="s">
        <v>332</v>
      </c>
      <c r="BA384" s="21">
        <f>IF(OR(tblsales[[#This Row],[Invoice Value USD]]="",tblsales[[#This Row],[Collected Amount USD]]=""),"",tblsales[[#This Row],[Invoice Value USD]]-tblsales[[#This Row],[Collected Amount USD]])</f>
        <v>658492.87999999989</v>
      </c>
      <c r="BB384" s="21">
        <f>IF(OR(tblsales[[#This Row],[Contract Value USD]]="",tblsales[[#This Row],[Cost Estimate USD]]=""),"",tblsales[[#This Row],[Contract Value USD]]-tblsales[[#This Row],[Cost Estimate USD]])</f>
        <v>693343.28</v>
      </c>
      <c r="BC384" s="21">
        <f>IF(OR(tblsales[[#This Row],[Contract Value USD]]="",tblsales[[#This Row],[Cost Estimate USD]]=""),"",tblsales[[#This Row],[Contract Value USD]]-tblsales[[#This Row],[Cost Estimate USD]])</f>
        <v>693343.28</v>
      </c>
      <c r="BD384" s="23">
        <f>IF(tblsales[[#This Row],[Invoice Value USD]]="","",tblsales[[#This Row],[Collected Amount USD]]/tblsales[[#This Row],[Invoice Value USD]])</f>
        <v>0.44761511391385844</v>
      </c>
      <c r="BE384" s="11">
        <f>IF(tblsales[[#This Row],[SalesStage]]="Won",1,0)</f>
        <v>0</v>
      </c>
      <c r="BF384" s="21" t="str">
        <f>IF(tblsales[[#This Row],[Win Flag]]=1,"Won","Lost")</f>
        <v>Lost</v>
      </c>
      <c r="BG384" s="8"/>
    </row>
    <row r="385" spans="1:59" x14ac:dyDescent="0.3">
      <c r="A385" s="10" t="s">
        <v>1471</v>
      </c>
      <c r="B385" s="9">
        <v>45992</v>
      </c>
      <c r="C385" s="10" t="s">
        <v>264</v>
      </c>
      <c r="D385" s="10" t="s">
        <v>394</v>
      </c>
      <c r="E385" s="10" t="s">
        <v>332</v>
      </c>
      <c r="F385" s="10" t="s">
        <v>339</v>
      </c>
      <c r="G385" s="10" t="s">
        <v>80</v>
      </c>
      <c r="H385" s="10" t="s">
        <v>263</v>
      </c>
      <c r="I385" s="10" t="s">
        <v>203</v>
      </c>
      <c r="J385" s="10" t="s">
        <v>130</v>
      </c>
      <c r="K385" s="10" t="s">
        <v>326</v>
      </c>
      <c r="L385" s="10" t="s">
        <v>1472</v>
      </c>
      <c r="M385" s="9">
        <v>45971</v>
      </c>
      <c r="N385" s="9"/>
      <c r="O385" s="9">
        <v>46107</v>
      </c>
      <c r="P385" s="11">
        <v>3</v>
      </c>
      <c r="Q385" s="12">
        <v>44372689</v>
      </c>
      <c r="R385">
        <v>11834196.156299999</v>
      </c>
      <c r="S385" s="22">
        <v>0.25</v>
      </c>
      <c r="T385" s="22">
        <v>0.18</v>
      </c>
      <c r="U385" s="12">
        <v>39269829.770000003</v>
      </c>
      <c r="V385" s="24">
        <v>10473263.599659001</v>
      </c>
      <c r="W385" s="8">
        <v>34984953.259999998</v>
      </c>
      <c r="X385" s="24">
        <v>9330487.0344420001</v>
      </c>
      <c r="Y385" s="22">
        <v>7.0000000000000007E-2</v>
      </c>
      <c r="Z385" s="22">
        <v>0.08</v>
      </c>
      <c r="AA385" s="8" t="s">
        <v>1473</v>
      </c>
      <c r="AB385" s="8">
        <v>6863383.9699999997</v>
      </c>
      <c r="AC385" s="24">
        <v>1830464.504799</v>
      </c>
      <c r="AD385" s="8">
        <v>5446450.4199999999</v>
      </c>
      <c r="AE385" s="24">
        <v>1452568.3270139999</v>
      </c>
      <c r="AF385" s="8">
        <v>30</v>
      </c>
      <c r="AG385" s="8">
        <v>79</v>
      </c>
      <c r="AH385" s="8" t="s">
        <v>376</v>
      </c>
      <c r="AI385" s="8" t="s">
        <v>354</v>
      </c>
      <c r="AJ385" s="22">
        <v>0.75</v>
      </c>
      <c r="AK385" s="8" t="s">
        <v>162</v>
      </c>
      <c r="AL385" s="22">
        <v>0.15</v>
      </c>
      <c r="AM385" s="22">
        <v>0.03</v>
      </c>
      <c r="AN385" s="8">
        <v>1</v>
      </c>
      <c r="AO385" s="8">
        <v>848</v>
      </c>
      <c r="AP385" s="8">
        <v>3142934.09</v>
      </c>
      <c r="AQ385" s="24">
        <v>838220.52180299989</v>
      </c>
      <c r="AR385" s="8">
        <v>10220817.810000001</v>
      </c>
      <c r="AS385" s="37">
        <v>2725892.109927</v>
      </c>
      <c r="AT385" s="8" t="s">
        <v>391</v>
      </c>
      <c r="AU385" s="8" t="s">
        <v>386</v>
      </c>
      <c r="AV385" s="8">
        <v>51.5</v>
      </c>
      <c r="AW385" s="8">
        <v>60</v>
      </c>
      <c r="AX385" s="8" t="s">
        <v>332</v>
      </c>
      <c r="AY385" s="8" t="s">
        <v>206</v>
      </c>
      <c r="AZ385" s="8" t="s">
        <v>332</v>
      </c>
      <c r="BA385" s="21">
        <f>IF(OR(tblsales[[#This Row],[Invoice Value USD]]="",tblsales[[#This Row],[Collected Amount USD]]=""),"",tblsales[[#This Row],[Invoice Value USD]]-tblsales[[#This Row],[Collected Amount USD]])</f>
        <v>377896.17778500007</v>
      </c>
      <c r="BB385" s="21">
        <f>IF(OR(tblsales[[#This Row],[Contract Value USD]]="",tblsales[[#This Row],[Cost Estimate USD]]=""),"",tblsales[[#This Row],[Contract Value USD]]-tblsales[[#This Row],[Cost Estimate USD]])</f>
        <v>1142776.5652170014</v>
      </c>
      <c r="BC385" s="21">
        <f>IF(OR(tblsales[[#This Row],[Contract Value USD]]="",tblsales[[#This Row],[Cost Estimate USD]]=""),"",tblsales[[#This Row],[Contract Value USD]]-tblsales[[#This Row],[Cost Estimate USD]])</f>
        <v>1142776.5652170014</v>
      </c>
      <c r="BD385" s="23">
        <f>IF(tblsales[[#This Row],[Invoice Value USD]]="","",tblsales[[#This Row],[Collected Amount USD]]/tblsales[[#This Row],[Invoice Value USD]])</f>
        <v>0.79355175869608241</v>
      </c>
      <c r="BE385" s="11">
        <f>IF(tblsales[[#This Row],[SalesStage]]="Won",1,0)</f>
        <v>0</v>
      </c>
      <c r="BF385" s="21" t="str">
        <f>IF(tblsales[[#This Row],[Win Flag]]=1,"Won","Lost")</f>
        <v>Lost</v>
      </c>
      <c r="BG385" s="8"/>
    </row>
    <row r="386" spans="1:59" x14ac:dyDescent="0.3">
      <c r="A386" s="10" t="s">
        <v>1474</v>
      </c>
      <c r="B386" s="9">
        <v>45725</v>
      </c>
      <c r="C386" s="10" t="s">
        <v>235</v>
      </c>
      <c r="D386" s="10" t="s">
        <v>332</v>
      </c>
      <c r="E386" s="10" t="s">
        <v>113</v>
      </c>
      <c r="F386" s="10" t="s">
        <v>367</v>
      </c>
      <c r="G386" s="10" t="s">
        <v>66</v>
      </c>
      <c r="H386" s="10" t="s">
        <v>236</v>
      </c>
      <c r="I386" s="10" t="s">
        <v>240</v>
      </c>
      <c r="J386" s="10" t="s">
        <v>123</v>
      </c>
      <c r="K386" s="10" t="s">
        <v>210</v>
      </c>
      <c r="L386" s="10" t="s">
        <v>1475</v>
      </c>
      <c r="M386" s="9">
        <v>45718</v>
      </c>
      <c r="N386" s="9">
        <v>45745</v>
      </c>
      <c r="O386" s="9"/>
      <c r="P386" s="11"/>
      <c r="Q386" s="12">
        <v>489497</v>
      </c>
      <c r="R386">
        <v>489497</v>
      </c>
      <c r="S386" s="22">
        <v>0.04</v>
      </c>
      <c r="T386" s="22">
        <v>0.11</v>
      </c>
      <c r="U386" s="12">
        <v>521608</v>
      </c>
      <c r="V386" s="24">
        <v>521608</v>
      </c>
      <c r="W386" s="8">
        <v>343705.66</v>
      </c>
      <c r="X386" s="24">
        <v>343705.66</v>
      </c>
      <c r="Y386" s="22">
        <v>0.22</v>
      </c>
      <c r="Z386" s="22">
        <v>0.2</v>
      </c>
      <c r="AA386" s="8" t="s">
        <v>1476</v>
      </c>
      <c r="AB386" s="8">
        <v>135150.79999999999</v>
      </c>
      <c r="AC386" s="24">
        <v>135150.79999999999</v>
      </c>
      <c r="AD386" s="8">
        <v>141664.28</v>
      </c>
      <c r="AE386" s="24">
        <v>141664.28</v>
      </c>
      <c r="AF386" s="8">
        <v>90</v>
      </c>
      <c r="AG386" s="8">
        <v>158</v>
      </c>
      <c r="AH386" s="8" t="s">
        <v>329</v>
      </c>
      <c r="AI386" s="8" t="s">
        <v>336</v>
      </c>
      <c r="AJ386" s="22">
        <v>0.43</v>
      </c>
      <c r="AK386" s="8" t="s">
        <v>152</v>
      </c>
      <c r="AL386" s="22">
        <v>0.05</v>
      </c>
      <c r="AM386" s="22">
        <v>0.09</v>
      </c>
      <c r="AN386" s="8">
        <v>13</v>
      </c>
      <c r="AO386" s="8">
        <v>1211</v>
      </c>
      <c r="AP386" s="8">
        <v>110406.15</v>
      </c>
      <c r="AQ386" s="24">
        <v>110406.15</v>
      </c>
      <c r="AR386" s="8">
        <v>173972.68</v>
      </c>
      <c r="AS386" s="37">
        <v>173972.68</v>
      </c>
      <c r="AT386" s="8" t="s">
        <v>343</v>
      </c>
      <c r="AU386" s="8" t="s">
        <v>321</v>
      </c>
      <c r="AV386" s="8">
        <v>54.3</v>
      </c>
      <c r="AW386" s="8">
        <v>60</v>
      </c>
      <c r="AX386" s="8" t="s">
        <v>392</v>
      </c>
      <c r="AY386" s="8" t="s">
        <v>186</v>
      </c>
      <c r="AZ386" s="8" t="s">
        <v>377</v>
      </c>
      <c r="BA386" s="21">
        <f>IF(OR(tblsales[[#This Row],[Invoice Value USD]]="",tblsales[[#This Row],[Collected Amount USD]]=""),"",tblsales[[#This Row],[Invoice Value USD]]-tblsales[[#This Row],[Collected Amount USD]])</f>
        <v>-6513.4800000000105</v>
      </c>
      <c r="BB386" s="21">
        <f>IF(OR(tblsales[[#This Row],[Contract Value USD]]="",tblsales[[#This Row],[Cost Estimate USD]]=""),"",tblsales[[#This Row],[Contract Value USD]]-tblsales[[#This Row],[Cost Estimate USD]])</f>
        <v>177902.34000000003</v>
      </c>
      <c r="BC386" s="21">
        <f>IF(OR(tblsales[[#This Row],[Contract Value USD]]="",tblsales[[#This Row],[Cost Estimate USD]]=""),"",tblsales[[#This Row],[Contract Value USD]]-tblsales[[#This Row],[Cost Estimate USD]])</f>
        <v>177902.34000000003</v>
      </c>
      <c r="BD386" s="23">
        <f>IF(tblsales[[#This Row],[Invoice Value USD]]="","",tblsales[[#This Row],[Collected Amount USD]]/tblsales[[#This Row],[Invoice Value USD]])</f>
        <v>1.0481941653323548</v>
      </c>
      <c r="BE386" s="11">
        <f>IF(tblsales[[#This Row],[SalesStage]]="Won",1,0)</f>
        <v>0</v>
      </c>
      <c r="BF386" s="21" t="str">
        <f>IF(tblsales[[#This Row],[Win Flag]]=1,"Won","Lost")</f>
        <v>Lost</v>
      </c>
      <c r="BG386" s="8"/>
    </row>
    <row r="387" spans="1:59" x14ac:dyDescent="0.3">
      <c r="A387" s="10" t="s">
        <v>1477</v>
      </c>
      <c r="B387" s="9">
        <v>46296</v>
      </c>
      <c r="C387" s="10" t="s">
        <v>279</v>
      </c>
      <c r="D387" s="10" t="s">
        <v>265</v>
      </c>
      <c r="E387" s="10" t="s">
        <v>20</v>
      </c>
      <c r="F387" s="10" t="s">
        <v>35</v>
      </c>
      <c r="G387" s="10" t="s">
        <v>57</v>
      </c>
      <c r="H387" s="10" t="s">
        <v>182</v>
      </c>
      <c r="I387" s="10" t="s">
        <v>332</v>
      </c>
      <c r="J387" s="10" t="s">
        <v>136</v>
      </c>
      <c r="K387" s="10" t="s">
        <v>333</v>
      </c>
      <c r="L387" s="10" t="s">
        <v>1478</v>
      </c>
      <c r="M387" s="9">
        <v>46001</v>
      </c>
      <c r="N387" s="9">
        <v>46076</v>
      </c>
      <c r="O387" s="9"/>
      <c r="P387" s="11">
        <v>45</v>
      </c>
      <c r="Q387" s="12">
        <v>12537863</v>
      </c>
      <c r="R387">
        <v>14556458.943</v>
      </c>
      <c r="S387" s="22">
        <v>0.28999999999999998</v>
      </c>
      <c r="T387" s="22">
        <v>0.16</v>
      </c>
      <c r="U387" s="12">
        <v>10326183.970000001</v>
      </c>
      <c r="V387" s="24">
        <v>11988699.589170001</v>
      </c>
      <c r="W387" s="8">
        <v>7863016.0099999998</v>
      </c>
      <c r="X387" s="24">
        <v>9128961.5876100007</v>
      </c>
      <c r="Y387" s="22">
        <v>0.14000000000000001</v>
      </c>
      <c r="Z387" s="22">
        <v>0.11</v>
      </c>
      <c r="AA387" s="8" t="s">
        <v>1479</v>
      </c>
      <c r="AB387" s="8">
        <v>3241725.37</v>
      </c>
      <c r="AC387" s="24">
        <v>3763643.1545700002</v>
      </c>
      <c r="AD387" s="8">
        <v>3168147.68</v>
      </c>
      <c r="AE387" s="24">
        <v>3678219.4564800002</v>
      </c>
      <c r="AF387" s="8">
        <v>60</v>
      </c>
      <c r="AG387" s="8">
        <v>141</v>
      </c>
      <c r="AH387" s="8" t="s">
        <v>353</v>
      </c>
      <c r="AI387" s="8" t="s">
        <v>354</v>
      </c>
      <c r="AJ387" s="22">
        <v>0.62</v>
      </c>
      <c r="AK387" s="8" t="s">
        <v>159</v>
      </c>
      <c r="AL387" s="22">
        <v>0.1</v>
      </c>
      <c r="AM387" s="22">
        <v>0.05</v>
      </c>
      <c r="AN387" s="8">
        <v>0</v>
      </c>
      <c r="AO387" s="8">
        <v>21</v>
      </c>
      <c r="AP387" s="8">
        <v>1499982.3</v>
      </c>
      <c r="AQ387" s="24">
        <v>1741479.4503000001</v>
      </c>
      <c r="AR387" s="8"/>
      <c r="AS387" s="37"/>
      <c r="AT387" s="8" t="s">
        <v>332</v>
      </c>
      <c r="AU387" s="8" t="s">
        <v>386</v>
      </c>
      <c r="AV387" s="8"/>
      <c r="AW387" s="8">
        <v>12</v>
      </c>
      <c r="AX387" s="8" t="s">
        <v>337</v>
      </c>
      <c r="AY387" s="8" t="s">
        <v>186</v>
      </c>
      <c r="AZ387" s="8" t="s">
        <v>361</v>
      </c>
      <c r="BA387" s="21">
        <f>IF(OR(tblsales[[#This Row],[Invoice Value USD]]="",tblsales[[#This Row],[Collected Amount USD]]=""),"",tblsales[[#This Row],[Invoice Value USD]]-tblsales[[#This Row],[Collected Amount USD]])</f>
        <v>85423.698090000078</v>
      </c>
      <c r="BB387" s="21">
        <f>IF(OR(tblsales[[#This Row],[Contract Value USD]]="",tblsales[[#This Row],[Cost Estimate USD]]=""),"",tblsales[[#This Row],[Contract Value USD]]-tblsales[[#This Row],[Cost Estimate USD]])</f>
        <v>2859738.0015600007</v>
      </c>
      <c r="BC387" s="21">
        <f>IF(OR(tblsales[[#This Row],[Contract Value USD]]="",tblsales[[#This Row],[Cost Estimate USD]]=""),"",tblsales[[#This Row],[Contract Value USD]]-tblsales[[#This Row],[Cost Estimate USD]])</f>
        <v>2859738.0015600007</v>
      </c>
      <c r="BD387" s="23">
        <f>IF(tblsales[[#This Row],[Invoice Value USD]]="","",tblsales[[#This Row],[Collected Amount USD]]/tblsales[[#This Row],[Invoice Value USD]])</f>
        <v>0.97730292310356937</v>
      </c>
      <c r="BE387" s="11">
        <f>IF(tblsales[[#This Row],[SalesStage]]="Won",1,0)</f>
        <v>0</v>
      </c>
      <c r="BF387" s="21" t="str">
        <f>IF(tblsales[[#This Row],[Win Flag]]=1,"Won","Lost")</f>
        <v>Lost</v>
      </c>
      <c r="BG387" s="8"/>
    </row>
    <row r="388" spans="1:59" x14ac:dyDescent="0.3">
      <c r="A388" s="10" t="s">
        <v>1480</v>
      </c>
      <c r="B388" s="9">
        <v>45785</v>
      </c>
      <c r="C388" s="10" t="s">
        <v>272</v>
      </c>
      <c r="D388" s="10" t="s">
        <v>274</v>
      </c>
      <c r="E388" s="10" t="s">
        <v>52</v>
      </c>
      <c r="F388" s="10" t="s">
        <v>75</v>
      </c>
      <c r="G388" s="10" t="s">
        <v>80</v>
      </c>
      <c r="H388" s="10" t="s">
        <v>212</v>
      </c>
      <c r="I388" s="10" t="s">
        <v>203</v>
      </c>
      <c r="J388" s="10" t="s">
        <v>119</v>
      </c>
      <c r="K388" s="10" t="s">
        <v>221</v>
      </c>
      <c r="L388" s="10" t="s">
        <v>1481</v>
      </c>
      <c r="M388" s="9">
        <v>45993</v>
      </c>
      <c r="N388" s="9">
        <v>45795</v>
      </c>
      <c r="O388" s="9">
        <v>45862</v>
      </c>
      <c r="P388" s="11">
        <v>20</v>
      </c>
      <c r="Q388" s="12">
        <v>40618148</v>
      </c>
      <c r="R388">
        <v>11060321.700399999</v>
      </c>
      <c r="S388" s="22">
        <v>0.24</v>
      </c>
      <c r="T388" s="22">
        <v>0.18</v>
      </c>
      <c r="U388" s="12">
        <v>36426355.130000003</v>
      </c>
      <c r="V388" s="24">
        <v>9918896.5018990003</v>
      </c>
      <c r="W388" s="8">
        <v>29432930.210000001</v>
      </c>
      <c r="X388" s="24">
        <v>8014586.8961829999</v>
      </c>
      <c r="Y388" s="22"/>
      <c r="Z388" s="22">
        <v>0.12</v>
      </c>
      <c r="AA388" s="8" t="s">
        <v>1482</v>
      </c>
      <c r="AB388" s="8">
        <v>3273176.01</v>
      </c>
      <c r="AC388" s="24">
        <v>891285.82752299984</v>
      </c>
      <c r="AD388" s="8">
        <v>2270005</v>
      </c>
      <c r="AE388" s="24">
        <v>618122.3615</v>
      </c>
      <c r="AF388" s="8">
        <v>90</v>
      </c>
      <c r="AG388" s="8">
        <v>1</v>
      </c>
      <c r="AH388" s="8" t="s">
        <v>332</v>
      </c>
      <c r="AI388" s="8" t="s">
        <v>336</v>
      </c>
      <c r="AJ388" s="22">
        <v>0.1</v>
      </c>
      <c r="AK388" s="8" t="s">
        <v>153</v>
      </c>
      <c r="AL388" s="22">
        <v>0.05</v>
      </c>
      <c r="AM388" s="22">
        <v>0.06</v>
      </c>
      <c r="AN388" s="8">
        <v>0</v>
      </c>
      <c r="AO388" s="8">
        <v>2778</v>
      </c>
      <c r="AP388" s="8">
        <v>8279636.4000000004</v>
      </c>
      <c r="AQ388" s="24">
        <v>2254544.9917199998</v>
      </c>
      <c r="AR388" s="8">
        <v>10014761.41</v>
      </c>
      <c r="AS388" s="37">
        <v>2727019.5319429999</v>
      </c>
      <c r="AT388" s="8" t="s">
        <v>343</v>
      </c>
      <c r="AU388" s="8" t="s">
        <v>348</v>
      </c>
      <c r="AV388" s="8"/>
      <c r="AW388" s="8">
        <v>24</v>
      </c>
      <c r="AX388" s="8" t="s">
        <v>392</v>
      </c>
      <c r="AY388" s="8" t="s">
        <v>206</v>
      </c>
      <c r="AZ388" s="8" t="s">
        <v>357</v>
      </c>
      <c r="BA388" s="21">
        <f>IF(OR(tblsales[[#This Row],[Invoice Value USD]]="",tblsales[[#This Row],[Collected Amount USD]]=""),"",tblsales[[#This Row],[Invoice Value USD]]-tblsales[[#This Row],[Collected Amount USD]])</f>
        <v>273163.46602299984</v>
      </c>
      <c r="BB388" s="21">
        <f>IF(OR(tblsales[[#This Row],[Contract Value USD]]="",tblsales[[#This Row],[Cost Estimate USD]]=""),"",tblsales[[#This Row],[Contract Value USD]]-tblsales[[#This Row],[Cost Estimate USD]])</f>
        <v>1904309.6057160003</v>
      </c>
      <c r="BC388" s="21">
        <f>IF(OR(tblsales[[#This Row],[Contract Value USD]]="",tblsales[[#This Row],[Cost Estimate USD]]=""),"",tblsales[[#This Row],[Contract Value USD]]-tblsales[[#This Row],[Cost Estimate USD]])</f>
        <v>1904309.6057160003</v>
      </c>
      <c r="BD388" s="23">
        <f>IF(tblsales[[#This Row],[Invoice Value USD]]="","",tblsales[[#This Row],[Collected Amount USD]]/tblsales[[#This Row],[Invoice Value USD]])</f>
        <v>0.69351754780825259</v>
      </c>
      <c r="BE388" s="11">
        <f>IF(tblsales[[#This Row],[SalesStage]]="Won",1,0)</f>
        <v>0</v>
      </c>
      <c r="BF388" s="21" t="str">
        <f>IF(tblsales[[#This Row],[Win Flag]]=1,"Won","Lost")</f>
        <v>Lost</v>
      </c>
      <c r="BG388" s="8"/>
    </row>
    <row r="389" spans="1:59" x14ac:dyDescent="0.3">
      <c r="A389" s="10" t="s">
        <v>1483</v>
      </c>
      <c r="B389" s="9">
        <v>45897</v>
      </c>
      <c r="C389" s="10" t="s">
        <v>234</v>
      </c>
      <c r="D389" s="10" t="s">
        <v>232</v>
      </c>
      <c r="E389" s="10" t="s">
        <v>20</v>
      </c>
      <c r="F389" s="10" t="s">
        <v>196</v>
      </c>
      <c r="G389" s="10" t="s">
        <v>16</v>
      </c>
      <c r="H389" s="10" t="s">
        <v>216</v>
      </c>
      <c r="I389" s="10" t="s">
        <v>183</v>
      </c>
      <c r="J389" s="10" t="s">
        <v>136</v>
      </c>
      <c r="K389" s="10" t="s">
        <v>210</v>
      </c>
      <c r="L389" s="10" t="s">
        <v>1484</v>
      </c>
      <c r="M389" s="9">
        <v>45875</v>
      </c>
      <c r="N389" s="9">
        <v>45932</v>
      </c>
      <c r="O389" s="9">
        <v>45911</v>
      </c>
      <c r="P389" s="11">
        <v>18</v>
      </c>
      <c r="Q389" s="12">
        <v>20331387</v>
      </c>
      <c r="R389">
        <v>20331387</v>
      </c>
      <c r="S389" s="22">
        <v>0.1</v>
      </c>
      <c r="T389" s="22">
        <v>-0.04</v>
      </c>
      <c r="U389" s="12">
        <v>17566318.370000001</v>
      </c>
      <c r="V389" s="24">
        <v>17566318.370000001</v>
      </c>
      <c r="W389" s="8">
        <v>11168515.24</v>
      </c>
      <c r="X389" s="24">
        <v>11168515.24</v>
      </c>
      <c r="Y389" s="22">
        <v>0.19</v>
      </c>
      <c r="Z389" s="22">
        <v>0.09</v>
      </c>
      <c r="AA389" s="8" t="s">
        <v>1485</v>
      </c>
      <c r="AB389" s="8">
        <v>14434254.35</v>
      </c>
      <c r="AC389" s="24">
        <v>14434254.35</v>
      </c>
      <c r="AD389" s="8">
        <v>14722970.74</v>
      </c>
      <c r="AE389" s="24">
        <v>14722970.74</v>
      </c>
      <c r="AF389" s="8">
        <v>90</v>
      </c>
      <c r="AG389" s="8">
        <v>125</v>
      </c>
      <c r="AH389" s="8" t="s">
        <v>353</v>
      </c>
      <c r="AI389" s="8" t="s">
        <v>381</v>
      </c>
      <c r="AJ389" s="22">
        <v>0.09</v>
      </c>
      <c r="AK389" s="8" t="s">
        <v>152</v>
      </c>
      <c r="AL389" s="22">
        <v>0.15</v>
      </c>
      <c r="AM389" s="22">
        <v>0.1</v>
      </c>
      <c r="AN389" s="8">
        <v>15</v>
      </c>
      <c r="AO389" s="8">
        <v>4930</v>
      </c>
      <c r="AP389" s="8">
        <v>3091105.12</v>
      </c>
      <c r="AQ389" s="24">
        <v>3091105.12</v>
      </c>
      <c r="AR389" s="8">
        <v>8445695.9000000004</v>
      </c>
      <c r="AS389" s="37">
        <v>8445695.9000000004</v>
      </c>
      <c r="AT389" s="8" t="s">
        <v>321</v>
      </c>
      <c r="AU389" s="8" t="s">
        <v>330</v>
      </c>
      <c r="AV389" s="8">
        <v>83.6</v>
      </c>
      <c r="AW389" s="8">
        <v>36</v>
      </c>
      <c r="AX389" s="8" t="s">
        <v>332</v>
      </c>
      <c r="AY389" s="8" t="s">
        <v>224</v>
      </c>
      <c r="AZ389" s="8" t="s">
        <v>188</v>
      </c>
      <c r="BA389" s="21">
        <f>IF(OR(tblsales[[#This Row],[Invoice Value USD]]="",tblsales[[#This Row],[Collected Amount USD]]=""),"",tblsales[[#This Row],[Invoice Value USD]]-tblsales[[#This Row],[Collected Amount USD]])</f>
        <v>-288716.3900000006</v>
      </c>
      <c r="BB389" s="21">
        <f>IF(OR(tblsales[[#This Row],[Contract Value USD]]="",tblsales[[#This Row],[Cost Estimate USD]]=""),"",tblsales[[#This Row],[Contract Value USD]]-tblsales[[#This Row],[Cost Estimate USD]])</f>
        <v>6397803.1300000008</v>
      </c>
      <c r="BC389" s="21">
        <f>IF(OR(tblsales[[#This Row],[Contract Value USD]]="",tblsales[[#This Row],[Cost Estimate USD]]=""),"",tblsales[[#This Row],[Contract Value USD]]-tblsales[[#This Row],[Cost Estimate USD]])</f>
        <v>6397803.1300000008</v>
      </c>
      <c r="BD389" s="23">
        <f>IF(tblsales[[#This Row],[Invoice Value USD]]="","",tblsales[[#This Row],[Collected Amount USD]]/tblsales[[#This Row],[Invoice Value USD]])</f>
        <v>1.0200021686606902</v>
      </c>
      <c r="BE389" s="11">
        <f>IF(tblsales[[#This Row],[SalesStage]]="Won",1,0)</f>
        <v>0</v>
      </c>
      <c r="BF389" s="21" t="str">
        <f>IF(tblsales[[#This Row],[Win Flag]]=1,"Won","Lost")</f>
        <v>Lost</v>
      </c>
      <c r="BG389" s="8"/>
    </row>
    <row r="390" spans="1:59" x14ac:dyDescent="0.3">
      <c r="A390" s="10" t="s">
        <v>1486</v>
      </c>
      <c r="B390" s="9">
        <v>45698</v>
      </c>
      <c r="C390" s="10" t="s">
        <v>252</v>
      </c>
      <c r="D390" s="10" t="s">
        <v>394</v>
      </c>
      <c r="E390" s="10" t="s">
        <v>332</v>
      </c>
      <c r="F390" s="10" t="s">
        <v>19</v>
      </c>
      <c r="G390" s="10" t="s">
        <v>50</v>
      </c>
      <c r="H390" s="10" t="s">
        <v>236</v>
      </c>
      <c r="I390" s="10" t="s">
        <v>332</v>
      </c>
      <c r="J390" s="10" t="s">
        <v>130</v>
      </c>
      <c r="K390" s="10" t="s">
        <v>199</v>
      </c>
      <c r="L390" s="10" t="s">
        <v>1487</v>
      </c>
      <c r="M390" s="9">
        <v>45686</v>
      </c>
      <c r="N390" s="9">
        <v>45720</v>
      </c>
      <c r="O390" s="9"/>
      <c r="P390" s="11">
        <v>36</v>
      </c>
      <c r="Q390" s="12">
        <v>29982446</v>
      </c>
      <c r="R390">
        <v>29982446</v>
      </c>
      <c r="S390" s="22">
        <v>0.27</v>
      </c>
      <c r="T390" s="22">
        <v>0.02</v>
      </c>
      <c r="U390" s="12">
        <v>22324929.289999999</v>
      </c>
      <c r="V390" s="24">
        <v>22324929.289999999</v>
      </c>
      <c r="W390" s="8">
        <v>15609439.42</v>
      </c>
      <c r="X390" s="24">
        <v>15609439.42</v>
      </c>
      <c r="Y390" s="22">
        <v>0.19</v>
      </c>
      <c r="Z390" s="22">
        <v>0.06</v>
      </c>
      <c r="AA390" s="8" t="s">
        <v>1488</v>
      </c>
      <c r="AB390" s="8">
        <v>15270545.609999999</v>
      </c>
      <c r="AC390" s="24">
        <v>15270545.609999999</v>
      </c>
      <c r="AD390" s="8">
        <v>14633754.91</v>
      </c>
      <c r="AE390" s="24">
        <v>14633754.91</v>
      </c>
      <c r="AF390" s="8">
        <v>120</v>
      </c>
      <c r="AG390" s="8">
        <v>87</v>
      </c>
      <c r="AH390" s="8" t="s">
        <v>329</v>
      </c>
      <c r="AI390" s="8" t="s">
        <v>226</v>
      </c>
      <c r="AJ390" s="22">
        <v>0.74</v>
      </c>
      <c r="AK390" s="8" t="s">
        <v>152</v>
      </c>
      <c r="AL390" s="22">
        <v>0.15</v>
      </c>
      <c r="AM390" s="22">
        <v>0.03</v>
      </c>
      <c r="AN390" s="8">
        <v>15</v>
      </c>
      <c r="AO390" s="8">
        <v>728</v>
      </c>
      <c r="AP390" s="8">
        <v>2648964.61</v>
      </c>
      <c r="AQ390" s="24">
        <v>2648964.61</v>
      </c>
      <c r="AR390" s="8">
        <v>7803404.9500000002</v>
      </c>
      <c r="AS390" s="37">
        <v>7803404.9500000002</v>
      </c>
      <c r="AT390" s="8" t="s">
        <v>343</v>
      </c>
      <c r="AU390" s="8" t="s">
        <v>330</v>
      </c>
      <c r="AV390" s="8">
        <v>91.5</v>
      </c>
      <c r="AW390" s="8">
        <v>12</v>
      </c>
      <c r="AX390" s="8" t="s">
        <v>323</v>
      </c>
      <c r="AY390" s="8" t="s">
        <v>224</v>
      </c>
      <c r="AZ390" s="8" t="s">
        <v>357</v>
      </c>
      <c r="BA390" s="21">
        <f>IF(OR(tblsales[[#This Row],[Invoice Value USD]]="",tblsales[[#This Row],[Collected Amount USD]]=""),"",tblsales[[#This Row],[Invoice Value USD]]-tblsales[[#This Row],[Collected Amount USD]])</f>
        <v>636790.69999999925</v>
      </c>
      <c r="BB390" s="21">
        <f>IF(OR(tblsales[[#This Row],[Contract Value USD]]="",tblsales[[#This Row],[Cost Estimate USD]]=""),"",tblsales[[#This Row],[Contract Value USD]]-tblsales[[#This Row],[Cost Estimate USD]])</f>
        <v>6715489.8699999992</v>
      </c>
      <c r="BC390" s="21">
        <f>IF(OR(tblsales[[#This Row],[Contract Value USD]]="",tblsales[[#This Row],[Cost Estimate USD]]=""),"",tblsales[[#This Row],[Contract Value USD]]-tblsales[[#This Row],[Cost Estimate USD]])</f>
        <v>6715489.8699999992</v>
      </c>
      <c r="BD390" s="23">
        <f>IF(tblsales[[#This Row],[Invoice Value USD]]="","",tblsales[[#This Row],[Collected Amount USD]]/tblsales[[#This Row],[Invoice Value USD]])</f>
        <v>0.95829941403121877</v>
      </c>
      <c r="BE390" s="11">
        <f>IF(tblsales[[#This Row],[SalesStage]]="Won",1,0)</f>
        <v>0</v>
      </c>
      <c r="BF390" s="21" t="str">
        <f>IF(tblsales[[#This Row],[Win Flag]]=1,"Won","Lost")</f>
        <v>Lost</v>
      </c>
      <c r="BG390" s="8"/>
    </row>
    <row r="391" spans="1:59" x14ac:dyDescent="0.3">
      <c r="A391" s="10" t="s">
        <v>1489</v>
      </c>
      <c r="B391" s="9">
        <v>45985</v>
      </c>
      <c r="C391" s="10" t="s">
        <v>257</v>
      </c>
      <c r="D391" s="10" t="s">
        <v>262</v>
      </c>
      <c r="E391" s="10" t="s">
        <v>20</v>
      </c>
      <c r="F391" s="10" t="s">
        <v>35</v>
      </c>
      <c r="G391" s="10" t="s">
        <v>62</v>
      </c>
      <c r="H391" s="10" t="s">
        <v>216</v>
      </c>
      <c r="I391" s="10" t="s">
        <v>332</v>
      </c>
      <c r="J391" s="10" t="s">
        <v>136</v>
      </c>
      <c r="K391" s="10" t="s">
        <v>199</v>
      </c>
      <c r="L391" s="10" t="s">
        <v>1490</v>
      </c>
      <c r="M391" s="9">
        <v>45757</v>
      </c>
      <c r="N391" s="9">
        <v>46082</v>
      </c>
      <c r="O391" s="9"/>
      <c r="P391" s="11">
        <v>38</v>
      </c>
      <c r="Q391" s="12">
        <v>2133573</v>
      </c>
      <c r="R391">
        <v>2477078.253</v>
      </c>
      <c r="S391" s="22">
        <v>0.06</v>
      </c>
      <c r="T391" s="22">
        <v>-0.02</v>
      </c>
      <c r="U391" s="12">
        <v>1965447.45</v>
      </c>
      <c r="V391" s="24">
        <v>2281884.4894500002</v>
      </c>
      <c r="W391" s="8">
        <v>1345259.87</v>
      </c>
      <c r="X391" s="24">
        <v>1561846.7090700001</v>
      </c>
      <c r="Y391" s="22">
        <v>0.17</v>
      </c>
      <c r="Z391" s="22">
        <v>0.13</v>
      </c>
      <c r="AA391" s="8" t="s">
        <v>1491</v>
      </c>
      <c r="AB391" s="8">
        <v>1114533.5900000001</v>
      </c>
      <c r="AC391" s="24">
        <v>1293973.4979900001</v>
      </c>
      <c r="AD391" s="8">
        <v>636591.64</v>
      </c>
      <c r="AE391" s="24">
        <v>739082.89404000004</v>
      </c>
      <c r="AF391" s="8">
        <v>45</v>
      </c>
      <c r="AG391" s="8">
        <v>118</v>
      </c>
      <c r="AH391" s="8" t="s">
        <v>329</v>
      </c>
      <c r="AI391" s="8" t="s">
        <v>455</v>
      </c>
      <c r="AJ391" s="22">
        <v>0.76</v>
      </c>
      <c r="AK391" s="8" t="s">
        <v>159</v>
      </c>
      <c r="AL391" s="22">
        <v>0.15</v>
      </c>
      <c r="AM391" s="22">
        <v>0.05</v>
      </c>
      <c r="AN391" s="8">
        <v>11</v>
      </c>
      <c r="AO391" s="8">
        <v>2880</v>
      </c>
      <c r="AP391" s="8">
        <v>167417.82</v>
      </c>
      <c r="AQ391" s="24">
        <v>194372.08902000001</v>
      </c>
      <c r="AR391" s="8">
        <v>419025.64</v>
      </c>
      <c r="AS391" s="37">
        <v>486488.76804000005</v>
      </c>
      <c r="AT391" s="8" t="s">
        <v>73</v>
      </c>
      <c r="AU391" s="8" t="s">
        <v>321</v>
      </c>
      <c r="AV391" s="8">
        <v>81.5</v>
      </c>
      <c r="AW391" s="8">
        <v>48</v>
      </c>
      <c r="AX391" s="8" t="s">
        <v>332</v>
      </c>
      <c r="AY391" s="8" t="s">
        <v>229</v>
      </c>
      <c r="AZ391" s="8" t="s">
        <v>361</v>
      </c>
      <c r="BA391" s="21">
        <f>IF(OR(tblsales[[#This Row],[Invoice Value USD]]="",tblsales[[#This Row],[Collected Amount USD]]=""),"",tblsales[[#This Row],[Invoice Value USD]]-tblsales[[#This Row],[Collected Amount USD]])</f>
        <v>554890.60395000002</v>
      </c>
      <c r="BB391" s="21">
        <f>IF(OR(tblsales[[#This Row],[Contract Value USD]]="",tblsales[[#This Row],[Cost Estimate USD]]=""),"",tblsales[[#This Row],[Contract Value USD]]-tblsales[[#This Row],[Cost Estimate USD]])</f>
        <v>720037.78038000013</v>
      </c>
      <c r="BC391" s="21">
        <f>IF(OR(tblsales[[#This Row],[Contract Value USD]]="",tblsales[[#This Row],[Cost Estimate USD]]=""),"",tblsales[[#This Row],[Contract Value USD]]-tblsales[[#This Row],[Cost Estimate USD]])</f>
        <v>720037.78038000013</v>
      </c>
      <c r="BD391" s="23">
        <f>IF(tblsales[[#This Row],[Invoice Value USD]]="","",tblsales[[#This Row],[Collected Amount USD]]/tblsales[[#This Row],[Invoice Value USD]])</f>
        <v>0.57117313081609322</v>
      </c>
      <c r="BE391" s="11">
        <f>IF(tblsales[[#This Row],[SalesStage]]="Won",1,0)</f>
        <v>0</v>
      </c>
      <c r="BF391" s="21" t="str">
        <f>IF(tblsales[[#This Row],[Win Flag]]=1,"Won","Lost")</f>
        <v>Lost</v>
      </c>
      <c r="BG391" s="8"/>
    </row>
    <row r="392" spans="1:59" x14ac:dyDescent="0.3">
      <c r="A392" s="10" t="s">
        <v>1492</v>
      </c>
      <c r="B392" s="9">
        <v>45973</v>
      </c>
      <c r="C392" s="10" t="s">
        <v>189</v>
      </c>
      <c r="D392" s="10" t="s">
        <v>245</v>
      </c>
      <c r="E392" s="10" t="s">
        <v>41</v>
      </c>
      <c r="F392" s="10" t="s">
        <v>228</v>
      </c>
      <c r="G392" s="10" t="s">
        <v>38</v>
      </c>
      <c r="H392" s="10" t="s">
        <v>182</v>
      </c>
      <c r="I392" s="10" t="s">
        <v>332</v>
      </c>
      <c r="J392" s="10" t="s">
        <v>105</v>
      </c>
      <c r="K392" s="10" t="s">
        <v>210</v>
      </c>
      <c r="L392" s="10" t="s">
        <v>1493</v>
      </c>
      <c r="M392" s="9">
        <v>45916</v>
      </c>
      <c r="N392" s="9" t="s">
        <v>1494</v>
      </c>
      <c r="O392" s="9">
        <v>46084</v>
      </c>
      <c r="P392" s="11">
        <v>54</v>
      </c>
      <c r="Q392" s="12">
        <v>33421677</v>
      </c>
      <c r="R392">
        <v>33421677</v>
      </c>
      <c r="S392" s="22">
        <v>0.03</v>
      </c>
      <c r="T392" s="22">
        <v>0.12</v>
      </c>
      <c r="U392" s="12">
        <v>36309309.890000001</v>
      </c>
      <c r="V392" s="24">
        <v>36309309.890000001</v>
      </c>
      <c r="W392" s="8">
        <v>26395925.07</v>
      </c>
      <c r="X392" s="24">
        <v>26395925.07</v>
      </c>
      <c r="Y392" s="22">
        <v>0.2</v>
      </c>
      <c r="Z392" s="22">
        <v>0.06</v>
      </c>
      <c r="AA392" s="8" t="s">
        <v>1495</v>
      </c>
      <c r="AB392" s="8">
        <v>13539859.550000001</v>
      </c>
      <c r="AC392" s="24">
        <v>13539859.550000001</v>
      </c>
      <c r="AD392" s="8">
        <v>6604567.4199999999</v>
      </c>
      <c r="AE392" s="24">
        <v>6604567.4199999999</v>
      </c>
      <c r="AF392" s="8">
        <v>90</v>
      </c>
      <c r="AG392" s="8">
        <v>27</v>
      </c>
      <c r="AH392" s="8" t="s">
        <v>347</v>
      </c>
      <c r="AI392" s="8" t="s">
        <v>455</v>
      </c>
      <c r="AJ392" s="22">
        <v>0.81</v>
      </c>
      <c r="AK392" s="8" t="s">
        <v>152</v>
      </c>
      <c r="AL392" s="22">
        <v>0.05</v>
      </c>
      <c r="AM392" s="22">
        <v>0.04</v>
      </c>
      <c r="AN392" s="8">
        <v>13</v>
      </c>
      <c r="AO392" s="8">
        <v>3633</v>
      </c>
      <c r="AP392" s="8">
        <v>1198981.0900000001</v>
      </c>
      <c r="AQ392" s="24">
        <v>1198981.0900000001</v>
      </c>
      <c r="AR392" s="8">
        <v>7468308.46</v>
      </c>
      <c r="AS392" s="37">
        <v>7468308.46</v>
      </c>
      <c r="AT392" s="8" t="s">
        <v>73</v>
      </c>
      <c r="AU392" s="8" t="s">
        <v>322</v>
      </c>
      <c r="AV392" s="8">
        <v>65.099999999999994</v>
      </c>
      <c r="AW392" s="8">
        <v>24</v>
      </c>
      <c r="AX392" s="8" t="s">
        <v>332</v>
      </c>
      <c r="AY392" s="8" t="s">
        <v>186</v>
      </c>
      <c r="AZ392" s="8" t="s">
        <v>377</v>
      </c>
      <c r="BA392" s="21">
        <f>IF(OR(tblsales[[#This Row],[Invoice Value USD]]="",tblsales[[#This Row],[Collected Amount USD]]=""),"",tblsales[[#This Row],[Invoice Value USD]]-tblsales[[#This Row],[Collected Amount USD]])</f>
        <v>6935292.1300000008</v>
      </c>
      <c r="BB392" s="21">
        <f>IF(OR(tblsales[[#This Row],[Contract Value USD]]="",tblsales[[#This Row],[Cost Estimate USD]]=""),"",tblsales[[#This Row],[Contract Value USD]]-tblsales[[#This Row],[Cost Estimate USD]])</f>
        <v>9913384.8200000003</v>
      </c>
      <c r="BC392" s="21">
        <f>IF(OR(tblsales[[#This Row],[Contract Value USD]]="",tblsales[[#This Row],[Cost Estimate USD]]=""),"",tblsales[[#This Row],[Contract Value USD]]-tblsales[[#This Row],[Cost Estimate USD]])</f>
        <v>9913384.8200000003</v>
      </c>
      <c r="BD392" s="23">
        <f>IF(tblsales[[#This Row],[Invoice Value USD]]="","",tblsales[[#This Row],[Collected Amount USD]]/tblsales[[#This Row],[Invoice Value USD]])</f>
        <v>0.48778699628387207</v>
      </c>
      <c r="BE392" s="11">
        <f>IF(tblsales[[#This Row],[SalesStage]]="Won",1,0)</f>
        <v>0</v>
      </c>
      <c r="BF392" s="21" t="str">
        <f>IF(tblsales[[#This Row],[Win Flag]]=1,"Won","Lost")</f>
        <v>Lost</v>
      </c>
      <c r="BG392" s="8"/>
    </row>
    <row r="393" spans="1:59" x14ac:dyDescent="0.3">
      <c r="A393" s="10" t="s">
        <v>1496</v>
      </c>
      <c r="B393" s="9">
        <v>46028</v>
      </c>
      <c r="C393" s="10" t="s">
        <v>244</v>
      </c>
      <c r="D393" s="10" t="s">
        <v>220</v>
      </c>
      <c r="E393" s="10" t="s">
        <v>332</v>
      </c>
      <c r="F393" s="10" t="s">
        <v>350</v>
      </c>
      <c r="G393" s="10" t="s">
        <v>62</v>
      </c>
      <c r="H393" s="10" t="s">
        <v>216</v>
      </c>
      <c r="I393" s="10" t="s">
        <v>233</v>
      </c>
      <c r="J393" s="10" t="s">
        <v>130</v>
      </c>
      <c r="K393" s="10" t="s">
        <v>184</v>
      </c>
      <c r="L393" s="10" t="s">
        <v>1497</v>
      </c>
      <c r="M393" s="9">
        <v>45941</v>
      </c>
      <c r="N393" s="9"/>
      <c r="O393" s="9"/>
      <c r="P393" s="11">
        <v>50</v>
      </c>
      <c r="Q393" s="12">
        <v>31085848</v>
      </c>
      <c r="R393">
        <v>8464676.4103999995</v>
      </c>
      <c r="S393" s="22">
        <v>0.05</v>
      </c>
      <c r="T393" s="22">
        <v>0.18</v>
      </c>
      <c r="U393" s="12">
        <v>34847235.609999999</v>
      </c>
      <c r="V393" s="24">
        <v>9488902.2566029988</v>
      </c>
      <c r="W393" s="8">
        <v>29768930.219999999</v>
      </c>
      <c r="X393" s="24">
        <v>8106079.6989059988</v>
      </c>
      <c r="Y393" s="22">
        <v>0.08</v>
      </c>
      <c r="Z393" s="22">
        <v>0.09</v>
      </c>
      <c r="AA393" s="8" t="s">
        <v>1498</v>
      </c>
      <c r="AB393" s="8">
        <v>4110549.6</v>
      </c>
      <c r="AC393" s="24">
        <v>1119302.6560799999</v>
      </c>
      <c r="AD393" s="8">
        <v>3347584.84</v>
      </c>
      <c r="AE393" s="24">
        <v>911547.3519319999</v>
      </c>
      <c r="AF393" s="8">
        <v>120</v>
      </c>
      <c r="AG393" s="8">
        <v>164</v>
      </c>
      <c r="AH393" s="8" t="s">
        <v>332</v>
      </c>
      <c r="AI393" s="8" t="s">
        <v>226</v>
      </c>
      <c r="AJ393" s="22">
        <v>0.59</v>
      </c>
      <c r="AK393" s="8" t="s">
        <v>153</v>
      </c>
      <c r="AL393" s="22">
        <v>0.1</v>
      </c>
      <c r="AM393" s="22">
        <v>0.05</v>
      </c>
      <c r="AN393" s="8">
        <v>9</v>
      </c>
      <c r="AO393" s="8">
        <v>219</v>
      </c>
      <c r="AP393" s="8">
        <v>4163266.47</v>
      </c>
      <c r="AQ393" s="24">
        <v>1133657.4597809999</v>
      </c>
      <c r="AR393" s="8">
        <v>6128286.75</v>
      </c>
      <c r="AS393" s="37">
        <v>1668732.4820249998</v>
      </c>
      <c r="AT393" s="8" t="s">
        <v>73</v>
      </c>
      <c r="AU393" s="8" t="s">
        <v>332</v>
      </c>
      <c r="AV393" s="8"/>
      <c r="AW393" s="8">
        <v>60</v>
      </c>
      <c r="AX393" s="8" t="s">
        <v>392</v>
      </c>
      <c r="AY393" s="8" t="s">
        <v>229</v>
      </c>
      <c r="AZ393" s="8" t="s">
        <v>357</v>
      </c>
      <c r="BA393" s="21">
        <f>IF(OR(tblsales[[#This Row],[Invoice Value USD]]="",tblsales[[#This Row],[Collected Amount USD]]=""),"",tblsales[[#This Row],[Invoice Value USD]]-tblsales[[#This Row],[Collected Amount USD]])</f>
        <v>207755.30414799997</v>
      </c>
      <c r="BB393" s="21">
        <f>IF(OR(tblsales[[#This Row],[Contract Value USD]]="",tblsales[[#This Row],[Cost Estimate USD]]=""),"",tblsales[[#This Row],[Contract Value USD]]-tblsales[[#This Row],[Cost Estimate USD]])</f>
        <v>1382822.557697</v>
      </c>
      <c r="BC393" s="21">
        <f>IF(OR(tblsales[[#This Row],[Contract Value USD]]="",tblsales[[#This Row],[Cost Estimate USD]]=""),"",tblsales[[#This Row],[Contract Value USD]]-tblsales[[#This Row],[Cost Estimate USD]])</f>
        <v>1382822.557697</v>
      </c>
      <c r="BD393" s="23">
        <f>IF(tblsales[[#This Row],[Invoice Value USD]]="","",tblsales[[#This Row],[Collected Amount USD]]/tblsales[[#This Row],[Invoice Value USD]])</f>
        <v>0.81438862579349491</v>
      </c>
      <c r="BE393" s="11">
        <f>IF(tblsales[[#This Row],[SalesStage]]="Won",1,0)</f>
        <v>0</v>
      </c>
      <c r="BF393" s="21" t="str">
        <f>IF(tblsales[[#This Row],[Win Flag]]=1,"Won","Lost")</f>
        <v>Lost</v>
      </c>
      <c r="BG393" s="8"/>
    </row>
    <row r="394" spans="1:59" x14ac:dyDescent="0.3">
      <c r="A394" s="10" t="s">
        <v>1499</v>
      </c>
      <c r="B394" s="9">
        <v>45806</v>
      </c>
      <c r="C394" s="10" t="s">
        <v>276</v>
      </c>
      <c r="D394" s="10" t="s">
        <v>215</v>
      </c>
      <c r="E394" s="10" t="s">
        <v>36</v>
      </c>
      <c r="F394" s="10" t="s">
        <v>19</v>
      </c>
      <c r="G394" s="10" t="s">
        <v>66</v>
      </c>
      <c r="H394" s="10" t="s">
        <v>216</v>
      </c>
      <c r="I394" s="10" t="s">
        <v>191</v>
      </c>
      <c r="J394" s="10" t="s">
        <v>115</v>
      </c>
      <c r="K394" s="10" t="s">
        <v>184</v>
      </c>
      <c r="L394" s="10" t="s">
        <v>1500</v>
      </c>
      <c r="M394" s="9">
        <v>45966</v>
      </c>
      <c r="N394" s="9">
        <v>45997</v>
      </c>
      <c r="O394" s="9">
        <v>45755</v>
      </c>
      <c r="P394" s="11">
        <v>22</v>
      </c>
      <c r="Q394" s="12">
        <v>17586314</v>
      </c>
      <c r="R394">
        <v>17586314</v>
      </c>
      <c r="S394" s="22">
        <v>0.02</v>
      </c>
      <c r="T394" s="22">
        <v>0.17</v>
      </c>
      <c r="U394" s="12">
        <v>20164467.629999999</v>
      </c>
      <c r="V394" s="24">
        <v>20164467.629999999</v>
      </c>
      <c r="W394" s="8">
        <v>12525776.800000001</v>
      </c>
      <c r="X394" s="24">
        <v>12525776.800000001</v>
      </c>
      <c r="Y394" s="22">
        <v>0.1</v>
      </c>
      <c r="Z394" s="22">
        <v>0.14000000000000001</v>
      </c>
      <c r="AA394" s="8" t="s">
        <v>1501</v>
      </c>
      <c r="AB394" s="8">
        <v>16803564.52</v>
      </c>
      <c r="AC394" s="24">
        <v>16803564.52</v>
      </c>
      <c r="AD394" s="8">
        <v>9371818.6300000008</v>
      </c>
      <c r="AE394" s="24">
        <v>9371818.6300000008</v>
      </c>
      <c r="AF394" s="8">
        <v>45</v>
      </c>
      <c r="AG394" s="8">
        <v>102</v>
      </c>
      <c r="AH394" s="8" t="s">
        <v>376</v>
      </c>
      <c r="AI394" s="8" t="s">
        <v>455</v>
      </c>
      <c r="AJ394" s="22">
        <v>0.93</v>
      </c>
      <c r="AK394" s="8" t="s">
        <v>152</v>
      </c>
      <c r="AL394" s="22">
        <v>0.1</v>
      </c>
      <c r="AM394" s="22">
        <v>0.04</v>
      </c>
      <c r="AN394" s="8">
        <v>5</v>
      </c>
      <c r="AO394" s="8">
        <v>2812</v>
      </c>
      <c r="AP394" s="8">
        <v>2207422.9300000002</v>
      </c>
      <c r="AQ394" s="24">
        <v>2207422.9300000002</v>
      </c>
      <c r="AR394" s="8">
        <v>5586086.4100000001</v>
      </c>
      <c r="AS394" s="37">
        <v>5586086.4100000001</v>
      </c>
      <c r="AT394" s="8" t="s">
        <v>355</v>
      </c>
      <c r="AU394" s="8" t="s">
        <v>332</v>
      </c>
      <c r="AV394" s="8">
        <v>66.599999999999994</v>
      </c>
      <c r="AW394" s="8">
        <v>60</v>
      </c>
      <c r="AX394" s="8" t="s">
        <v>392</v>
      </c>
      <c r="AY394" s="8" t="s">
        <v>229</v>
      </c>
      <c r="AZ394" s="8" t="s">
        <v>332</v>
      </c>
      <c r="BA394" s="21">
        <f>IF(OR(tblsales[[#This Row],[Invoice Value USD]]="",tblsales[[#This Row],[Collected Amount USD]]=""),"",tblsales[[#This Row],[Invoice Value USD]]-tblsales[[#This Row],[Collected Amount USD]])</f>
        <v>7431745.8899999987</v>
      </c>
      <c r="BB394" s="21">
        <f>IF(OR(tblsales[[#This Row],[Contract Value USD]]="",tblsales[[#This Row],[Cost Estimate USD]]=""),"",tblsales[[#This Row],[Contract Value USD]]-tblsales[[#This Row],[Cost Estimate USD]])</f>
        <v>7638690.8299999982</v>
      </c>
      <c r="BC394" s="21">
        <f>IF(OR(tblsales[[#This Row],[Contract Value USD]]="",tblsales[[#This Row],[Cost Estimate USD]]=""),"",tblsales[[#This Row],[Contract Value USD]]-tblsales[[#This Row],[Cost Estimate USD]])</f>
        <v>7638690.8299999982</v>
      </c>
      <c r="BD394" s="23">
        <f>IF(tblsales[[#This Row],[Invoice Value USD]]="","",tblsales[[#This Row],[Collected Amount USD]]/tblsales[[#This Row],[Invoice Value USD]])</f>
        <v>0.55772801174687914</v>
      </c>
      <c r="BE394" s="11">
        <f>IF(tblsales[[#This Row],[SalesStage]]="Won",1,0)</f>
        <v>0</v>
      </c>
      <c r="BF394" s="21" t="str">
        <f>IF(tblsales[[#This Row],[Win Flag]]=1,"Won","Lost")</f>
        <v>Lost</v>
      </c>
      <c r="BG394" s="8"/>
    </row>
    <row r="395" spans="1:59" x14ac:dyDescent="0.3">
      <c r="A395" s="10" t="s">
        <v>1502</v>
      </c>
      <c r="B395" s="9">
        <v>46061</v>
      </c>
      <c r="C395" s="10" t="s">
        <v>282</v>
      </c>
      <c r="D395" s="10" t="s">
        <v>232</v>
      </c>
      <c r="E395" s="10" t="s">
        <v>41</v>
      </c>
      <c r="F395" s="10" t="s">
        <v>350</v>
      </c>
      <c r="G395" s="10" t="s">
        <v>33</v>
      </c>
      <c r="H395" s="10" t="s">
        <v>216</v>
      </c>
      <c r="I395" s="10" t="s">
        <v>203</v>
      </c>
      <c r="J395" s="10" t="s">
        <v>130</v>
      </c>
      <c r="K395" s="10" t="s">
        <v>221</v>
      </c>
      <c r="L395" s="10" t="s">
        <v>1503</v>
      </c>
      <c r="M395" s="9">
        <v>46003</v>
      </c>
      <c r="N395" s="9">
        <v>46081</v>
      </c>
      <c r="O395" s="9">
        <v>46129</v>
      </c>
      <c r="P395" s="11">
        <v>8</v>
      </c>
      <c r="Q395" s="12">
        <v>19282137</v>
      </c>
      <c r="R395">
        <v>19282137</v>
      </c>
      <c r="S395" s="22">
        <v>0.34</v>
      </c>
      <c r="T395" s="22">
        <v>0</v>
      </c>
      <c r="U395" s="12">
        <v>12726210.42</v>
      </c>
      <c r="V395" s="24">
        <v>12726210.42</v>
      </c>
      <c r="W395" s="8">
        <v>7779253.3300000001</v>
      </c>
      <c r="X395" s="24">
        <v>7779253.3300000001</v>
      </c>
      <c r="Y395" s="22">
        <v>0.3</v>
      </c>
      <c r="Z395" s="22">
        <v>0.16</v>
      </c>
      <c r="AA395" s="8"/>
      <c r="AB395" s="8">
        <v>2310019.0099999998</v>
      </c>
      <c r="AC395" s="24">
        <v>2310019.0099999998</v>
      </c>
      <c r="AD395" s="8">
        <v>2122365.66</v>
      </c>
      <c r="AE395" s="24">
        <v>2122365.66</v>
      </c>
      <c r="AF395" s="8">
        <v>90</v>
      </c>
      <c r="AG395" s="8">
        <v>161</v>
      </c>
      <c r="AH395" s="8" t="s">
        <v>329</v>
      </c>
      <c r="AI395" s="8" t="s">
        <v>336</v>
      </c>
      <c r="AJ395" s="22">
        <v>0.73</v>
      </c>
      <c r="AK395" s="8" t="s">
        <v>152</v>
      </c>
      <c r="AL395" s="22">
        <v>0.05</v>
      </c>
      <c r="AM395" s="22">
        <v>0.09</v>
      </c>
      <c r="AN395" s="8">
        <v>15</v>
      </c>
      <c r="AO395" s="8">
        <v>3015</v>
      </c>
      <c r="AP395" s="8">
        <v>1507373.25</v>
      </c>
      <c r="AQ395" s="24">
        <v>1507373.25</v>
      </c>
      <c r="AR395" s="8">
        <v>3162464.66</v>
      </c>
      <c r="AS395" s="37">
        <v>3162464.66</v>
      </c>
      <c r="AT395" s="8" t="s">
        <v>332</v>
      </c>
      <c r="AU395" s="8" t="s">
        <v>322</v>
      </c>
      <c r="AV395" s="8">
        <v>63.5</v>
      </c>
      <c r="AW395" s="8">
        <v>48</v>
      </c>
      <c r="AX395" s="8" t="s">
        <v>323</v>
      </c>
      <c r="AY395" s="8" t="s">
        <v>206</v>
      </c>
      <c r="AZ395" s="8" t="s">
        <v>357</v>
      </c>
      <c r="BA395" s="21">
        <f>IF(OR(tblsales[[#This Row],[Invoice Value USD]]="",tblsales[[#This Row],[Collected Amount USD]]=""),"",tblsales[[#This Row],[Invoice Value USD]]-tblsales[[#This Row],[Collected Amount USD]])</f>
        <v>187653.34999999963</v>
      </c>
      <c r="BB395" s="21">
        <f>IF(OR(tblsales[[#This Row],[Contract Value USD]]="",tblsales[[#This Row],[Cost Estimate USD]]=""),"",tblsales[[#This Row],[Contract Value USD]]-tblsales[[#This Row],[Cost Estimate USD]])</f>
        <v>4946957.09</v>
      </c>
      <c r="BC395" s="21">
        <f>IF(OR(tblsales[[#This Row],[Contract Value USD]]="",tblsales[[#This Row],[Cost Estimate USD]]=""),"",tblsales[[#This Row],[Contract Value USD]]-tblsales[[#This Row],[Cost Estimate USD]])</f>
        <v>4946957.09</v>
      </c>
      <c r="BD395" s="23">
        <f>IF(tblsales[[#This Row],[Invoice Value USD]]="","",tblsales[[#This Row],[Collected Amount USD]]/tblsales[[#This Row],[Invoice Value USD]])</f>
        <v>0.91876545206439675</v>
      </c>
      <c r="BE395" s="11">
        <f>IF(tblsales[[#This Row],[SalesStage]]="Won",1,0)</f>
        <v>0</v>
      </c>
      <c r="BF395" s="21" t="str">
        <f>IF(tblsales[[#This Row],[Win Flag]]=1,"Won","Lost")</f>
        <v>Lost</v>
      </c>
      <c r="BG395" s="8"/>
    </row>
    <row r="396" spans="1:59" x14ac:dyDescent="0.3">
      <c r="A396" s="10" t="s">
        <v>1504</v>
      </c>
      <c r="B396" s="9">
        <v>45820</v>
      </c>
      <c r="C396" s="10" t="s">
        <v>278</v>
      </c>
      <c r="D396" s="10" t="s">
        <v>394</v>
      </c>
      <c r="E396" s="10" t="s">
        <v>20</v>
      </c>
      <c r="F396" s="10" t="s">
        <v>196</v>
      </c>
      <c r="G396" s="10" t="s">
        <v>66</v>
      </c>
      <c r="H396" s="10" t="s">
        <v>263</v>
      </c>
      <c r="I396" s="10" t="s">
        <v>183</v>
      </c>
      <c r="J396" s="10" t="s">
        <v>136</v>
      </c>
      <c r="K396" s="10" t="s">
        <v>210</v>
      </c>
      <c r="L396" s="10" t="s">
        <v>1505</v>
      </c>
      <c r="M396" s="9">
        <v>45955</v>
      </c>
      <c r="N396" s="9"/>
      <c r="O396" s="9">
        <v>46067</v>
      </c>
      <c r="P396" s="11"/>
      <c r="Q396" s="12">
        <v>24146467</v>
      </c>
      <c r="R396">
        <v>24146467</v>
      </c>
      <c r="S396" s="22">
        <v>0.23</v>
      </c>
      <c r="T396" s="22">
        <v>0.15</v>
      </c>
      <c r="U396" s="12">
        <v>21381696.530000001</v>
      </c>
      <c r="V396" s="24">
        <v>21381696.530000001</v>
      </c>
      <c r="W396" s="8">
        <v>17333287.739999998</v>
      </c>
      <c r="X396" s="24">
        <v>17333287.739999998</v>
      </c>
      <c r="Y396" s="22">
        <v>0.1</v>
      </c>
      <c r="Z396" s="22">
        <v>0.11</v>
      </c>
      <c r="AA396" s="8" t="s">
        <v>1506</v>
      </c>
      <c r="AB396" s="8">
        <v>18222791.039999999</v>
      </c>
      <c r="AC396" s="24">
        <v>18222791.039999999</v>
      </c>
      <c r="AD396" s="8">
        <v>18339973.469999999</v>
      </c>
      <c r="AE396" s="24">
        <v>18339973.469999999</v>
      </c>
      <c r="AF396" s="8">
        <v>60</v>
      </c>
      <c r="AG396" s="8">
        <v>106</v>
      </c>
      <c r="AH396" s="8" t="s">
        <v>332</v>
      </c>
      <c r="AI396" s="8" t="s">
        <v>320</v>
      </c>
      <c r="AJ396" s="22">
        <v>0.74</v>
      </c>
      <c r="AK396" s="8" t="s">
        <v>152</v>
      </c>
      <c r="AL396" s="22">
        <v>0.1</v>
      </c>
      <c r="AM396" s="22">
        <v>0.06</v>
      </c>
      <c r="AN396" s="8">
        <v>8</v>
      </c>
      <c r="AO396" s="8">
        <v>3131</v>
      </c>
      <c r="AP396" s="8">
        <v>923565.05</v>
      </c>
      <c r="AQ396" s="24">
        <v>923565.05</v>
      </c>
      <c r="AR396" s="8">
        <v>7147677.3300000001</v>
      </c>
      <c r="AS396" s="37">
        <v>7147677.3300000001</v>
      </c>
      <c r="AT396" s="8" t="s">
        <v>73</v>
      </c>
      <c r="AU396" s="8" t="s">
        <v>332</v>
      </c>
      <c r="AV396" s="8">
        <v>60.8</v>
      </c>
      <c r="AW396" s="8">
        <v>60</v>
      </c>
      <c r="AX396" s="8" t="s">
        <v>337</v>
      </c>
      <c r="AY396" s="8" t="s">
        <v>186</v>
      </c>
      <c r="AZ396" s="8" t="s">
        <v>324</v>
      </c>
      <c r="BA396" s="21">
        <f>IF(OR(tblsales[[#This Row],[Invoice Value USD]]="",tblsales[[#This Row],[Collected Amount USD]]=""),"",tblsales[[#This Row],[Invoice Value USD]]-tblsales[[#This Row],[Collected Amount USD]])</f>
        <v>-117182.4299999997</v>
      </c>
      <c r="BB396" s="21">
        <f>IF(OR(tblsales[[#This Row],[Contract Value USD]]="",tblsales[[#This Row],[Cost Estimate USD]]=""),"",tblsales[[#This Row],[Contract Value USD]]-tblsales[[#This Row],[Cost Estimate USD]])</f>
        <v>4048408.7900000028</v>
      </c>
      <c r="BC396" s="21">
        <f>IF(OR(tblsales[[#This Row],[Contract Value USD]]="",tblsales[[#This Row],[Cost Estimate USD]]=""),"",tblsales[[#This Row],[Contract Value USD]]-tblsales[[#This Row],[Cost Estimate USD]])</f>
        <v>4048408.7900000028</v>
      </c>
      <c r="BD396" s="23">
        <f>IF(tblsales[[#This Row],[Invoice Value USD]]="","",tblsales[[#This Row],[Collected Amount USD]]/tblsales[[#This Row],[Invoice Value USD]])</f>
        <v>1.0064305423764548</v>
      </c>
      <c r="BE396" s="11">
        <f>IF(tblsales[[#This Row],[SalesStage]]="Won",1,0)</f>
        <v>1</v>
      </c>
      <c r="BF396" s="21" t="str">
        <f>IF(tblsales[[#This Row],[Win Flag]]=1,"Won","Lost")</f>
        <v>Won</v>
      </c>
      <c r="BG396" s="8"/>
    </row>
    <row r="397" spans="1:59" x14ac:dyDescent="0.3">
      <c r="A397" s="10" t="s">
        <v>1507</v>
      </c>
      <c r="B397" s="9">
        <v>45774</v>
      </c>
      <c r="C397" s="10" t="s">
        <v>208</v>
      </c>
      <c r="D397" s="10" t="s">
        <v>202</v>
      </c>
      <c r="E397" s="10" t="s">
        <v>41</v>
      </c>
      <c r="F397" s="10" t="s">
        <v>332</v>
      </c>
      <c r="G397" s="10" t="s">
        <v>78</v>
      </c>
      <c r="H397" s="10" t="s">
        <v>216</v>
      </c>
      <c r="I397" s="10" t="s">
        <v>191</v>
      </c>
      <c r="J397" s="10" t="s">
        <v>105</v>
      </c>
      <c r="K397" s="10" t="s">
        <v>333</v>
      </c>
      <c r="L397" s="10" t="s">
        <v>1508</v>
      </c>
      <c r="M397" s="9">
        <v>45902</v>
      </c>
      <c r="N397" s="9"/>
      <c r="O397" s="9">
        <v>45723</v>
      </c>
      <c r="P397" s="11">
        <v>6</v>
      </c>
      <c r="Q397" s="12">
        <v>17076391</v>
      </c>
      <c r="R397">
        <v>4649901.2692999998</v>
      </c>
      <c r="S397" s="22">
        <v>0.02</v>
      </c>
      <c r="T397" s="22">
        <v>0.12</v>
      </c>
      <c r="U397" s="12">
        <v>18743046.760000002</v>
      </c>
      <c r="V397" s="24">
        <v>5103731.6327480003</v>
      </c>
      <c r="W397" s="8">
        <v>11678989.08</v>
      </c>
      <c r="X397" s="24">
        <v>3180188.7264839998</v>
      </c>
      <c r="Y397" s="22">
        <v>0.28999999999999998</v>
      </c>
      <c r="Z397" s="22">
        <v>0.09</v>
      </c>
      <c r="AA397" s="8" t="s">
        <v>1509</v>
      </c>
      <c r="AB397" s="8">
        <v>3843910.68</v>
      </c>
      <c r="AC397" s="24">
        <v>1046696.878164</v>
      </c>
      <c r="AD397" s="8">
        <v>2538303.4300000002</v>
      </c>
      <c r="AE397" s="24">
        <v>691180.02398900001</v>
      </c>
      <c r="AF397" s="8">
        <v>45</v>
      </c>
      <c r="AG397" s="8">
        <v>36</v>
      </c>
      <c r="AH397" s="8" t="s">
        <v>376</v>
      </c>
      <c r="AI397" s="8" t="s">
        <v>336</v>
      </c>
      <c r="AJ397" s="22">
        <v>0.91</v>
      </c>
      <c r="AK397" s="8" t="s">
        <v>153</v>
      </c>
      <c r="AL397" s="22">
        <v>0.15</v>
      </c>
      <c r="AM397" s="22">
        <v>0.1</v>
      </c>
      <c r="AN397" s="8">
        <v>9</v>
      </c>
      <c r="AO397" s="8">
        <v>2230</v>
      </c>
      <c r="AP397" s="8">
        <v>3621134.5</v>
      </c>
      <c r="AQ397" s="24">
        <v>986034.92434999999</v>
      </c>
      <c r="AR397" s="8">
        <v>5085973.3</v>
      </c>
      <c r="AS397" s="37">
        <v>1384910.5295899999</v>
      </c>
      <c r="AT397" s="8" t="s">
        <v>73</v>
      </c>
      <c r="AU397" s="8" t="s">
        <v>356</v>
      </c>
      <c r="AV397" s="8">
        <v>65.3</v>
      </c>
      <c r="AW397" s="8">
        <v>36</v>
      </c>
      <c r="AX397" s="8" t="s">
        <v>392</v>
      </c>
      <c r="AY397" s="8" t="s">
        <v>192</v>
      </c>
      <c r="AZ397" s="8" t="s">
        <v>188</v>
      </c>
      <c r="BA397" s="21">
        <f>IF(OR(tblsales[[#This Row],[Invoice Value USD]]="",tblsales[[#This Row],[Collected Amount USD]]=""),"",tblsales[[#This Row],[Invoice Value USD]]-tblsales[[#This Row],[Collected Amount USD]])</f>
        <v>355516.85417499999</v>
      </c>
      <c r="BB397" s="21">
        <f>IF(OR(tblsales[[#This Row],[Contract Value USD]]="",tblsales[[#This Row],[Cost Estimate USD]]=""),"",tblsales[[#This Row],[Contract Value USD]]-tblsales[[#This Row],[Cost Estimate USD]])</f>
        <v>1923542.9062640006</v>
      </c>
      <c r="BC397" s="21">
        <f>IF(OR(tblsales[[#This Row],[Contract Value USD]]="",tblsales[[#This Row],[Cost Estimate USD]]=""),"",tblsales[[#This Row],[Contract Value USD]]-tblsales[[#This Row],[Cost Estimate USD]])</f>
        <v>1923542.9062640006</v>
      </c>
      <c r="BD397" s="23">
        <f>IF(tblsales[[#This Row],[Invoice Value USD]]="","",tblsales[[#This Row],[Collected Amount USD]]/tblsales[[#This Row],[Invoice Value USD]])</f>
        <v>0.66034401975230084</v>
      </c>
      <c r="BE397" s="11">
        <f>IF(tblsales[[#This Row],[SalesStage]]="Won",1,0)</f>
        <v>0</v>
      </c>
      <c r="BF397" s="21" t="str">
        <f>IF(tblsales[[#This Row],[Win Flag]]=1,"Won","Lost")</f>
        <v>Lost</v>
      </c>
      <c r="BG397" s="8"/>
    </row>
    <row r="398" spans="1:59" x14ac:dyDescent="0.3">
      <c r="A398" s="10" t="s">
        <v>1510</v>
      </c>
      <c r="B398" s="9">
        <v>45975</v>
      </c>
      <c r="C398" s="10" t="s">
        <v>239</v>
      </c>
      <c r="D398" s="10" t="s">
        <v>248</v>
      </c>
      <c r="E398" s="10" t="s">
        <v>20</v>
      </c>
      <c r="F398" s="10" t="s">
        <v>196</v>
      </c>
      <c r="G398" s="10" t="s">
        <v>332</v>
      </c>
      <c r="H398" s="10" t="s">
        <v>182</v>
      </c>
      <c r="I398" s="10" t="s">
        <v>213</v>
      </c>
      <c r="J398" s="10" t="s">
        <v>136</v>
      </c>
      <c r="K398" s="10" t="s">
        <v>223</v>
      </c>
      <c r="L398" s="10" t="s">
        <v>1511</v>
      </c>
      <c r="M398" s="9">
        <v>45902</v>
      </c>
      <c r="N398" s="9"/>
      <c r="O398" s="9">
        <v>46037</v>
      </c>
      <c r="P398" s="11">
        <v>3</v>
      </c>
      <c r="Q398" s="12">
        <v>30048279</v>
      </c>
      <c r="R398">
        <v>8182146.3717</v>
      </c>
      <c r="S398" s="22">
        <v>0.06</v>
      </c>
      <c r="T398" s="22">
        <v>0.05</v>
      </c>
      <c r="U398" s="12">
        <v>29657651.370000001</v>
      </c>
      <c r="V398" s="24">
        <v>8075778.4680509996</v>
      </c>
      <c r="W398" s="8"/>
      <c r="X398" s="24"/>
      <c r="Y398" s="22">
        <v>0.21</v>
      </c>
      <c r="Z398" s="22">
        <v>0.13</v>
      </c>
      <c r="AA398" s="8" t="s">
        <v>1512</v>
      </c>
      <c r="AB398" s="8">
        <v>4491077.97</v>
      </c>
      <c r="AC398" s="24">
        <v>1222920.5312309999</v>
      </c>
      <c r="AD398" s="8">
        <v>4363210.5</v>
      </c>
      <c r="AE398" s="24">
        <v>1188102.21915</v>
      </c>
      <c r="AF398" s="8">
        <v>30</v>
      </c>
      <c r="AG398" s="8">
        <v>147</v>
      </c>
      <c r="AH398" s="8" t="s">
        <v>353</v>
      </c>
      <c r="AI398" s="8" t="s">
        <v>406</v>
      </c>
      <c r="AJ398" s="22">
        <v>0.88</v>
      </c>
      <c r="AK398" s="8" t="s">
        <v>153</v>
      </c>
      <c r="AL398" s="22">
        <v>0.1</v>
      </c>
      <c r="AM398" s="22">
        <v>0.02</v>
      </c>
      <c r="AN398" s="8">
        <v>12</v>
      </c>
      <c r="AO398" s="8">
        <v>594</v>
      </c>
      <c r="AP398" s="8">
        <v>3000377.14</v>
      </c>
      <c r="AQ398" s="24">
        <v>817002.69522200001</v>
      </c>
      <c r="AR398" s="8">
        <v>4791564.3</v>
      </c>
      <c r="AS398" s="37">
        <v>1304742.9588899999</v>
      </c>
      <c r="AT398" s="8" t="s">
        <v>385</v>
      </c>
      <c r="AU398" s="8" t="s">
        <v>332</v>
      </c>
      <c r="AV398" s="8">
        <v>76.5</v>
      </c>
      <c r="AW398" s="8">
        <v>36</v>
      </c>
      <c r="AX398" s="8" t="s">
        <v>332</v>
      </c>
      <c r="AY398" s="8" t="s">
        <v>192</v>
      </c>
      <c r="AZ398" s="8" t="s">
        <v>324</v>
      </c>
      <c r="BA398" s="21">
        <f>IF(OR(tblsales[[#This Row],[Invoice Value USD]]="",tblsales[[#This Row],[Collected Amount USD]]=""),"",tblsales[[#This Row],[Invoice Value USD]]-tblsales[[#This Row],[Collected Amount USD]])</f>
        <v>34818.312080999836</v>
      </c>
      <c r="BB398" s="21" t="str">
        <f>IF(OR(tblsales[[#This Row],[Contract Value USD]]="",tblsales[[#This Row],[Cost Estimate USD]]=""),"",tblsales[[#This Row],[Contract Value USD]]-tblsales[[#This Row],[Cost Estimate USD]])</f>
        <v/>
      </c>
      <c r="BC398" s="21" t="str">
        <f>IF(OR(tblsales[[#This Row],[Contract Value USD]]="",tblsales[[#This Row],[Cost Estimate USD]]=""),"",tblsales[[#This Row],[Contract Value USD]]-tblsales[[#This Row],[Cost Estimate USD]])</f>
        <v/>
      </c>
      <c r="BD398" s="23">
        <f>IF(tblsales[[#This Row],[Invoice Value USD]]="","",tblsales[[#This Row],[Collected Amount USD]]/tblsales[[#This Row],[Invoice Value USD]])</f>
        <v>0.97152855709605968</v>
      </c>
      <c r="BE398" s="11">
        <f>IF(tblsales[[#This Row],[SalesStage]]="Won",1,0)</f>
        <v>0</v>
      </c>
      <c r="BF398" s="21" t="str">
        <f>IF(tblsales[[#This Row],[Win Flag]]=1,"Won","Lost")</f>
        <v>Lost</v>
      </c>
      <c r="BG398" s="8"/>
    </row>
    <row r="399" spans="1:59" x14ac:dyDescent="0.3">
      <c r="A399" s="10" t="s">
        <v>1513</v>
      </c>
      <c r="B399" s="9">
        <v>45731</v>
      </c>
      <c r="C399" s="10" t="s">
        <v>222</v>
      </c>
      <c r="D399" s="10" t="s">
        <v>180</v>
      </c>
      <c r="E399" s="10" t="s">
        <v>113</v>
      </c>
      <c r="F399" s="10" t="s">
        <v>367</v>
      </c>
      <c r="G399" s="10" t="s">
        <v>332</v>
      </c>
      <c r="H399" s="10" t="s">
        <v>216</v>
      </c>
      <c r="I399" s="10" t="s">
        <v>233</v>
      </c>
      <c r="J399" s="10" t="s">
        <v>111</v>
      </c>
      <c r="K399" s="10" t="s">
        <v>223</v>
      </c>
      <c r="L399" s="10" t="s">
        <v>1514</v>
      </c>
      <c r="M399" s="9">
        <v>45715</v>
      </c>
      <c r="N399" s="9"/>
      <c r="O399" s="9">
        <v>45796</v>
      </c>
      <c r="P399" s="11">
        <v>45</v>
      </c>
      <c r="Q399" s="12">
        <v>13736964</v>
      </c>
      <c r="R399">
        <v>3663648.2988</v>
      </c>
      <c r="S399" s="22">
        <v>0.08</v>
      </c>
      <c r="T399" s="22">
        <v>0.05</v>
      </c>
      <c r="U399" s="12">
        <v>13269907.220000001</v>
      </c>
      <c r="V399" s="24">
        <v>3539084.2555740001</v>
      </c>
      <c r="W399" s="8">
        <v>10286361.5</v>
      </c>
      <c r="X399" s="24">
        <v>2743372.6120500001</v>
      </c>
      <c r="Y399" s="22">
        <v>7.0000000000000007E-2</v>
      </c>
      <c r="Z399" s="22">
        <v>0.14000000000000001</v>
      </c>
      <c r="AA399" s="8" t="s">
        <v>1515</v>
      </c>
      <c r="AB399" s="8">
        <v>6691338.04</v>
      </c>
      <c r="AC399" s="24">
        <v>1784579.8552679999</v>
      </c>
      <c r="AD399" s="8">
        <v>4286742.05</v>
      </c>
      <c r="AE399" s="24">
        <v>1143274.1047349998</v>
      </c>
      <c r="AF399" s="8">
        <v>120</v>
      </c>
      <c r="AG399" s="8">
        <v>60</v>
      </c>
      <c r="AH399" s="8" t="s">
        <v>347</v>
      </c>
      <c r="AI399" s="8" t="s">
        <v>226</v>
      </c>
      <c r="AJ399" s="22">
        <v>0.84</v>
      </c>
      <c r="AK399" s="8" t="s">
        <v>162</v>
      </c>
      <c r="AL399" s="22">
        <v>0.1</v>
      </c>
      <c r="AM399" s="22">
        <v>0.09</v>
      </c>
      <c r="AN399" s="8">
        <v>2</v>
      </c>
      <c r="AO399" s="8">
        <v>2767</v>
      </c>
      <c r="AP399" s="8">
        <v>1960030.25</v>
      </c>
      <c r="AQ399" s="24">
        <v>522740.067675</v>
      </c>
      <c r="AR399" s="8">
        <v>3251544.18</v>
      </c>
      <c r="AS399" s="37">
        <v>867186.83280600002</v>
      </c>
      <c r="AT399" s="8" t="s">
        <v>343</v>
      </c>
      <c r="AU399" s="8" t="s">
        <v>348</v>
      </c>
      <c r="AV399" s="8">
        <v>92.2</v>
      </c>
      <c r="AW399" s="8">
        <v>60</v>
      </c>
      <c r="AX399" s="8" t="s">
        <v>387</v>
      </c>
      <c r="AY399" s="8" t="s">
        <v>229</v>
      </c>
      <c r="AZ399" s="8" t="s">
        <v>357</v>
      </c>
      <c r="BA399" s="21">
        <f>IF(OR(tblsales[[#This Row],[Invoice Value USD]]="",tblsales[[#This Row],[Collected Amount USD]]=""),"",tblsales[[#This Row],[Invoice Value USD]]-tblsales[[#This Row],[Collected Amount USD]])</f>
        <v>641305.7505330001</v>
      </c>
      <c r="BB399" s="21">
        <f>IF(OR(tblsales[[#This Row],[Contract Value USD]]="",tblsales[[#This Row],[Cost Estimate USD]]=""),"",tblsales[[#This Row],[Contract Value USD]]-tblsales[[#This Row],[Cost Estimate USD]])</f>
        <v>795711.64352399996</v>
      </c>
      <c r="BC399" s="21">
        <f>IF(OR(tblsales[[#This Row],[Contract Value USD]]="",tblsales[[#This Row],[Cost Estimate USD]]=""),"",tblsales[[#This Row],[Contract Value USD]]-tblsales[[#This Row],[Cost Estimate USD]])</f>
        <v>795711.64352399996</v>
      </c>
      <c r="BD399" s="23">
        <f>IF(tblsales[[#This Row],[Invoice Value USD]]="","",tblsales[[#This Row],[Collected Amount USD]]/tblsales[[#This Row],[Invoice Value USD]])</f>
        <v>0.64064048541179364</v>
      </c>
      <c r="BE399" s="11">
        <f>IF(tblsales[[#This Row],[SalesStage]]="Won",1,0)</f>
        <v>0</v>
      </c>
      <c r="BF399" s="21" t="str">
        <f>IF(tblsales[[#This Row],[Win Flag]]=1,"Won","Lost")</f>
        <v>Lost</v>
      </c>
      <c r="BG399" s="8"/>
    </row>
    <row r="400" spans="1:59" x14ac:dyDescent="0.3">
      <c r="A400" s="10" t="s">
        <v>1516</v>
      </c>
      <c r="B400" s="9">
        <v>46042</v>
      </c>
      <c r="C400" s="10" t="s">
        <v>280</v>
      </c>
      <c r="D400" s="10" t="s">
        <v>209</v>
      </c>
      <c r="E400" s="10" t="s">
        <v>36</v>
      </c>
      <c r="F400" s="10" t="s">
        <v>19</v>
      </c>
      <c r="G400" s="10" t="s">
        <v>66</v>
      </c>
      <c r="H400" s="10" t="s">
        <v>332</v>
      </c>
      <c r="I400" s="10" t="s">
        <v>198</v>
      </c>
      <c r="J400" s="10" t="s">
        <v>115</v>
      </c>
      <c r="K400" s="10" t="s">
        <v>221</v>
      </c>
      <c r="L400" s="10" t="s">
        <v>1517</v>
      </c>
      <c r="M400" s="9">
        <v>46021</v>
      </c>
      <c r="N400" s="9">
        <v>46080</v>
      </c>
      <c r="O400" s="9">
        <v>46107</v>
      </c>
      <c r="P400" s="11">
        <v>57</v>
      </c>
      <c r="Q400" s="12">
        <v>46592465</v>
      </c>
      <c r="R400">
        <v>12687128.2195</v>
      </c>
      <c r="S400" s="22">
        <v>0.18</v>
      </c>
      <c r="T400" s="22">
        <v>0.2</v>
      </c>
      <c r="U400" s="12">
        <v>45846985.560000002</v>
      </c>
      <c r="V400" s="24">
        <v>12484134.167988</v>
      </c>
      <c r="W400" s="8">
        <v>28070307.77</v>
      </c>
      <c r="X400" s="24">
        <v>7643544.8057709998</v>
      </c>
      <c r="Y400" s="22">
        <v>0.31</v>
      </c>
      <c r="Z400" s="22">
        <v>0.15</v>
      </c>
      <c r="AA400" s="8" t="s">
        <v>1518</v>
      </c>
      <c r="AB400" s="8">
        <v>40236702.939999998</v>
      </c>
      <c r="AC400" s="24">
        <v>10956454.210561998</v>
      </c>
      <c r="AD400" s="8">
        <v>12526835.65</v>
      </c>
      <c r="AE400" s="24">
        <v>3411057.3474949999</v>
      </c>
      <c r="AF400" s="8">
        <v>60</v>
      </c>
      <c r="AG400" s="8">
        <v>128</v>
      </c>
      <c r="AH400" s="8" t="s">
        <v>332</v>
      </c>
      <c r="AI400" s="8" t="s">
        <v>226</v>
      </c>
      <c r="AJ400" s="22">
        <v>0.65</v>
      </c>
      <c r="AK400" s="8" t="s">
        <v>153</v>
      </c>
      <c r="AL400" s="22">
        <v>0.05</v>
      </c>
      <c r="AM400" s="22">
        <v>0.06</v>
      </c>
      <c r="AN400" s="8">
        <v>0</v>
      </c>
      <c r="AO400" s="8">
        <v>941</v>
      </c>
      <c r="AP400" s="8">
        <v>1620211.78</v>
      </c>
      <c r="AQ400" s="24">
        <v>441183.667694</v>
      </c>
      <c r="AR400" s="8">
        <v>18115319.109999999</v>
      </c>
      <c r="AS400" s="37">
        <v>4932801.3936529998</v>
      </c>
      <c r="AT400" s="8" t="s">
        <v>355</v>
      </c>
      <c r="AU400" s="8" t="s">
        <v>330</v>
      </c>
      <c r="AV400" s="8">
        <v>71.8</v>
      </c>
      <c r="AW400" s="8">
        <v>60</v>
      </c>
      <c r="AX400" s="8" t="s">
        <v>332</v>
      </c>
      <c r="AY400" s="8" t="s">
        <v>206</v>
      </c>
      <c r="AZ400" s="8" t="s">
        <v>324</v>
      </c>
      <c r="BA400" s="21">
        <f>IF(OR(tblsales[[#This Row],[Invoice Value USD]]="",tblsales[[#This Row],[Collected Amount USD]]=""),"",tblsales[[#This Row],[Invoice Value USD]]-tblsales[[#This Row],[Collected Amount USD]])</f>
        <v>7545396.8630669983</v>
      </c>
      <c r="BB400" s="21">
        <f>IF(OR(tblsales[[#This Row],[Contract Value USD]]="",tblsales[[#This Row],[Cost Estimate USD]]=""),"",tblsales[[#This Row],[Contract Value USD]]-tblsales[[#This Row],[Cost Estimate USD]])</f>
        <v>4840589.3622170007</v>
      </c>
      <c r="BC400" s="21">
        <f>IF(OR(tblsales[[#This Row],[Contract Value USD]]="",tblsales[[#This Row],[Cost Estimate USD]]=""),"",tblsales[[#This Row],[Contract Value USD]]-tblsales[[#This Row],[Cost Estimate USD]])</f>
        <v>4840589.3622170007</v>
      </c>
      <c r="BD400" s="23">
        <f>IF(tblsales[[#This Row],[Invoice Value USD]]="","",tblsales[[#This Row],[Collected Amount USD]]/tblsales[[#This Row],[Invoice Value USD]])</f>
        <v>0.31132858148640352</v>
      </c>
      <c r="BE400" s="11">
        <f>IF(tblsales[[#This Row],[SalesStage]]="Won",1,0)</f>
        <v>0</v>
      </c>
      <c r="BF400" s="21" t="str">
        <f>IF(tblsales[[#This Row],[Win Flag]]=1,"Won","Lost")</f>
        <v>Lost</v>
      </c>
      <c r="BG400" s="8"/>
    </row>
    <row r="401" spans="1:59" x14ac:dyDescent="0.3">
      <c r="A401" s="10" t="s">
        <v>1519</v>
      </c>
      <c r="B401" s="9">
        <v>45821</v>
      </c>
      <c r="C401" s="10" t="s">
        <v>284</v>
      </c>
      <c r="D401" s="10" t="s">
        <v>250</v>
      </c>
      <c r="E401" s="10" t="s">
        <v>41</v>
      </c>
      <c r="F401" s="10" t="s">
        <v>363</v>
      </c>
      <c r="G401" s="10" t="s">
        <v>50</v>
      </c>
      <c r="H401" s="10" t="s">
        <v>182</v>
      </c>
      <c r="I401" s="10" t="s">
        <v>183</v>
      </c>
      <c r="J401" s="10" t="s">
        <v>130</v>
      </c>
      <c r="K401" s="10" t="s">
        <v>210</v>
      </c>
      <c r="L401" s="10" t="s">
        <v>1520</v>
      </c>
      <c r="M401" s="9">
        <v>45755</v>
      </c>
      <c r="N401" s="9">
        <v>45845</v>
      </c>
      <c r="O401" s="9"/>
      <c r="P401" s="11">
        <v>45</v>
      </c>
      <c r="Q401" s="12">
        <v>43242807</v>
      </c>
      <c r="R401">
        <v>43242807</v>
      </c>
      <c r="S401" s="22">
        <v>0.19</v>
      </c>
      <c r="T401" s="22">
        <v>0.05</v>
      </c>
      <c r="U401" s="12">
        <v>36778007.350000001</v>
      </c>
      <c r="V401" s="24">
        <v>36778007.350000001</v>
      </c>
      <c r="W401" s="8">
        <v>32159699.5</v>
      </c>
      <c r="X401" s="24">
        <v>32159699.5</v>
      </c>
      <c r="Y401" s="22">
        <v>0.08</v>
      </c>
      <c r="Z401" s="22">
        <v>0.17</v>
      </c>
      <c r="AA401" s="8" t="s">
        <v>1521</v>
      </c>
      <c r="AB401" s="8">
        <v>17916682.469999999</v>
      </c>
      <c r="AC401" s="24">
        <v>17916682.469999999</v>
      </c>
      <c r="AD401" s="8">
        <v>18813373.09</v>
      </c>
      <c r="AE401" s="24">
        <v>18813373.09</v>
      </c>
      <c r="AF401" s="8">
        <v>30</v>
      </c>
      <c r="AG401" s="8">
        <v>147</v>
      </c>
      <c r="AH401" s="8" t="s">
        <v>342</v>
      </c>
      <c r="AI401" s="8" t="s">
        <v>336</v>
      </c>
      <c r="AJ401" s="22">
        <v>0.45</v>
      </c>
      <c r="AK401" s="8" t="s">
        <v>152</v>
      </c>
      <c r="AL401" s="22">
        <v>0.05</v>
      </c>
      <c r="AM401" s="22">
        <v>7.0000000000000007E-2</v>
      </c>
      <c r="AN401" s="8">
        <v>7</v>
      </c>
      <c r="AO401" s="8">
        <v>3135</v>
      </c>
      <c r="AP401" s="8">
        <v>7686292.0199999996</v>
      </c>
      <c r="AQ401" s="24">
        <v>7686292.0199999996</v>
      </c>
      <c r="AR401" s="8">
        <v>9772938.4000000004</v>
      </c>
      <c r="AS401" s="37">
        <v>9772938.4000000004</v>
      </c>
      <c r="AT401" s="8" t="s">
        <v>355</v>
      </c>
      <c r="AU401" s="8" t="s">
        <v>332</v>
      </c>
      <c r="AV401" s="8">
        <v>73.400000000000006</v>
      </c>
      <c r="AW401" s="8">
        <v>12</v>
      </c>
      <c r="AX401" s="8" t="s">
        <v>392</v>
      </c>
      <c r="AY401" s="8" t="s">
        <v>229</v>
      </c>
      <c r="AZ401" s="8" t="s">
        <v>377</v>
      </c>
      <c r="BA401" s="21">
        <f>IF(OR(tblsales[[#This Row],[Invoice Value USD]]="",tblsales[[#This Row],[Collected Amount USD]]=""),"",tblsales[[#This Row],[Invoice Value USD]]-tblsales[[#This Row],[Collected Amount USD]])</f>
        <v>-896690.62000000104</v>
      </c>
      <c r="BB401" s="21">
        <f>IF(OR(tblsales[[#This Row],[Contract Value USD]]="",tblsales[[#This Row],[Cost Estimate USD]]=""),"",tblsales[[#This Row],[Contract Value USD]]-tblsales[[#This Row],[Cost Estimate USD]])</f>
        <v>4618307.8500000015</v>
      </c>
      <c r="BC401" s="21">
        <f>IF(OR(tblsales[[#This Row],[Contract Value USD]]="",tblsales[[#This Row],[Cost Estimate USD]]=""),"",tblsales[[#This Row],[Contract Value USD]]-tblsales[[#This Row],[Cost Estimate USD]])</f>
        <v>4618307.8500000015</v>
      </c>
      <c r="BD401" s="23">
        <f>IF(tblsales[[#This Row],[Invoice Value USD]]="","",tblsales[[#This Row],[Collected Amount USD]]/tblsales[[#This Row],[Invoice Value USD]])</f>
        <v>1.0500478044136483</v>
      </c>
      <c r="BE401" s="11">
        <f>IF(tblsales[[#This Row],[SalesStage]]="Won",1,0)</f>
        <v>0</v>
      </c>
      <c r="BF401" s="21" t="str">
        <f>IF(tblsales[[#This Row],[Win Flag]]=1,"Won","Lost")</f>
        <v>Lost</v>
      </c>
      <c r="BG401" s="8"/>
    </row>
    <row r="402" spans="1:59" x14ac:dyDescent="0.3">
      <c r="A402" s="10" t="s">
        <v>1522</v>
      </c>
      <c r="B402" s="9">
        <v>45718</v>
      </c>
      <c r="C402" s="10" t="s">
        <v>260</v>
      </c>
      <c r="D402" s="10" t="s">
        <v>180</v>
      </c>
      <c r="E402" s="10" t="s">
        <v>41</v>
      </c>
      <c r="F402" s="10" t="s">
        <v>363</v>
      </c>
      <c r="G402" s="10" t="s">
        <v>78</v>
      </c>
      <c r="H402" s="10" t="s">
        <v>332</v>
      </c>
      <c r="I402" s="10" t="s">
        <v>183</v>
      </c>
      <c r="J402" s="10" t="s">
        <v>105</v>
      </c>
      <c r="K402" s="10" t="s">
        <v>326</v>
      </c>
      <c r="L402" s="10" t="s">
        <v>1523</v>
      </c>
      <c r="M402" s="9">
        <v>45645</v>
      </c>
      <c r="N402" s="9">
        <v>45873</v>
      </c>
      <c r="O402" s="9">
        <v>45906</v>
      </c>
      <c r="P402" s="11">
        <v>50</v>
      </c>
      <c r="Q402" s="12">
        <v>30419790</v>
      </c>
      <c r="R402">
        <v>8283308.8169999998</v>
      </c>
      <c r="S402" s="22">
        <v>0.22</v>
      </c>
      <c r="T402" s="22">
        <v>0.19</v>
      </c>
      <c r="U402" s="12">
        <v>28235649.079999998</v>
      </c>
      <c r="V402" s="24">
        <v>7688567.244483999</v>
      </c>
      <c r="W402" s="8">
        <v>21296921.859999999</v>
      </c>
      <c r="X402" s="24">
        <v>5799151.8224779991</v>
      </c>
      <c r="Y402" s="22">
        <v>7.0000000000000007E-2</v>
      </c>
      <c r="Z402" s="22">
        <v>0.12</v>
      </c>
      <c r="AA402" s="8" t="s">
        <v>1524</v>
      </c>
      <c r="AB402" s="8">
        <v>2059187.51</v>
      </c>
      <c r="AC402" s="24">
        <v>560716.75897299999</v>
      </c>
      <c r="AD402" s="8">
        <v>867336.99</v>
      </c>
      <c r="AE402" s="24">
        <v>236175.86237699998</v>
      </c>
      <c r="AF402" s="8">
        <v>45</v>
      </c>
      <c r="AG402" s="8">
        <v>59</v>
      </c>
      <c r="AH402" s="8" t="s">
        <v>329</v>
      </c>
      <c r="AI402" s="8" t="s">
        <v>354</v>
      </c>
      <c r="AJ402" s="22">
        <v>0.49</v>
      </c>
      <c r="AK402" s="8" t="s">
        <v>153</v>
      </c>
      <c r="AL402" s="22">
        <v>0.15</v>
      </c>
      <c r="AM402" s="22">
        <v>0.02</v>
      </c>
      <c r="AN402" s="8">
        <v>13</v>
      </c>
      <c r="AO402" s="8">
        <v>3209</v>
      </c>
      <c r="AP402" s="8">
        <v>5933949.5899999999</v>
      </c>
      <c r="AQ402" s="24">
        <v>1615814.4733569999</v>
      </c>
      <c r="AR402" s="8">
        <v>5800444.25</v>
      </c>
      <c r="AS402" s="37">
        <v>1579460.9692749998</v>
      </c>
      <c r="AT402" s="8" t="s">
        <v>332</v>
      </c>
      <c r="AU402" s="8" t="s">
        <v>321</v>
      </c>
      <c r="AV402" s="8">
        <v>65.099999999999994</v>
      </c>
      <c r="AW402" s="8">
        <v>48</v>
      </c>
      <c r="AX402" s="8" t="s">
        <v>323</v>
      </c>
      <c r="AY402" s="8" t="s">
        <v>192</v>
      </c>
      <c r="AZ402" s="8" t="s">
        <v>188</v>
      </c>
      <c r="BA402" s="21">
        <f>IF(OR(tblsales[[#This Row],[Invoice Value USD]]="",tblsales[[#This Row],[Collected Amount USD]]=""),"",tblsales[[#This Row],[Invoice Value USD]]-tblsales[[#This Row],[Collected Amount USD]])</f>
        <v>324540.89659600001</v>
      </c>
      <c r="BB402" s="21">
        <f>IF(OR(tblsales[[#This Row],[Contract Value USD]]="",tblsales[[#This Row],[Cost Estimate USD]]=""),"",tblsales[[#This Row],[Contract Value USD]]-tblsales[[#This Row],[Cost Estimate USD]])</f>
        <v>1889415.4220059998</v>
      </c>
      <c r="BC402" s="21">
        <f>IF(OR(tblsales[[#This Row],[Contract Value USD]]="",tblsales[[#This Row],[Cost Estimate USD]]=""),"",tblsales[[#This Row],[Contract Value USD]]-tblsales[[#This Row],[Cost Estimate USD]])</f>
        <v>1889415.4220059998</v>
      </c>
      <c r="BD402" s="23">
        <f>IF(tblsales[[#This Row],[Invoice Value USD]]="","",tblsales[[#This Row],[Collected Amount USD]]/tblsales[[#This Row],[Invoice Value USD]])</f>
        <v>0.42120350176366406</v>
      </c>
      <c r="BE402" s="11">
        <f>IF(tblsales[[#This Row],[SalesStage]]="Won",1,0)</f>
        <v>0</v>
      </c>
      <c r="BF402" s="21" t="str">
        <f>IF(tblsales[[#This Row],[Win Flag]]=1,"Won","Lost")</f>
        <v>Lost</v>
      </c>
      <c r="BG402" s="8"/>
    </row>
    <row r="403" spans="1:59" x14ac:dyDescent="0.3">
      <c r="A403" s="10" t="s">
        <v>1525</v>
      </c>
      <c r="B403" s="9">
        <v>45735</v>
      </c>
      <c r="C403" s="10" t="s">
        <v>266</v>
      </c>
      <c r="D403" s="10" t="s">
        <v>255</v>
      </c>
      <c r="E403" s="10" t="s">
        <v>52</v>
      </c>
      <c r="F403" s="10" t="s">
        <v>75</v>
      </c>
      <c r="G403" s="10" t="s">
        <v>66</v>
      </c>
      <c r="H403" s="10" t="s">
        <v>332</v>
      </c>
      <c r="I403" s="10" t="s">
        <v>198</v>
      </c>
      <c r="J403" s="10" t="s">
        <v>133</v>
      </c>
      <c r="K403" s="10" t="s">
        <v>326</v>
      </c>
      <c r="L403" s="10" t="s">
        <v>1526</v>
      </c>
      <c r="M403" s="9">
        <v>45676</v>
      </c>
      <c r="N403" s="9" t="s">
        <v>1527</v>
      </c>
      <c r="O403" s="9">
        <v>45793</v>
      </c>
      <c r="P403" s="11">
        <v>40</v>
      </c>
      <c r="Q403" s="12">
        <v>16158174</v>
      </c>
      <c r="R403">
        <v>4399870.7801999999</v>
      </c>
      <c r="S403" s="22">
        <v>0.21</v>
      </c>
      <c r="T403" s="22">
        <v>0.12</v>
      </c>
      <c r="U403" s="12">
        <v>14296752.359999999</v>
      </c>
      <c r="V403" s="24">
        <v>3893005.6676279996</v>
      </c>
      <c r="W403" s="8">
        <v>10240573.140000001</v>
      </c>
      <c r="X403" s="24">
        <v>2788508.0660219998</v>
      </c>
      <c r="Y403" s="22">
        <v>0.13</v>
      </c>
      <c r="Z403" s="22">
        <v>0.09</v>
      </c>
      <c r="AA403" s="8" t="s">
        <v>1528</v>
      </c>
      <c r="AB403" s="8">
        <v>2907183.11</v>
      </c>
      <c r="AC403" s="24">
        <v>791625.96085299994</v>
      </c>
      <c r="AD403" s="8">
        <v>3048249.36</v>
      </c>
      <c r="AE403" s="24">
        <v>830038.30072799989</v>
      </c>
      <c r="AF403" s="8">
        <v>120</v>
      </c>
      <c r="AG403" s="8">
        <v>8</v>
      </c>
      <c r="AH403" s="8" t="s">
        <v>376</v>
      </c>
      <c r="AI403" s="8" t="s">
        <v>336</v>
      </c>
      <c r="AJ403" s="22"/>
      <c r="AK403" s="8" t="s">
        <v>153</v>
      </c>
      <c r="AL403" s="22">
        <v>0.1</v>
      </c>
      <c r="AM403" s="22">
        <v>0.08</v>
      </c>
      <c r="AN403" s="8">
        <v>3</v>
      </c>
      <c r="AO403" s="8">
        <v>3730</v>
      </c>
      <c r="AP403" s="8">
        <v>1083699.46</v>
      </c>
      <c r="AQ403" s="24">
        <v>295091.36295799998</v>
      </c>
      <c r="AR403" s="8">
        <v>3835664.99</v>
      </c>
      <c r="AS403" s="37">
        <v>1044451.576777</v>
      </c>
      <c r="AT403" s="8" t="s">
        <v>355</v>
      </c>
      <c r="AU403" s="8" t="s">
        <v>356</v>
      </c>
      <c r="AV403" s="8">
        <v>96.5</v>
      </c>
      <c r="AW403" s="8">
        <v>60</v>
      </c>
      <c r="AX403" s="8" t="s">
        <v>332</v>
      </c>
      <c r="AY403" s="8" t="s">
        <v>186</v>
      </c>
      <c r="AZ403" s="8" t="s">
        <v>332</v>
      </c>
      <c r="BA403" s="21">
        <f>IF(OR(tblsales[[#This Row],[Invoice Value USD]]="",tblsales[[#This Row],[Collected Amount USD]]=""),"",tblsales[[#This Row],[Invoice Value USD]]-tblsales[[#This Row],[Collected Amount USD]])</f>
        <v>-38412.339874999947</v>
      </c>
      <c r="BB403" s="21">
        <f>IF(OR(tblsales[[#This Row],[Contract Value USD]]="",tblsales[[#This Row],[Cost Estimate USD]]=""),"",tblsales[[#This Row],[Contract Value USD]]-tblsales[[#This Row],[Cost Estimate USD]])</f>
        <v>1104497.6016059997</v>
      </c>
      <c r="BC403" s="21">
        <f>IF(OR(tblsales[[#This Row],[Contract Value USD]]="",tblsales[[#This Row],[Cost Estimate USD]]=""),"",tblsales[[#This Row],[Contract Value USD]]-tblsales[[#This Row],[Cost Estimate USD]])</f>
        <v>1104497.6016059997</v>
      </c>
      <c r="BD403" s="23">
        <f>IF(tblsales[[#This Row],[Invoice Value USD]]="","",tblsales[[#This Row],[Collected Amount USD]]/tblsales[[#This Row],[Invoice Value USD]])</f>
        <v>1.0485233453354783</v>
      </c>
      <c r="BE403" s="11">
        <f>IF(tblsales[[#This Row],[SalesStage]]="Won",1,0)</f>
        <v>0</v>
      </c>
      <c r="BF403" s="21" t="str">
        <f>IF(tblsales[[#This Row],[Win Flag]]=1,"Won","Lost")</f>
        <v>Lost</v>
      </c>
      <c r="BG403" s="8"/>
    </row>
    <row r="404" spans="1:59" x14ac:dyDescent="0.3">
      <c r="A404" s="10" t="s">
        <v>1529</v>
      </c>
      <c r="B404" s="9">
        <v>45839</v>
      </c>
      <c r="C404" s="10" t="s">
        <v>219</v>
      </c>
      <c r="D404" s="10" t="s">
        <v>332</v>
      </c>
      <c r="E404" s="10" t="s">
        <v>41</v>
      </c>
      <c r="F404" s="10" t="s">
        <v>350</v>
      </c>
      <c r="G404" s="10" t="s">
        <v>66</v>
      </c>
      <c r="H404" s="10" t="s">
        <v>212</v>
      </c>
      <c r="I404" s="10" t="s">
        <v>240</v>
      </c>
      <c r="J404" s="10" t="s">
        <v>105</v>
      </c>
      <c r="K404" s="10" t="s">
        <v>199</v>
      </c>
      <c r="L404" s="10" t="s">
        <v>1530</v>
      </c>
      <c r="M404" s="9">
        <v>45794</v>
      </c>
      <c r="N404" s="9"/>
      <c r="O404" s="9">
        <v>45934</v>
      </c>
      <c r="P404" s="11">
        <v>7</v>
      </c>
      <c r="Q404" s="12">
        <v>46539811</v>
      </c>
      <c r="R404">
        <v>12672790.5353</v>
      </c>
      <c r="S404" s="22">
        <v>0.16</v>
      </c>
      <c r="T404" s="22">
        <v>0.15</v>
      </c>
      <c r="U404" s="12">
        <v>44957457.43</v>
      </c>
      <c r="V404" s="24">
        <v>12241915.658188999</v>
      </c>
      <c r="W404" s="8">
        <v>31136214.73</v>
      </c>
      <c r="X404" s="24">
        <v>8478391.2709790003</v>
      </c>
      <c r="Y404" s="22">
        <v>7.0000000000000007E-2</v>
      </c>
      <c r="Z404" s="22">
        <v>0.19</v>
      </c>
      <c r="AA404" s="8" t="s">
        <v>1531</v>
      </c>
      <c r="AB404" s="8">
        <v>19148294.149999999</v>
      </c>
      <c r="AC404" s="24">
        <v>5214080.4970449992</v>
      </c>
      <c r="AD404" s="8">
        <v>17076220.09</v>
      </c>
      <c r="AE404" s="24">
        <v>4649854.7305069994</v>
      </c>
      <c r="AF404" s="8">
        <v>45</v>
      </c>
      <c r="AG404" s="8">
        <v>169</v>
      </c>
      <c r="AH404" s="8" t="s">
        <v>376</v>
      </c>
      <c r="AI404" s="8" t="s">
        <v>226</v>
      </c>
      <c r="AJ404" s="22">
        <v>0.89</v>
      </c>
      <c r="AK404" s="8" t="s">
        <v>153</v>
      </c>
      <c r="AL404" s="22">
        <v>0.05</v>
      </c>
      <c r="AM404" s="22">
        <v>0.02</v>
      </c>
      <c r="AN404" s="8">
        <v>10</v>
      </c>
      <c r="AO404" s="8"/>
      <c r="AP404" s="8">
        <v>11140927.300000001</v>
      </c>
      <c r="AQ404" s="24">
        <v>3033674.50379</v>
      </c>
      <c r="AR404" s="8">
        <v>15785196.51</v>
      </c>
      <c r="AS404" s="37">
        <v>4298309.0096729994</v>
      </c>
      <c r="AT404" s="8" t="s">
        <v>332</v>
      </c>
      <c r="AU404" s="8" t="s">
        <v>321</v>
      </c>
      <c r="AV404" s="8">
        <v>96.8</v>
      </c>
      <c r="AW404" s="8">
        <v>60</v>
      </c>
      <c r="AX404" s="8" t="s">
        <v>332</v>
      </c>
      <c r="AY404" s="8" t="s">
        <v>229</v>
      </c>
      <c r="AZ404" s="8" t="s">
        <v>188</v>
      </c>
      <c r="BA404" s="21">
        <f>IF(OR(tblsales[[#This Row],[Invoice Value USD]]="",tblsales[[#This Row],[Collected Amount USD]]=""),"",tblsales[[#This Row],[Invoice Value USD]]-tblsales[[#This Row],[Collected Amount USD]])</f>
        <v>564225.76653799973</v>
      </c>
      <c r="BB404" s="21">
        <f>IF(OR(tblsales[[#This Row],[Contract Value USD]]="",tblsales[[#This Row],[Cost Estimate USD]]=""),"",tblsales[[#This Row],[Contract Value USD]]-tblsales[[#This Row],[Cost Estimate USD]])</f>
        <v>3763524.3872099984</v>
      </c>
      <c r="BC404" s="21">
        <f>IF(OR(tblsales[[#This Row],[Contract Value USD]]="",tblsales[[#This Row],[Cost Estimate USD]]=""),"",tblsales[[#This Row],[Contract Value USD]]-tblsales[[#This Row],[Cost Estimate USD]])</f>
        <v>3763524.3872099984</v>
      </c>
      <c r="BD404" s="23">
        <f>IF(tblsales[[#This Row],[Invoice Value USD]]="","",tblsales[[#This Row],[Collected Amount USD]]/tblsales[[#This Row],[Invoice Value USD]])</f>
        <v>0.89178805987790832</v>
      </c>
      <c r="BE404" s="11">
        <f>IF(tblsales[[#This Row],[SalesStage]]="Won",1,0)</f>
        <v>0</v>
      </c>
      <c r="BF404" s="21" t="str">
        <f>IF(tblsales[[#This Row],[Win Flag]]=1,"Won","Lost")</f>
        <v>Lost</v>
      </c>
      <c r="BG404" s="8"/>
    </row>
    <row r="405" spans="1:59" x14ac:dyDescent="0.3">
      <c r="A405" s="10" t="s">
        <v>1532</v>
      </c>
      <c r="B405" s="9">
        <v>45974</v>
      </c>
      <c r="C405" s="10" t="s">
        <v>243</v>
      </c>
      <c r="D405" s="10" t="s">
        <v>248</v>
      </c>
      <c r="E405" s="10" t="s">
        <v>20</v>
      </c>
      <c r="F405" s="10" t="s">
        <v>196</v>
      </c>
      <c r="G405" s="10" t="s">
        <v>62</v>
      </c>
      <c r="H405" s="10" t="s">
        <v>332</v>
      </c>
      <c r="I405" s="10" t="s">
        <v>240</v>
      </c>
      <c r="J405" s="10" t="s">
        <v>136</v>
      </c>
      <c r="K405" s="10" t="s">
        <v>221</v>
      </c>
      <c r="L405" s="10" t="s">
        <v>1533</v>
      </c>
      <c r="M405" s="9">
        <v>45901</v>
      </c>
      <c r="N405" s="9">
        <v>45789</v>
      </c>
      <c r="O405" s="9">
        <v>46094</v>
      </c>
      <c r="P405" s="11">
        <v>48</v>
      </c>
      <c r="Q405" s="12">
        <v>30157979</v>
      </c>
      <c r="R405">
        <v>8212017.6816999996</v>
      </c>
      <c r="S405" s="22">
        <v>0.19</v>
      </c>
      <c r="T405" s="22">
        <v>0.17</v>
      </c>
      <c r="U405" s="12">
        <v>28580716.699999999</v>
      </c>
      <c r="V405" s="24">
        <v>7782529.1574099995</v>
      </c>
      <c r="W405" s="8">
        <v>22829245.18</v>
      </c>
      <c r="X405" s="24">
        <v>6216403.462514</v>
      </c>
      <c r="Y405" s="22">
        <v>0.23</v>
      </c>
      <c r="Z405" s="22">
        <v>0.19</v>
      </c>
      <c r="AA405" s="8" t="s">
        <v>1534</v>
      </c>
      <c r="AB405" s="8">
        <v>4881731.8499999996</v>
      </c>
      <c r="AC405" s="24">
        <v>1329295.5827549999</v>
      </c>
      <c r="AD405" s="8">
        <v>3959317.14</v>
      </c>
      <c r="AE405" s="24">
        <v>1078122.0572220001</v>
      </c>
      <c r="AF405" s="8">
        <v>60</v>
      </c>
      <c r="AG405" s="8">
        <v>161</v>
      </c>
      <c r="AH405" s="8" t="s">
        <v>329</v>
      </c>
      <c r="AI405" s="8" t="s">
        <v>320</v>
      </c>
      <c r="AJ405" s="22">
        <v>0.3</v>
      </c>
      <c r="AK405" s="8" t="s">
        <v>153</v>
      </c>
      <c r="AL405" s="22">
        <v>0.1</v>
      </c>
      <c r="AM405" s="22">
        <v>0.06</v>
      </c>
      <c r="AN405" s="8">
        <v>8</v>
      </c>
      <c r="AO405" s="8">
        <v>4591</v>
      </c>
      <c r="AP405" s="8">
        <v>5207428.8</v>
      </c>
      <c r="AQ405" s="24">
        <v>1417982.8622399999</v>
      </c>
      <c r="AR405" s="8">
        <v>4729278.82</v>
      </c>
      <c r="AS405" s="37">
        <v>1287782.6226860001</v>
      </c>
      <c r="AT405" s="8" t="s">
        <v>332</v>
      </c>
      <c r="AU405" s="8" t="s">
        <v>332</v>
      </c>
      <c r="AV405" s="8">
        <v>85.5</v>
      </c>
      <c r="AW405" s="8">
        <v>24</v>
      </c>
      <c r="AX405" s="8" t="s">
        <v>332</v>
      </c>
      <c r="AY405" s="8" t="s">
        <v>186</v>
      </c>
      <c r="AZ405" s="8" t="s">
        <v>361</v>
      </c>
      <c r="BA405" s="21">
        <f>IF(OR(tblsales[[#This Row],[Invoice Value USD]]="",tblsales[[#This Row],[Collected Amount USD]]=""),"",tblsales[[#This Row],[Invoice Value USD]]-tblsales[[#This Row],[Collected Amount USD]])</f>
        <v>251173.52553299977</v>
      </c>
      <c r="BB405" s="21">
        <f>IF(OR(tblsales[[#This Row],[Contract Value USD]]="",tblsales[[#This Row],[Cost Estimate USD]]=""),"",tblsales[[#This Row],[Contract Value USD]]-tblsales[[#This Row],[Cost Estimate USD]])</f>
        <v>1566125.6948959995</v>
      </c>
      <c r="BC405" s="21">
        <f>IF(OR(tblsales[[#This Row],[Contract Value USD]]="",tblsales[[#This Row],[Cost Estimate USD]]=""),"",tblsales[[#This Row],[Contract Value USD]]-tblsales[[#This Row],[Cost Estimate USD]])</f>
        <v>1566125.6948959995</v>
      </c>
      <c r="BD405" s="23">
        <f>IF(tblsales[[#This Row],[Invoice Value USD]]="","",tblsales[[#This Row],[Collected Amount USD]]/tblsales[[#This Row],[Invoice Value USD]])</f>
        <v>0.81104764900185999</v>
      </c>
      <c r="BE405" s="11">
        <f>IF(tblsales[[#This Row],[SalesStage]]="Won",1,0)</f>
        <v>1</v>
      </c>
      <c r="BF405" s="21" t="str">
        <f>IF(tblsales[[#This Row],[Win Flag]]=1,"Won","Lost")</f>
        <v>Won</v>
      </c>
      <c r="BG405" s="8"/>
    </row>
    <row r="406" spans="1:59" x14ac:dyDescent="0.3">
      <c r="A406" s="10" t="s">
        <v>1535</v>
      </c>
      <c r="B406" s="9">
        <v>45978</v>
      </c>
      <c r="C406" s="10" t="s">
        <v>239</v>
      </c>
      <c r="D406" s="10" t="s">
        <v>202</v>
      </c>
      <c r="E406" s="10" t="s">
        <v>20</v>
      </c>
      <c r="F406" s="10" t="s">
        <v>332</v>
      </c>
      <c r="G406" s="10" t="s">
        <v>23</v>
      </c>
      <c r="H406" s="10" t="s">
        <v>197</v>
      </c>
      <c r="I406" s="10" t="s">
        <v>183</v>
      </c>
      <c r="J406" s="10" t="s">
        <v>99</v>
      </c>
      <c r="K406" s="10" t="s">
        <v>223</v>
      </c>
      <c r="L406" s="10" t="s">
        <v>1536</v>
      </c>
      <c r="M406" s="9">
        <v>45819</v>
      </c>
      <c r="N406" s="9">
        <v>45982</v>
      </c>
      <c r="O406" s="9">
        <v>46078</v>
      </c>
      <c r="P406" s="11">
        <v>21</v>
      </c>
      <c r="Q406" s="12">
        <v>49784468</v>
      </c>
      <c r="R406">
        <v>49784468</v>
      </c>
      <c r="S406" s="22">
        <v>0.1</v>
      </c>
      <c r="T406" s="22">
        <v>0.01</v>
      </c>
      <c r="U406" s="12">
        <v>45254081.409999996</v>
      </c>
      <c r="V406" s="24">
        <v>45254081.409999996</v>
      </c>
      <c r="W406" s="8">
        <v>28494891.329999998</v>
      </c>
      <c r="X406" s="24">
        <v>28494891.329999998</v>
      </c>
      <c r="Y406" s="22">
        <v>0.15</v>
      </c>
      <c r="Z406" s="22">
        <v>0.09</v>
      </c>
      <c r="AA406" s="8" t="s">
        <v>1537</v>
      </c>
      <c r="AB406" s="8">
        <v>18913100.420000002</v>
      </c>
      <c r="AC406" s="24">
        <v>18913100.420000002</v>
      </c>
      <c r="AD406" s="8">
        <v>11560612.699999999</v>
      </c>
      <c r="AE406" s="24">
        <v>11560612.699999999</v>
      </c>
      <c r="AF406" s="8">
        <v>90</v>
      </c>
      <c r="AG406" s="8">
        <v>54</v>
      </c>
      <c r="AH406" s="8" t="s">
        <v>376</v>
      </c>
      <c r="AI406" s="8" t="s">
        <v>226</v>
      </c>
      <c r="AJ406" s="22">
        <v>0.33</v>
      </c>
      <c r="AK406" s="8" t="s">
        <v>152</v>
      </c>
      <c r="AL406" s="22">
        <v>0.1</v>
      </c>
      <c r="AM406" s="22">
        <v>0.09</v>
      </c>
      <c r="AN406" s="8">
        <v>8</v>
      </c>
      <c r="AO406" s="8">
        <v>1676</v>
      </c>
      <c r="AP406" s="8">
        <v>9344881.9399999995</v>
      </c>
      <c r="AQ406" s="24">
        <v>9344881.9399999995</v>
      </c>
      <c r="AR406" s="8">
        <v>17847196.199999999</v>
      </c>
      <c r="AS406" s="37">
        <v>17847196.199999999</v>
      </c>
      <c r="AT406" s="8" t="s">
        <v>355</v>
      </c>
      <c r="AU406" s="8" t="s">
        <v>330</v>
      </c>
      <c r="AV406" s="8">
        <v>94.5</v>
      </c>
      <c r="AW406" s="8">
        <v>24</v>
      </c>
      <c r="AX406" s="8" t="s">
        <v>332</v>
      </c>
      <c r="AY406" s="8" t="s">
        <v>192</v>
      </c>
      <c r="AZ406" s="8" t="s">
        <v>357</v>
      </c>
      <c r="BA406" s="21">
        <f>IF(OR(tblsales[[#This Row],[Invoice Value USD]]="",tblsales[[#This Row],[Collected Amount USD]]=""),"",tblsales[[#This Row],[Invoice Value USD]]-tblsales[[#This Row],[Collected Amount USD]])</f>
        <v>7352487.7200000025</v>
      </c>
      <c r="BB406" s="21">
        <f>IF(OR(tblsales[[#This Row],[Contract Value USD]]="",tblsales[[#This Row],[Cost Estimate USD]]=""),"",tblsales[[#This Row],[Contract Value USD]]-tblsales[[#This Row],[Cost Estimate USD]])</f>
        <v>16759190.079999998</v>
      </c>
      <c r="BC406" s="21">
        <f>IF(OR(tblsales[[#This Row],[Contract Value USD]]="",tblsales[[#This Row],[Cost Estimate USD]]=""),"",tblsales[[#This Row],[Contract Value USD]]-tblsales[[#This Row],[Cost Estimate USD]])</f>
        <v>16759190.079999998</v>
      </c>
      <c r="BD406" s="23">
        <f>IF(tblsales[[#This Row],[Invoice Value USD]]="","",tblsales[[#This Row],[Collected Amount USD]]/tblsales[[#This Row],[Invoice Value USD]])</f>
        <v>0.61124894614185088</v>
      </c>
      <c r="BE406" s="11">
        <f>IF(tblsales[[#This Row],[SalesStage]]="Won",1,0)</f>
        <v>0</v>
      </c>
      <c r="BF406" s="21" t="str">
        <f>IF(tblsales[[#This Row],[Win Flag]]=1,"Won","Lost")</f>
        <v>Lost</v>
      </c>
      <c r="BG406" s="8"/>
    </row>
    <row r="407" spans="1:59" x14ac:dyDescent="0.3">
      <c r="A407" s="10" t="s">
        <v>1538</v>
      </c>
      <c r="B407" s="9">
        <v>46073</v>
      </c>
      <c r="C407" s="10" t="s">
        <v>256</v>
      </c>
      <c r="D407" s="10" t="s">
        <v>248</v>
      </c>
      <c r="E407" s="10" t="s">
        <v>36</v>
      </c>
      <c r="F407" s="10" t="s">
        <v>339</v>
      </c>
      <c r="G407" s="10" t="s">
        <v>33</v>
      </c>
      <c r="H407" s="10" t="s">
        <v>182</v>
      </c>
      <c r="I407" s="10" t="s">
        <v>233</v>
      </c>
      <c r="J407" s="10" t="s">
        <v>115</v>
      </c>
      <c r="K407" s="10" t="s">
        <v>221</v>
      </c>
      <c r="L407" s="10" t="s">
        <v>1539</v>
      </c>
      <c r="M407" s="9">
        <v>46174</v>
      </c>
      <c r="N407" s="9">
        <v>46131</v>
      </c>
      <c r="O407" s="9"/>
      <c r="P407" s="11">
        <v>11</v>
      </c>
      <c r="Q407" s="12">
        <v>10371197</v>
      </c>
      <c r="R407">
        <v>12040959.717</v>
      </c>
      <c r="S407" s="22">
        <v>0.15</v>
      </c>
      <c r="T407" s="22">
        <v>0.16</v>
      </c>
      <c r="U407" s="12">
        <v>10226000.24</v>
      </c>
      <c r="V407" s="24">
        <v>11872386.27864</v>
      </c>
      <c r="W407" s="8">
        <v>8279834.0199999996</v>
      </c>
      <c r="X407" s="24">
        <v>9612887.2972199991</v>
      </c>
      <c r="Y407" s="22">
        <v>0.26</v>
      </c>
      <c r="Z407" s="22">
        <v>0.13</v>
      </c>
      <c r="AA407" s="8" t="s">
        <v>1540</v>
      </c>
      <c r="AB407" s="8">
        <v>3535115.46</v>
      </c>
      <c r="AC407" s="24">
        <v>4104269.0490600001</v>
      </c>
      <c r="AD407" s="8">
        <v>3698645.81</v>
      </c>
      <c r="AE407" s="24">
        <v>4294127.78541</v>
      </c>
      <c r="AF407" s="8">
        <v>30</v>
      </c>
      <c r="AG407" s="8">
        <v>148</v>
      </c>
      <c r="AH407" s="8" t="s">
        <v>376</v>
      </c>
      <c r="AI407" s="8" t="s">
        <v>226</v>
      </c>
      <c r="AJ407" s="22">
        <v>0.73</v>
      </c>
      <c r="AK407" s="8" t="s">
        <v>159</v>
      </c>
      <c r="AL407" s="22">
        <v>0.15</v>
      </c>
      <c r="AM407" s="22">
        <v>0.04</v>
      </c>
      <c r="AN407" s="8">
        <v>5</v>
      </c>
      <c r="AO407" s="8">
        <v>3458</v>
      </c>
      <c r="AP407" s="8">
        <v>1656154.98</v>
      </c>
      <c r="AQ407" s="24">
        <v>1922795.93178</v>
      </c>
      <c r="AR407" s="8"/>
      <c r="AS407" s="37"/>
      <c r="AT407" s="8" t="s">
        <v>73</v>
      </c>
      <c r="AU407" s="8" t="s">
        <v>321</v>
      </c>
      <c r="AV407" s="8">
        <v>60.4</v>
      </c>
      <c r="AW407" s="8">
        <v>48</v>
      </c>
      <c r="AX407" s="8" t="s">
        <v>332</v>
      </c>
      <c r="AY407" s="8" t="s">
        <v>229</v>
      </c>
      <c r="AZ407" s="8" t="s">
        <v>361</v>
      </c>
      <c r="BA407" s="21">
        <f>IF(OR(tblsales[[#This Row],[Invoice Value USD]]="",tblsales[[#This Row],[Collected Amount USD]]=""),"",tblsales[[#This Row],[Invoice Value USD]]-tblsales[[#This Row],[Collected Amount USD]])</f>
        <v>-189858.7363499999</v>
      </c>
      <c r="BB407" s="21">
        <f>IF(OR(tblsales[[#This Row],[Contract Value USD]]="",tblsales[[#This Row],[Cost Estimate USD]]=""),"",tblsales[[#This Row],[Contract Value USD]]-tblsales[[#This Row],[Cost Estimate USD]])</f>
        <v>2259498.981420001</v>
      </c>
      <c r="BC407" s="21">
        <f>IF(OR(tblsales[[#This Row],[Contract Value USD]]="",tblsales[[#This Row],[Cost Estimate USD]]=""),"",tblsales[[#This Row],[Contract Value USD]]-tblsales[[#This Row],[Cost Estimate USD]])</f>
        <v>2259498.981420001</v>
      </c>
      <c r="BD407" s="23">
        <f>IF(tblsales[[#This Row],[Invoice Value USD]]="","",tblsales[[#This Row],[Collected Amount USD]]/tblsales[[#This Row],[Invoice Value USD]])</f>
        <v>1.0462588427026935</v>
      </c>
      <c r="BE407" s="11">
        <f>IF(tblsales[[#This Row],[SalesStage]]="Won",1,0)</f>
        <v>0</v>
      </c>
      <c r="BF407" s="21" t="str">
        <f>IF(tblsales[[#This Row],[Win Flag]]=1,"Won","Lost")</f>
        <v>Lost</v>
      </c>
      <c r="BG407" s="8"/>
    </row>
    <row r="408" spans="1:59" x14ac:dyDescent="0.3">
      <c r="A408" s="10" t="s">
        <v>1541</v>
      </c>
      <c r="B408" s="9">
        <v>45719</v>
      </c>
      <c r="C408" s="10" t="s">
        <v>252</v>
      </c>
      <c r="D408" s="10" t="s">
        <v>281</v>
      </c>
      <c r="E408" s="10" t="s">
        <v>20</v>
      </c>
      <c r="F408" s="10" t="s">
        <v>31</v>
      </c>
      <c r="G408" s="10" t="s">
        <v>73</v>
      </c>
      <c r="H408" s="10" t="s">
        <v>182</v>
      </c>
      <c r="I408" s="10" t="s">
        <v>332</v>
      </c>
      <c r="J408" s="10" t="s">
        <v>136</v>
      </c>
      <c r="K408" s="10" t="s">
        <v>326</v>
      </c>
      <c r="L408" s="10" t="s">
        <v>1542</v>
      </c>
      <c r="M408" s="9">
        <v>45631</v>
      </c>
      <c r="N408" s="9">
        <v>45767</v>
      </c>
      <c r="O408" s="9">
        <v>45722</v>
      </c>
      <c r="P408" s="11">
        <v>59</v>
      </c>
      <c r="Q408" s="12">
        <v>18611170</v>
      </c>
      <c r="R408">
        <v>5067821.591</v>
      </c>
      <c r="S408" s="22">
        <v>0.11</v>
      </c>
      <c r="T408" s="22">
        <v>0.1</v>
      </c>
      <c r="U408" s="12">
        <v>18220335.43</v>
      </c>
      <c r="V408" s="24">
        <v>4961397.3375889994</v>
      </c>
      <c r="W408" s="8">
        <v>11438807.949999999</v>
      </c>
      <c r="X408" s="24">
        <v>3114787.4047849998</v>
      </c>
      <c r="Y408" s="22">
        <v>0.06</v>
      </c>
      <c r="Z408" s="22">
        <v>0.19</v>
      </c>
      <c r="AA408" s="8" t="s">
        <v>1543</v>
      </c>
      <c r="AB408" s="8">
        <v>4183305.92</v>
      </c>
      <c r="AC408" s="24">
        <v>1139114.2020159999</v>
      </c>
      <c r="AD408" s="8">
        <v>3854879.81</v>
      </c>
      <c r="AE408" s="24">
        <v>1049683.772263</v>
      </c>
      <c r="AF408" s="8">
        <v>60</v>
      </c>
      <c r="AG408" s="8">
        <v>17</v>
      </c>
      <c r="AH408" s="8" t="s">
        <v>353</v>
      </c>
      <c r="AI408" s="8" t="s">
        <v>336</v>
      </c>
      <c r="AJ408" s="22">
        <v>0.48</v>
      </c>
      <c r="AK408" s="8" t="s">
        <v>153</v>
      </c>
      <c r="AL408" s="22">
        <v>0.1</v>
      </c>
      <c r="AM408" s="22">
        <v>0.09</v>
      </c>
      <c r="AN408" s="8">
        <v>13</v>
      </c>
      <c r="AO408" s="8">
        <v>2822</v>
      </c>
      <c r="AP408" s="8"/>
      <c r="AQ408" s="24"/>
      <c r="AR408" s="8">
        <v>3340051.82</v>
      </c>
      <c r="AS408" s="37">
        <v>909496.11058599991</v>
      </c>
      <c r="AT408" s="8" t="s">
        <v>385</v>
      </c>
      <c r="AU408" s="8" t="s">
        <v>332</v>
      </c>
      <c r="AV408" s="8">
        <v>77.400000000000006</v>
      </c>
      <c r="AW408" s="8">
        <v>36</v>
      </c>
      <c r="AX408" s="8" t="s">
        <v>332</v>
      </c>
      <c r="AY408" s="8" t="s">
        <v>224</v>
      </c>
      <c r="AZ408" s="8" t="s">
        <v>377</v>
      </c>
      <c r="BA408" s="21">
        <f>IF(OR(tblsales[[#This Row],[Invoice Value USD]]="",tblsales[[#This Row],[Collected Amount USD]]=""),"",tblsales[[#This Row],[Invoice Value USD]]-tblsales[[#This Row],[Collected Amount USD]])</f>
        <v>89430.429752999917</v>
      </c>
      <c r="BB408" s="21">
        <f>IF(OR(tblsales[[#This Row],[Contract Value USD]]="",tblsales[[#This Row],[Cost Estimate USD]]=""),"",tblsales[[#This Row],[Contract Value USD]]-tblsales[[#This Row],[Cost Estimate USD]])</f>
        <v>1846609.9328039996</v>
      </c>
      <c r="BC408" s="21">
        <f>IF(OR(tblsales[[#This Row],[Contract Value USD]]="",tblsales[[#This Row],[Cost Estimate USD]]=""),"",tblsales[[#This Row],[Contract Value USD]]-tblsales[[#This Row],[Cost Estimate USD]])</f>
        <v>1846609.9328039996</v>
      </c>
      <c r="BD408" s="23">
        <f>IF(tblsales[[#This Row],[Invoice Value USD]]="","",tblsales[[#This Row],[Collected Amount USD]]/tblsales[[#This Row],[Invoice Value USD]])</f>
        <v>0.9214912520669778</v>
      </c>
      <c r="BE408" s="11">
        <f>IF(tblsales[[#This Row],[SalesStage]]="Won",1,0)</f>
        <v>0</v>
      </c>
      <c r="BF408" s="21" t="str">
        <f>IF(tblsales[[#This Row],[Win Flag]]=1,"Won","Lost")</f>
        <v>Lost</v>
      </c>
      <c r="BG408" s="8"/>
    </row>
    <row r="409" spans="1:59" x14ac:dyDescent="0.3">
      <c r="A409" s="10" t="s">
        <v>1544</v>
      </c>
      <c r="B409" s="9">
        <v>45931</v>
      </c>
      <c r="C409" s="10" t="s">
        <v>260</v>
      </c>
      <c r="D409" s="10" t="s">
        <v>394</v>
      </c>
      <c r="E409" s="10" t="s">
        <v>41</v>
      </c>
      <c r="F409" s="10" t="s">
        <v>228</v>
      </c>
      <c r="G409" s="10" t="s">
        <v>38</v>
      </c>
      <c r="H409" s="10" t="s">
        <v>263</v>
      </c>
      <c r="I409" s="10" t="s">
        <v>332</v>
      </c>
      <c r="J409" s="10" t="s">
        <v>130</v>
      </c>
      <c r="K409" s="10" t="s">
        <v>184</v>
      </c>
      <c r="L409" s="10" t="s">
        <v>1545</v>
      </c>
      <c r="M409" s="9">
        <v>45884</v>
      </c>
      <c r="N409" s="9">
        <v>45949</v>
      </c>
      <c r="O409" s="9">
        <v>46044</v>
      </c>
      <c r="P409" s="11">
        <v>35</v>
      </c>
      <c r="Q409" s="12">
        <v>36166571</v>
      </c>
      <c r="R409">
        <v>9645624.4857000001</v>
      </c>
      <c r="S409" s="22">
        <v>0.09</v>
      </c>
      <c r="T409" s="22">
        <v>-0.05</v>
      </c>
      <c r="U409" s="12">
        <v>31266000.629999999</v>
      </c>
      <c r="V409" s="24">
        <v>8338642.3680209992</v>
      </c>
      <c r="W409" s="8">
        <v>25310125.16</v>
      </c>
      <c r="X409" s="24">
        <v>6750210.3801720003</v>
      </c>
      <c r="Y409" s="22">
        <v>0.23</v>
      </c>
      <c r="Z409" s="22">
        <v>0.06</v>
      </c>
      <c r="AA409" s="8" t="s">
        <v>1546</v>
      </c>
      <c r="AB409" s="8">
        <v>14022760.26</v>
      </c>
      <c r="AC409" s="24">
        <v>3739870.1613419997</v>
      </c>
      <c r="AD409" s="8">
        <v>6912663.6600000001</v>
      </c>
      <c r="AE409" s="24">
        <v>1843607.398122</v>
      </c>
      <c r="AF409" s="8">
        <v>45</v>
      </c>
      <c r="AG409" s="8">
        <v>17</v>
      </c>
      <c r="AH409" s="8" t="s">
        <v>332</v>
      </c>
      <c r="AI409" s="8" t="s">
        <v>455</v>
      </c>
      <c r="AJ409" s="22">
        <v>0.28999999999999998</v>
      </c>
      <c r="AK409" s="8" t="s">
        <v>162</v>
      </c>
      <c r="AL409" s="22">
        <v>0.1</v>
      </c>
      <c r="AM409" s="22">
        <v>0.03</v>
      </c>
      <c r="AN409" s="8">
        <v>2</v>
      </c>
      <c r="AO409" s="8">
        <v>700</v>
      </c>
      <c r="AP409" s="8">
        <v>7372939.0300000003</v>
      </c>
      <c r="AQ409" s="24">
        <v>1966362.8393010001</v>
      </c>
      <c r="AR409" s="8">
        <v>8543549.1899999995</v>
      </c>
      <c r="AS409" s="37">
        <v>2278564.5689729997</v>
      </c>
      <c r="AT409" s="8" t="s">
        <v>355</v>
      </c>
      <c r="AU409" s="8" t="s">
        <v>356</v>
      </c>
      <c r="AV409" s="8">
        <v>74</v>
      </c>
      <c r="AW409" s="8">
        <v>24</v>
      </c>
      <c r="AX409" s="8" t="s">
        <v>387</v>
      </c>
      <c r="AY409" s="8" t="s">
        <v>206</v>
      </c>
      <c r="AZ409" s="8" t="s">
        <v>332</v>
      </c>
      <c r="BA409" s="21">
        <f>IF(OR(tblsales[[#This Row],[Invoice Value USD]]="",tblsales[[#This Row],[Collected Amount USD]]=""),"",tblsales[[#This Row],[Invoice Value USD]]-tblsales[[#This Row],[Collected Amount USD]])</f>
        <v>1896262.7632199996</v>
      </c>
      <c r="BB409" s="21">
        <f>IF(OR(tblsales[[#This Row],[Contract Value USD]]="",tblsales[[#This Row],[Cost Estimate USD]]=""),"",tblsales[[#This Row],[Contract Value USD]]-tblsales[[#This Row],[Cost Estimate USD]])</f>
        <v>1588431.987848999</v>
      </c>
      <c r="BC409" s="21">
        <f>IF(OR(tblsales[[#This Row],[Contract Value USD]]="",tblsales[[#This Row],[Cost Estimate USD]]=""),"",tblsales[[#This Row],[Contract Value USD]]-tblsales[[#This Row],[Cost Estimate USD]])</f>
        <v>1588431.987848999</v>
      </c>
      <c r="BD409" s="23">
        <f>IF(tblsales[[#This Row],[Invoice Value USD]]="","",tblsales[[#This Row],[Collected Amount USD]]/tblsales[[#This Row],[Invoice Value USD]])</f>
        <v>0.49296026829456763</v>
      </c>
      <c r="BE409" s="11">
        <f>IF(tblsales[[#This Row],[SalesStage]]="Won",1,0)</f>
        <v>0</v>
      </c>
      <c r="BF409" s="21" t="str">
        <f>IF(tblsales[[#This Row],[Win Flag]]=1,"Won","Lost")</f>
        <v>Lost</v>
      </c>
      <c r="BG409" s="8"/>
    </row>
    <row r="410" spans="1:59" x14ac:dyDescent="0.3">
      <c r="A410" s="10" t="s">
        <v>1547</v>
      </c>
      <c r="B410" s="9">
        <v>45891</v>
      </c>
      <c r="C410" s="10" t="s">
        <v>251</v>
      </c>
      <c r="D410" s="10" t="s">
        <v>238</v>
      </c>
      <c r="E410" s="10" t="s">
        <v>52</v>
      </c>
      <c r="F410" s="10" t="s">
        <v>75</v>
      </c>
      <c r="G410" s="10" t="s">
        <v>78</v>
      </c>
      <c r="H410" s="10" t="s">
        <v>182</v>
      </c>
      <c r="I410" s="10" t="s">
        <v>191</v>
      </c>
      <c r="J410" s="10" t="s">
        <v>133</v>
      </c>
      <c r="K410" s="10" t="s">
        <v>204</v>
      </c>
      <c r="L410" s="10" t="s">
        <v>1548</v>
      </c>
      <c r="M410" s="9">
        <v>45857</v>
      </c>
      <c r="N410" s="9"/>
      <c r="O410" s="9">
        <v>45963</v>
      </c>
      <c r="P410" s="11">
        <v>4</v>
      </c>
      <c r="Q410" s="12">
        <v>6730887</v>
      </c>
      <c r="R410">
        <v>6730887</v>
      </c>
      <c r="S410" s="22"/>
      <c r="T410" s="22">
        <v>0.12</v>
      </c>
      <c r="U410" s="12">
        <v>7312435.6399999997</v>
      </c>
      <c r="V410" s="24">
        <v>7312435.6399999997</v>
      </c>
      <c r="W410" s="8">
        <v>6395849.1299999999</v>
      </c>
      <c r="X410" s="24">
        <v>6395849.1299999999</v>
      </c>
      <c r="Y410" s="22">
        <v>0.15</v>
      </c>
      <c r="Z410" s="22">
        <v>0.06</v>
      </c>
      <c r="AA410" s="8" t="s">
        <v>1549</v>
      </c>
      <c r="AB410" s="8">
        <v>4286787.6900000004</v>
      </c>
      <c r="AC410" s="24">
        <v>4286787.6900000004</v>
      </c>
      <c r="AD410" s="8">
        <v>2383740.3199999998</v>
      </c>
      <c r="AE410" s="24">
        <v>2383740.3199999998</v>
      </c>
      <c r="AF410" s="8">
        <v>60</v>
      </c>
      <c r="AG410" s="8">
        <v>33</v>
      </c>
      <c r="AH410" s="8" t="s">
        <v>342</v>
      </c>
      <c r="AI410" s="8" t="s">
        <v>336</v>
      </c>
      <c r="AJ410" s="22">
        <v>0.36</v>
      </c>
      <c r="AK410" s="8" t="s">
        <v>152</v>
      </c>
      <c r="AL410" s="22">
        <v>0.1</v>
      </c>
      <c r="AM410" s="22">
        <v>0.09</v>
      </c>
      <c r="AN410" s="8">
        <v>13</v>
      </c>
      <c r="AO410" s="8">
        <v>627</v>
      </c>
      <c r="AP410" s="8">
        <v>1388361.91</v>
      </c>
      <c r="AQ410" s="24">
        <v>1388361.91</v>
      </c>
      <c r="AR410" s="8">
        <v>787091.01</v>
      </c>
      <c r="AS410" s="37">
        <v>787091.01</v>
      </c>
      <c r="AT410" s="8" t="s">
        <v>321</v>
      </c>
      <c r="AU410" s="8" t="s">
        <v>386</v>
      </c>
      <c r="AV410" s="8">
        <v>51.4</v>
      </c>
      <c r="AW410" s="8">
        <v>48</v>
      </c>
      <c r="AX410" s="8" t="s">
        <v>332</v>
      </c>
      <c r="AY410" s="8" t="s">
        <v>224</v>
      </c>
      <c r="AZ410" s="8" t="s">
        <v>324</v>
      </c>
      <c r="BA410" s="21">
        <f>IF(OR(tblsales[[#This Row],[Invoice Value USD]]="",tblsales[[#This Row],[Collected Amount USD]]=""),"",tblsales[[#This Row],[Invoice Value USD]]-tblsales[[#This Row],[Collected Amount USD]])</f>
        <v>1903047.3700000006</v>
      </c>
      <c r="BB410" s="21">
        <f>IF(OR(tblsales[[#This Row],[Contract Value USD]]="",tblsales[[#This Row],[Cost Estimate USD]]=""),"",tblsales[[#This Row],[Contract Value USD]]-tblsales[[#This Row],[Cost Estimate USD]])</f>
        <v>916586.50999999978</v>
      </c>
      <c r="BC410" s="21">
        <f>IF(OR(tblsales[[#This Row],[Contract Value USD]]="",tblsales[[#This Row],[Cost Estimate USD]]=""),"",tblsales[[#This Row],[Contract Value USD]]-tblsales[[#This Row],[Cost Estimate USD]])</f>
        <v>916586.50999999978</v>
      </c>
      <c r="BD410" s="23">
        <f>IF(tblsales[[#This Row],[Invoice Value USD]]="","",tblsales[[#This Row],[Collected Amount USD]]/tblsales[[#This Row],[Invoice Value USD]])</f>
        <v>0.5560668016194662</v>
      </c>
      <c r="BE410" s="11">
        <f>IF(tblsales[[#This Row],[SalesStage]]="Won",1,0)</f>
        <v>0</v>
      </c>
      <c r="BF410" s="21" t="str">
        <f>IF(tblsales[[#This Row],[Win Flag]]=1,"Won","Lost")</f>
        <v>Lost</v>
      </c>
      <c r="BG410" s="8"/>
    </row>
    <row r="411" spans="1:59" x14ac:dyDescent="0.3">
      <c r="A411" s="10" t="s">
        <v>1550</v>
      </c>
      <c r="B411" s="9">
        <v>45727</v>
      </c>
      <c r="C411" s="10" t="s">
        <v>237</v>
      </c>
      <c r="D411" s="10" t="s">
        <v>220</v>
      </c>
      <c r="E411" s="10" t="s">
        <v>113</v>
      </c>
      <c r="F411" s="10" t="s">
        <v>181</v>
      </c>
      <c r="G411" s="10" t="s">
        <v>332</v>
      </c>
      <c r="H411" s="10" t="s">
        <v>216</v>
      </c>
      <c r="I411" s="10" t="s">
        <v>183</v>
      </c>
      <c r="J411" s="10" t="s">
        <v>111</v>
      </c>
      <c r="K411" s="10" t="s">
        <v>223</v>
      </c>
      <c r="L411" s="10" t="s">
        <v>1551</v>
      </c>
      <c r="M411" s="9">
        <v>45810</v>
      </c>
      <c r="N411" s="9">
        <v>45734</v>
      </c>
      <c r="O411" s="9"/>
      <c r="P411" s="11">
        <v>19</v>
      </c>
      <c r="Q411" s="12">
        <v>18847899</v>
      </c>
      <c r="R411">
        <v>5132282.8976999996</v>
      </c>
      <c r="S411" s="22">
        <v>0.02</v>
      </c>
      <c r="T411" s="22">
        <v>0.2</v>
      </c>
      <c r="U411" s="12">
        <v>22165129.219999999</v>
      </c>
      <c r="V411" s="24">
        <v>6035564.6866059992</v>
      </c>
      <c r="W411" s="8">
        <v>19017138.239999998</v>
      </c>
      <c r="X411" s="24">
        <v>5178366.7427519998</v>
      </c>
      <c r="Y411" s="22">
        <v>0.17</v>
      </c>
      <c r="Z411" s="22">
        <v>0.08</v>
      </c>
      <c r="AA411" s="8" t="s">
        <v>1552</v>
      </c>
      <c r="AB411" s="8">
        <v>5481239.3300000001</v>
      </c>
      <c r="AC411" s="24">
        <v>1492541.4695589999</v>
      </c>
      <c r="AD411" s="8">
        <v>5929889.9199999999</v>
      </c>
      <c r="AE411" s="24">
        <v>1614709.0252159999</v>
      </c>
      <c r="AF411" s="8">
        <v>45</v>
      </c>
      <c r="AG411" s="8">
        <v>48</v>
      </c>
      <c r="AH411" s="8" t="s">
        <v>332</v>
      </c>
      <c r="AI411" s="8" t="s">
        <v>381</v>
      </c>
      <c r="AJ411" s="22">
        <v>0.67</v>
      </c>
      <c r="AK411" s="8" t="s">
        <v>153</v>
      </c>
      <c r="AL411" s="22">
        <v>0.05</v>
      </c>
      <c r="AM411" s="22">
        <v>0.04</v>
      </c>
      <c r="AN411" s="8">
        <v>4</v>
      </c>
      <c r="AO411" s="8">
        <v>50</v>
      </c>
      <c r="AP411" s="8">
        <v>3418737.6</v>
      </c>
      <c r="AQ411" s="24">
        <v>930922.24847999995</v>
      </c>
      <c r="AR411" s="8">
        <v>3930557.23</v>
      </c>
      <c r="AS411" s="37">
        <v>1070290.733729</v>
      </c>
      <c r="AT411" s="8" t="s">
        <v>391</v>
      </c>
      <c r="AU411" s="8" t="s">
        <v>322</v>
      </c>
      <c r="AV411" s="8">
        <v>64.900000000000006</v>
      </c>
      <c r="AW411" s="8">
        <v>12</v>
      </c>
      <c r="AX411" s="8" t="s">
        <v>392</v>
      </c>
      <c r="AY411" s="8" t="s">
        <v>229</v>
      </c>
      <c r="AZ411" s="8" t="s">
        <v>377</v>
      </c>
      <c r="BA411" s="21">
        <f>IF(OR(tblsales[[#This Row],[Invoice Value USD]]="",tblsales[[#This Row],[Collected Amount USD]]=""),"",tblsales[[#This Row],[Invoice Value USD]]-tblsales[[#This Row],[Collected Amount USD]])</f>
        <v>-122167.55565700005</v>
      </c>
      <c r="BB411" s="21">
        <f>IF(OR(tblsales[[#This Row],[Contract Value USD]]="",tblsales[[#This Row],[Cost Estimate USD]]=""),"",tblsales[[#This Row],[Contract Value USD]]-tblsales[[#This Row],[Cost Estimate USD]])</f>
        <v>857197.94385399949</v>
      </c>
      <c r="BC411" s="21">
        <f>IF(OR(tblsales[[#This Row],[Contract Value USD]]="",tblsales[[#This Row],[Cost Estimate USD]]=""),"",tblsales[[#This Row],[Contract Value USD]]-tblsales[[#This Row],[Cost Estimate USD]])</f>
        <v>857197.94385399949</v>
      </c>
      <c r="BD411" s="23">
        <f>IF(tblsales[[#This Row],[Invoice Value USD]]="","",tblsales[[#This Row],[Collected Amount USD]]/tblsales[[#This Row],[Invoice Value USD]])</f>
        <v>1.0818520343646443</v>
      </c>
      <c r="BE411" s="11">
        <f>IF(tblsales[[#This Row],[SalesStage]]="Won",1,0)</f>
        <v>0</v>
      </c>
      <c r="BF411" s="21" t="str">
        <f>IF(tblsales[[#This Row],[Win Flag]]=1,"Won","Lost")</f>
        <v>Lost</v>
      </c>
      <c r="BG411" s="8"/>
    </row>
    <row r="412" spans="1:59" x14ac:dyDescent="0.3">
      <c r="A412" s="10" t="s">
        <v>1553</v>
      </c>
      <c r="B412" s="9">
        <v>45978</v>
      </c>
      <c r="C412" s="10" t="s">
        <v>225</v>
      </c>
      <c r="D412" s="10" t="s">
        <v>245</v>
      </c>
      <c r="E412" s="10" t="s">
        <v>52</v>
      </c>
      <c r="F412" s="10" t="s">
        <v>332</v>
      </c>
      <c r="G412" s="10" t="s">
        <v>50</v>
      </c>
      <c r="H412" s="10" t="s">
        <v>182</v>
      </c>
      <c r="I412" s="10" t="s">
        <v>213</v>
      </c>
      <c r="J412" s="10" t="s">
        <v>119</v>
      </c>
      <c r="K412" s="10" t="s">
        <v>326</v>
      </c>
      <c r="L412" s="10" t="s">
        <v>1554</v>
      </c>
      <c r="M412" s="9">
        <v>45930</v>
      </c>
      <c r="N412" s="9"/>
      <c r="O412" s="9">
        <v>46055</v>
      </c>
      <c r="P412" s="11">
        <v>57</v>
      </c>
      <c r="Q412" s="12">
        <v>16474098</v>
      </c>
      <c r="R412">
        <v>4485896.8854</v>
      </c>
      <c r="S412" s="22">
        <v>0.1</v>
      </c>
      <c r="T412" s="22">
        <v>0.09</v>
      </c>
      <c r="U412" s="12">
        <v>16161090.140000001</v>
      </c>
      <c r="V412" s="24">
        <v>4400664.8451220002</v>
      </c>
      <c r="W412" s="8">
        <v>11494753.539999999</v>
      </c>
      <c r="X412" s="24">
        <v>3130021.3889419995</v>
      </c>
      <c r="Y412" s="22">
        <v>0.2</v>
      </c>
      <c r="Z412" s="22">
        <v>0.2</v>
      </c>
      <c r="AA412" s="8" t="s">
        <v>1555</v>
      </c>
      <c r="AB412" s="8">
        <v>9558150.3599999994</v>
      </c>
      <c r="AC412" s="24">
        <v>2602684.3430279996</v>
      </c>
      <c r="AD412" s="8">
        <v>5624193.04</v>
      </c>
      <c r="AE412" s="24">
        <v>1531467.7647919999</v>
      </c>
      <c r="AF412" s="8">
        <v>120</v>
      </c>
      <c r="AG412" s="8">
        <v>121</v>
      </c>
      <c r="AH412" s="8" t="s">
        <v>376</v>
      </c>
      <c r="AI412" s="8" t="s">
        <v>381</v>
      </c>
      <c r="AJ412" s="22">
        <v>0.83</v>
      </c>
      <c r="AK412" s="8" t="s">
        <v>153</v>
      </c>
      <c r="AL412" s="22">
        <v>0.1</v>
      </c>
      <c r="AM412" s="22">
        <v>0.05</v>
      </c>
      <c r="AN412" s="8">
        <v>2</v>
      </c>
      <c r="AO412" s="8">
        <v>1717</v>
      </c>
      <c r="AP412" s="8">
        <v>2920481.68</v>
      </c>
      <c r="AQ412" s="24">
        <v>795247.161464</v>
      </c>
      <c r="AR412" s="8">
        <v>4251802.66</v>
      </c>
      <c r="AS412" s="37">
        <v>1157765.8643179999</v>
      </c>
      <c r="AT412" s="8" t="s">
        <v>385</v>
      </c>
      <c r="AU412" s="8" t="s">
        <v>386</v>
      </c>
      <c r="AV412" s="8">
        <v>69.7</v>
      </c>
      <c r="AW412" s="8">
        <v>60</v>
      </c>
      <c r="AX412" s="8" t="s">
        <v>392</v>
      </c>
      <c r="AY412" s="8" t="s">
        <v>229</v>
      </c>
      <c r="AZ412" s="8" t="s">
        <v>361</v>
      </c>
      <c r="BA412" s="21">
        <f>IF(OR(tblsales[[#This Row],[Invoice Value USD]]="",tblsales[[#This Row],[Collected Amount USD]]=""),"",tblsales[[#This Row],[Invoice Value USD]]-tblsales[[#This Row],[Collected Amount USD]])</f>
        <v>1071216.5782359997</v>
      </c>
      <c r="BB412" s="21">
        <f>IF(OR(tblsales[[#This Row],[Contract Value USD]]="",tblsales[[#This Row],[Cost Estimate USD]]=""),"",tblsales[[#This Row],[Contract Value USD]]-tblsales[[#This Row],[Cost Estimate USD]])</f>
        <v>1270643.4561800007</v>
      </c>
      <c r="BC412" s="21">
        <f>IF(OR(tblsales[[#This Row],[Contract Value USD]]="",tblsales[[#This Row],[Cost Estimate USD]]=""),"",tblsales[[#This Row],[Contract Value USD]]-tblsales[[#This Row],[Cost Estimate USD]])</f>
        <v>1270643.4561800007</v>
      </c>
      <c r="BD412" s="23">
        <f>IF(tblsales[[#This Row],[Invoice Value USD]]="","",tblsales[[#This Row],[Collected Amount USD]]/tblsales[[#This Row],[Invoice Value USD]])</f>
        <v>0.58841855674678889</v>
      </c>
      <c r="BE412" s="11">
        <f>IF(tblsales[[#This Row],[SalesStage]]="Won",1,0)</f>
        <v>0</v>
      </c>
      <c r="BF412" s="21" t="str">
        <f>IF(tblsales[[#This Row],[Win Flag]]=1,"Won","Lost")</f>
        <v>Lost</v>
      </c>
      <c r="BG412" s="8"/>
    </row>
    <row r="413" spans="1:59" x14ac:dyDescent="0.3">
      <c r="A413" s="10" t="s">
        <v>1556</v>
      </c>
      <c r="B413" s="9">
        <v>45939</v>
      </c>
      <c r="C413" s="10" t="s">
        <v>189</v>
      </c>
      <c r="D413" s="10" t="s">
        <v>394</v>
      </c>
      <c r="E413" s="10" t="s">
        <v>52</v>
      </c>
      <c r="F413" s="10" t="s">
        <v>75</v>
      </c>
      <c r="G413" s="10" t="s">
        <v>66</v>
      </c>
      <c r="H413" s="10" t="s">
        <v>212</v>
      </c>
      <c r="I413" s="10" t="s">
        <v>233</v>
      </c>
      <c r="J413" s="10" t="s">
        <v>119</v>
      </c>
      <c r="K413" s="10" t="s">
        <v>221</v>
      </c>
      <c r="L413" s="10" t="s">
        <v>1557</v>
      </c>
      <c r="M413" s="9">
        <v>45822</v>
      </c>
      <c r="N413" s="9">
        <v>45932</v>
      </c>
      <c r="O413" s="9">
        <v>46004</v>
      </c>
      <c r="P413" s="11">
        <v>60</v>
      </c>
      <c r="Q413" s="12">
        <v>39954634</v>
      </c>
      <c r="R413">
        <v>10879646.838199999</v>
      </c>
      <c r="S413" s="22">
        <v>0.06</v>
      </c>
      <c r="T413" s="22">
        <v>-0.02</v>
      </c>
      <c r="U413" s="12">
        <v>36806208.840000004</v>
      </c>
      <c r="V413" s="24">
        <v>10022330.667132001</v>
      </c>
      <c r="W413" s="8">
        <v>29324743.48</v>
      </c>
      <c r="X413" s="24">
        <v>7985127.6496040002</v>
      </c>
      <c r="Y413" s="22">
        <v>0.08</v>
      </c>
      <c r="Z413" s="22">
        <v>0.09</v>
      </c>
      <c r="AA413" s="8" t="s">
        <v>1558</v>
      </c>
      <c r="AB413" s="8">
        <v>16695219.35</v>
      </c>
      <c r="AC413" s="24">
        <v>4546108.2290049996</v>
      </c>
      <c r="AD413" s="8">
        <v>7100867.1699999999</v>
      </c>
      <c r="AE413" s="24">
        <v>1933566.1303909998</v>
      </c>
      <c r="AF413" s="8">
        <v>90</v>
      </c>
      <c r="AG413" s="8">
        <v>166</v>
      </c>
      <c r="AH413" s="8" t="s">
        <v>376</v>
      </c>
      <c r="AI413" s="8" t="s">
        <v>336</v>
      </c>
      <c r="AJ413" s="22">
        <v>0.71</v>
      </c>
      <c r="AK413" s="8" t="s">
        <v>153</v>
      </c>
      <c r="AL413" s="22">
        <v>0.1</v>
      </c>
      <c r="AM413" s="22">
        <v>0.1</v>
      </c>
      <c r="AN413" s="8">
        <v>7</v>
      </c>
      <c r="AO413" s="8">
        <v>43</v>
      </c>
      <c r="AP413" s="8">
        <v>3054548.26</v>
      </c>
      <c r="AQ413" s="24">
        <v>831753.49119799992</v>
      </c>
      <c r="AR413" s="8">
        <v>15672352.25</v>
      </c>
      <c r="AS413" s="37">
        <v>4267581.5176750002</v>
      </c>
      <c r="AT413" s="8" t="s">
        <v>391</v>
      </c>
      <c r="AU413" s="8" t="s">
        <v>330</v>
      </c>
      <c r="AV413" s="8">
        <v>73.7</v>
      </c>
      <c r="AW413" s="8">
        <v>12</v>
      </c>
      <c r="AX413" s="8" t="s">
        <v>332</v>
      </c>
      <c r="AY413" s="8" t="s">
        <v>192</v>
      </c>
      <c r="AZ413" s="8" t="s">
        <v>361</v>
      </c>
      <c r="BA413" s="21">
        <f>IF(OR(tblsales[[#This Row],[Invoice Value USD]]="",tblsales[[#This Row],[Collected Amount USD]]=""),"",tblsales[[#This Row],[Invoice Value USD]]-tblsales[[#This Row],[Collected Amount USD]])</f>
        <v>2612542.0986139998</v>
      </c>
      <c r="BB413" s="21">
        <f>IF(OR(tblsales[[#This Row],[Contract Value USD]]="",tblsales[[#This Row],[Cost Estimate USD]]=""),"",tblsales[[#This Row],[Contract Value USD]]-tblsales[[#This Row],[Cost Estimate USD]])</f>
        <v>2037203.0175280012</v>
      </c>
      <c r="BC413" s="21">
        <f>IF(OR(tblsales[[#This Row],[Contract Value USD]]="",tblsales[[#This Row],[Cost Estimate USD]]=""),"",tblsales[[#This Row],[Contract Value USD]]-tblsales[[#This Row],[Cost Estimate USD]])</f>
        <v>2037203.0175280012</v>
      </c>
      <c r="BD413" s="23">
        <f>IF(tblsales[[#This Row],[Invoice Value USD]]="","",tblsales[[#This Row],[Collected Amount USD]]/tblsales[[#This Row],[Invoice Value USD]])</f>
        <v>0.42532338276825338</v>
      </c>
      <c r="BE413" s="11">
        <f>IF(tblsales[[#This Row],[SalesStage]]="Won",1,0)</f>
        <v>0</v>
      </c>
      <c r="BF413" s="21" t="str">
        <f>IF(tblsales[[#This Row],[Win Flag]]=1,"Won","Lost")</f>
        <v>Lost</v>
      </c>
      <c r="BG413" s="8"/>
    </row>
    <row r="414" spans="1:59" x14ac:dyDescent="0.3">
      <c r="A414" s="10" t="s">
        <v>1559</v>
      </c>
      <c r="B414" s="9">
        <v>45725</v>
      </c>
      <c r="C414" s="10" t="s">
        <v>272</v>
      </c>
      <c r="D414" s="10" t="s">
        <v>220</v>
      </c>
      <c r="E414" s="10" t="s">
        <v>41</v>
      </c>
      <c r="F414" s="10" t="s">
        <v>350</v>
      </c>
      <c r="G414" s="10" t="s">
        <v>78</v>
      </c>
      <c r="H414" s="10" t="s">
        <v>216</v>
      </c>
      <c r="I414" s="10" t="s">
        <v>191</v>
      </c>
      <c r="J414" s="10" t="s">
        <v>130</v>
      </c>
      <c r="K414" s="10" t="s">
        <v>199</v>
      </c>
      <c r="L414" s="10" t="s">
        <v>1560</v>
      </c>
      <c r="M414" s="9">
        <v>45714</v>
      </c>
      <c r="N414" s="9">
        <v>45761</v>
      </c>
      <c r="O414" s="9">
        <v>45695</v>
      </c>
      <c r="P414" s="11">
        <v>10</v>
      </c>
      <c r="Q414" s="12">
        <v>8419902</v>
      </c>
      <c r="R414">
        <v>8419902</v>
      </c>
      <c r="S414" s="22">
        <v>0.34</v>
      </c>
      <c r="T414" s="22">
        <v>0.05</v>
      </c>
      <c r="U414" s="12">
        <v>5834992.0899999999</v>
      </c>
      <c r="V414" s="24">
        <v>5834992.0899999999</v>
      </c>
      <c r="W414" s="8">
        <v>4225021.1100000003</v>
      </c>
      <c r="X414" s="24">
        <v>4225021.1100000003</v>
      </c>
      <c r="Y414" s="22">
        <v>0.3</v>
      </c>
      <c r="Z414" s="22">
        <v>0.14000000000000001</v>
      </c>
      <c r="AA414" s="8" t="s">
        <v>1561</v>
      </c>
      <c r="AB414" s="8">
        <v>1266137.3600000001</v>
      </c>
      <c r="AC414" s="24">
        <v>1266137.3600000001</v>
      </c>
      <c r="AD414" s="8">
        <v>1157972.5</v>
      </c>
      <c r="AE414" s="24">
        <v>1157972.5</v>
      </c>
      <c r="AF414" s="8">
        <v>90</v>
      </c>
      <c r="AG414" s="8">
        <v>102</v>
      </c>
      <c r="AH414" s="8" t="s">
        <v>329</v>
      </c>
      <c r="AI414" s="8" t="s">
        <v>226</v>
      </c>
      <c r="AJ414" s="22">
        <v>0.22</v>
      </c>
      <c r="AK414" s="8" t="s">
        <v>152</v>
      </c>
      <c r="AL414" s="22">
        <v>0.15</v>
      </c>
      <c r="AM414" s="22">
        <v>0.04</v>
      </c>
      <c r="AN414" s="8">
        <v>4</v>
      </c>
      <c r="AO414" s="8">
        <v>4521</v>
      </c>
      <c r="AP414" s="8">
        <v>557745.94999999995</v>
      </c>
      <c r="AQ414" s="24">
        <v>557745.94999999995</v>
      </c>
      <c r="AR414" s="8">
        <v>660197.80000000005</v>
      </c>
      <c r="AS414" s="37">
        <v>660197.80000000005</v>
      </c>
      <c r="AT414" s="8" t="s">
        <v>391</v>
      </c>
      <c r="AU414" s="8" t="s">
        <v>321</v>
      </c>
      <c r="AV414" s="8">
        <v>72.599999999999994</v>
      </c>
      <c r="AW414" s="8">
        <v>12</v>
      </c>
      <c r="AX414" s="8" t="s">
        <v>323</v>
      </c>
      <c r="AY414" s="8" t="s">
        <v>224</v>
      </c>
      <c r="AZ414" s="8" t="s">
        <v>332</v>
      </c>
      <c r="BA414" s="21">
        <f>IF(OR(tblsales[[#This Row],[Invoice Value USD]]="",tblsales[[#This Row],[Collected Amount USD]]=""),"",tblsales[[#This Row],[Invoice Value USD]]-tblsales[[#This Row],[Collected Amount USD]])</f>
        <v>108164.8600000001</v>
      </c>
      <c r="BB414" s="21">
        <f>IF(OR(tblsales[[#This Row],[Contract Value USD]]="",tblsales[[#This Row],[Cost Estimate USD]]=""),"",tblsales[[#This Row],[Contract Value USD]]-tblsales[[#This Row],[Cost Estimate USD]])</f>
        <v>1609970.9799999995</v>
      </c>
      <c r="BC414" s="21">
        <f>IF(OR(tblsales[[#This Row],[Contract Value USD]]="",tblsales[[#This Row],[Cost Estimate USD]]=""),"",tblsales[[#This Row],[Contract Value USD]]-tblsales[[#This Row],[Cost Estimate USD]])</f>
        <v>1609970.9799999995</v>
      </c>
      <c r="BD414" s="23">
        <f>IF(tblsales[[#This Row],[Invoice Value USD]]="","",tblsales[[#This Row],[Collected Amount USD]]/tblsales[[#This Row],[Invoice Value USD]])</f>
        <v>0.91457099093892935</v>
      </c>
      <c r="BE414" s="11">
        <f>IF(tblsales[[#This Row],[SalesStage]]="Won",1,0)</f>
        <v>0</v>
      </c>
      <c r="BF414" s="21" t="str">
        <f>IF(tblsales[[#This Row],[Win Flag]]=1,"Won","Lost")</f>
        <v>Lost</v>
      </c>
      <c r="BG414" s="8"/>
    </row>
    <row r="415" spans="1:59" x14ac:dyDescent="0.3">
      <c r="A415" s="10" t="s">
        <v>1562</v>
      </c>
      <c r="B415" s="9">
        <v>45948</v>
      </c>
      <c r="C415" s="10" t="s">
        <v>279</v>
      </c>
      <c r="D415" s="10" t="s">
        <v>262</v>
      </c>
      <c r="E415" s="10" t="s">
        <v>332</v>
      </c>
      <c r="F415" s="10" t="s">
        <v>196</v>
      </c>
      <c r="G415" s="10" t="s">
        <v>73</v>
      </c>
      <c r="H415" s="10" t="s">
        <v>216</v>
      </c>
      <c r="I415" s="10" t="s">
        <v>203</v>
      </c>
      <c r="J415" s="10" t="s">
        <v>130</v>
      </c>
      <c r="K415" s="10" t="s">
        <v>221</v>
      </c>
      <c r="L415" s="10" t="s">
        <v>1563</v>
      </c>
      <c r="M415" s="9">
        <v>45757</v>
      </c>
      <c r="N415" s="9">
        <v>46006</v>
      </c>
      <c r="O415" s="9"/>
      <c r="P415" s="11"/>
      <c r="Q415" s="12">
        <v>40574837</v>
      </c>
      <c r="R415">
        <v>11145907.7239</v>
      </c>
      <c r="S415" s="22">
        <v>0.1</v>
      </c>
      <c r="T415" s="22">
        <v>0.1</v>
      </c>
      <c r="U415" s="12">
        <v>40169088.630000003</v>
      </c>
      <c r="V415" s="24">
        <v>11034448.646661</v>
      </c>
      <c r="W415" s="8">
        <v>31988085.010000002</v>
      </c>
      <c r="X415" s="24">
        <v>8787126.9522470012</v>
      </c>
      <c r="Y415" s="22">
        <v>0.28000000000000003</v>
      </c>
      <c r="Z415" s="22">
        <v>0.17</v>
      </c>
      <c r="AA415" s="8" t="s">
        <v>1564</v>
      </c>
      <c r="AB415" s="8">
        <v>28006122.280000001</v>
      </c>
      <c r="AC415" s="24">
        <v>7693281.7903160006</v>
      </c>
      <c r="AD415" s="8">
        <v>10223440.5</v>
      </c>
      <c r="AE415" s="24">
        <v>2808379.1053499999</v>
      </c>
      <c r="AF415" s="8">
        <v>45</v>
      </c>
      <c r="AG415" s="8">
        <v>60</v>
      </c>
      <c r="AH415" s="8" t="s">
        <v>347</v>
      </c>
      <c r="AI415" s="8" t="s">
        <v>336</v>
      </c>
      <c r="AJ415" s="22">
        <v>0.31</v>
      </c>
      <c r="AK415" s="8" t="s">
        <v>155</v>
      </c>
      <c r="AL415" s="22">
        <v>0.1</v>
      </c>
      <c r="AM415" s="22">
        <v>0.03</v>
      </c>
      <c r="AN415" s="8">
        <v>13</v>
      </c>
      <c r="AO415" s="8">
        <v>3427</v>
      </c>
      <c r="AP415" s="8">
        <v>9357020.0800000001</v>
      </c>
      <c r="AQ415" s="24">
        <v>2570373.415976</v>
      </c>
      <c r="AR415" s="8">
        <v>12762382.130000001</v>
      </c>
      <c r="AS415" s="37">
        <v>3505826.3711110004</v>
      </c>
      <c r="AT415" s="8" t="s">
        <v>343</v>
      </c>
      <c r="AU415" s="8" t="s">
        <v>321</v>
      </c>
      <c r="AV415" s="8">
        <v>82.8</v>
      </c>
      <c r="AW415" s="8"/>
      <c r="AX415" s="8" t="s">
        <v>323</v>
      </c>
      <c r="AY415" s="8" t="s">
        <v>192</v>
      </c>
      <c r="AZ415" s="8" t="s">
        <v>357</v>
      </c>
      <c r="BA415" s="21">
        <f>IF(OR(tblsales[[#This Row],[Invoice Value USD]]="",tblsales[[#This Row],[Collected Amount USD]]=""),"",tblsales[[#This Row],[Invoice Value USD]]-tblsales[[#This Row],[Collected Amount USD]])</f>
        <v>4884902.6849660007</v>
      </c>
      <c r="BB415" s="21">
        <f>IF(OR(tblsales[[#This Row],[Contract Value USD]]="",tblsales[[#This Row],[Cost Estimate USD]]=""),"",tblsales[[#This Row],[Contract Value USD]]-tblsales[[#This Row],[Cost Estimate USD]])</f>
        <v>2247321.6944139991</v>
      </c>
      <c r="BC415" s="21">
        <f>IF(OR(tblsales[[#This Row],[Contract Value USD]]="",tblsales[[#This Row],[Cost Estimate USD]]=""),"",tblsales[[#This Row],[Contract Value USD]]-tblsales[[#This Row],[Cost Estimate USD]])</f>
        <v>2247321.6944139991</v>
      </c>
      <c r="BD415" s="23">
        <f>IF(tblsales[[#This Row],[Invoice Value USD]]="","",tblsales[[#This Row],[Collected Amount USD]]/tblsales[[#This Row],[Invoice Value USD]])</f>
        <v>0.36504305729254277</v>
      </c>
      <c r="BE415" s="11">
        <f>IF(tblsales[[#This Row],[SalesStage]]="Won",1,0)</f>
        <v>0</v>
      </c>
      <c r="BF415" s="21" t="str">
        <f>IF(tblsales[[#This Row],[Win Flag]]=1,"Won","Lost")</f>
        <v>Lost</v>
      </c>
      <c r="BG415" s="8"/>
    </row>
    <row r="416" spans="1:59" x14ac:dyDescent="0.3">
      <c r="A416" s="10" t="s">
        <v>1565</v>
      </c>
      <c r="B416" s="9">
        <v>46052</v>
      </c>
      <c r="C416" s="10" t="s">
        <v>231</v>
      </c>
      <c r="D416" s="10" t="s">
        <v>255</v>
      </c>
      <c r="E416" s="10" t="s">
        <v>41</v>
      </c>
      <c r="F416" s="10" t="s">
        <v>363</v>
      </c>
      <c r="G416" s="10" t="s">
        <v>66</v>
      </c>
      <c r="H416" s="10" t="s">
        <v>263</v>
      </c>
      <c r="I416" s="10" t="s">
        <v>203</v>
      </c>
      <c r="J416" s="10" t="s">
        <v>130</v>
      </c>
      <c r="K416" s="10" t="s">
        <v>210</v>
      </c>
      <c r="L416" s="10" t="s">
        <v>1566</v>
      </c>
      <c r="M416" s="9">
        <v>45979</v>
      </c>
      <c r="N416" s="9"/>
      <c r="O416" s="9"/>
      <c r="P416" s="11">
        <v>40</v>
      </c>
      <c r="Q416" s="12">
        <v>13660171</v>
      </c>
      <c r="R416">
        <v>13660171</v>
      </c>
      <c r="S416" s="22">
        <v>0.1</v>
      </c>
      <c r="T416" s="22">
        <v>0.17</v>
      </c>
      <c r="U416" s="12">
        <v>14384160.060000001</v>
      </c>
      <c r="V416" s="24">
        <v>14384160.060000001</v>
      </c>
      <c r="W416" s="8">
        <v>12627377.27</v>
      </c>
      <c r="X416" s="24">
        <v>12627377.27</v>
      </c>
      <c r="Y416" s="22">
        <v>0.4</v>
      </c>
      <c r="Z416" s="22">
        <v>0.1</v>
      </c>
      <c r="AA416" s="8" t="s">
        <v>1567</v>
      </c>
      <c r="AB416" s="8">
        <v>12145333.5</v>
      </c>
      <c r="AC416" s="24">
        <v>12145333.5</v>
      </c>
      <c r="AD416" s="8">
        <v>6581443.6600000001</v>
      </c>
      <c r="AE416" s="24">
        <v>6581443.6600000001</v>
      </c>
      <c r="AF416" s="8">
        <v>60</v>
      </c>
      <c r="AG416" s="8">
        <v>40</v>
      </c>
      <c r="AH416" s="8" t="s">
        <v>342</v>
      </c>
      <c r="AI416" s="8" t="s">
        <v>354</v>
      </c>
      <c r="AJ416" s="22">
        <v>0.99</v>
      </c>
      <c r="AK416" s="8" t="s">
        <v>152</v>
      </c>
      <c r="AL416" s="22">
        <v>0.05</v>
      </c>
      <c r="AM416" s="22">
        <v>0.04</v>
      </c>
      <c r="AN416" s="8">
        <v>2</v>
      </c>
      <c r="AO416" s="8">
        <v>2380</v>
      </c>
      <c r="AP416" s="8">
        <v>726106.68</v>
      </c>
      <c r="AQ416" s="24">
        <v>726106.68</v>
      </c>
      <c r="AR416" s="8">
        <v>6335269.6600000001</v>
      </c>
      <c r="AS416" s="37">
        <v>6335269.6600000001</v>
      </c>
      <c r="AT416" s="8" t="s">
        <v>332</v>
      </c>
      <c r="AU416" s="8" t="s">
        <v>330</v>
      </c>
      <c r="AV416" s="8">
        <v>50.2</v>
      </c>
      <c r="AW416" s="8">
        <v>24</v>
      </c>
      <c r="AX416" s="8" t="s">
        <v>332</v>
      </c>
      <c r="AY416" s="8" t="s">
        <v>206</v>
      </c>
      <c r="AZ416" s="8" t="s">
        <v>357</v>
      </c>
      <c r="BA416" s="21">
        <f>IF(OR(tblsales[[#This Row],[Invoice Value USD]]="",tblsales[[#This Row],[Collected Amount USD]]=""),"",tblsales[[#This Row],[Invoice Value USD]]-tblsales[[#This Row],[Collected Amount USD]])</f>
        <v>5563889.8399999999</v>
      </c>
      <c r="BB416" s="21">
        <f>IF(OR(tblsales[[#This Row],[Contract Value USD]]="",tblsales[[#This Row],[Cost Estimate USD]]=""),"",tblsales[[#This Row],[Contract Value USD]]-tblsales[[#This Row],[Cost Estimate USD]])</f>
        <v>1756782.790000001</v>
      </c>
      <c r="BC416" s="21">
        <f>IF(OR(tblsales[[#This Row],[Contract Value USD]]="",tblsales[[#This Row],[Cost Estimate USD]]=""),"",tblsales[[#This Row],[Contract Value USD]]-tblsales[[#This Row],[Cost Estimate USD]])</f>
        <v>1756782.790000001</v>
      </c>
      <c r="BD416" s="23">
        <f>IF(tblsales[[#This Row],[Invoice Value USD]]="","",tblsales[[#This Row],[Collected Amount USD]]/tblsales[[#This Row],[Invoice Value USD]])</f>
        <v>0.54189073194243698</v>
      </c>
      <c r="BE416" s="11">
        <f>IF(tblsales[[#This Row],[SalesStage]]="Won",1,0)</f>
        <v>0</v>
      </c>
      <c r="BF416" s="21" t="str">
        <f>IF(tblsales[[#This Row],[Win Flag]]=1,"Won","Lost")</f>
        <v>Lost</v>
      </c>
      <c r="BG416" s="8"/>
    </row>
    <row r="417" spans="1:59" x14ac:dyDescent="0.3">
      <c r="A417" s="10" t="s">
        <v>1568</v>
      </c>
      <c r="B417" s="9">
        <v>45846</v>
      </c>
      <c r="C417" s="10" t="s">
        <v>241</v>
      </c>
      <c r="D417" s="10" t="s">
        <v>190</v>
      </c>
      <c r="E417" s="10" t="s">
        <v>41</v>
      </c>
      <c r="F417" s="10" t="s">
        <v>350</v>
      </c>
      <c r="G417" s="10" t="s">
        <v>23</v>
      </c>
      <c r="H417" s="10" t="s">
        <v>332</v>
      </c>
      <c r="I417" s="10" t="s">
        <v>191</v>
      </c>
      <c r="J417" s="10" t="s">
        <v>105</v>
      </c>
      <c r="K417" s="10" t="s">
        <v>184</v>
      </c>
      <c r="L417" s="10" t="s">
        <v>1569</v>
      </c>
      <c r="M417" s="9">
        <v>45843</v>
      </c>
      <c r="N417" s="9">
        <v>45857</v>
      </c>
      <c r="O417" s="9"/>
      <c r="P417" s="11">
        <v>55</v>
      </c>
      <c r="Q417" s="12">
        <v>33141023</v>
      </c>
      <c r="R417">
        <v>9103839.0181000009</v>
      </c>
      <c r="S417" s="22">
        <v>0.14000000000000001</v>
      </c>
      <c r="T417" s="22">
        <v>0.17</v>
      </c>
      <c r="U417" s="12">
        <v>33346497.34</v>
      </c>
      <c r="V417" s="24">
        <v>9160282.8192979991</v>
      </c>
      <c r="W417" s="8">
        <v>21680765.760000002</v>
      </c>
      <c r="X417" s="24">
        <v>5955706.3542720005</v>
      </c>
      <c r="Y417" s="22">
        <v>0.32</v>
      </c>
      <c r="Z417" s="22">
        <v>0.12</v>
      </c>
      <c r="AA417" s="8" t="s">
        <v>1570</v>
      </c>
      <c r="AB417" s="8">
        <v>6982554.8700000001</v>
      </c>
      <c r="AC417" s="24">
        <v>1918107.8227890001</v>
      </c>
      <c r="AD417" s="8">
        <v>2495551.6800000002</v>
      </c>
      <c r="AE417" s="24">
        <v>685528.04649600002</v>
      </c>
      <c r="AF417" s="8">
        <v>120</v>
      </c>
      <c r="AG417" s="8">
        <v>21</v>
      </c>
      <c r="AH417" s="8" t="s">
        <v>353</v>
      </c>
      <c r="AI417" s="8" t="s">
        <v>320</v>
      </c>
      <c r="AJ417" s="22">
        <v>0.09</v>
      </c>
      <c r="AK417" s="8" t="s">
        <v>155</v>
      </c>
      <c r="AL417" s="22">
        <v>0.15</v>
      </c>
      <c r="AM417" s="22">
        <v>0.05</v>
      </c>
      <c r="AN417" s="8">
        <v>3</v>
      </c>
      <c r="AO417" s="8">
        <v>542</v>
      </c>
      <c r="AP417" s="8">
        <v>4245185.0999999996</v>
      </c>
      <c r="AQ417" s="24">
        <v>1166152.3469699998</v>
      </c>
      <c r="AR417" s="8">
        <v>12735516.27</v>
      </c>
      <c r="AS417" s="37">
        <v>3498446.3193689999</v>
      </c>
      <c r="AT417" s="8" t="s">
        <v>355</v>
      </c>
      <c r="AU417" s="8" t="s">
        <v>386</v>
      </c>
      <c r="AV417" s="8">
        <v>50.1</v>
      </c>
      <c r="AW417" s="8">
        <v>60</v>
      </c>
      <c r="AX417" s="8" t="s">
        <v>337</v>
      </c>
      <c r="AY417" s="8" t="s">
        <v>224</v>
      </c>
      <c r="AZ417" s="8" t="s">
        <v>324</v>
      </c>
      <c r="BA417" s="21">
        <f>IF(OR(tblsales[[#This Row],[Invoice Value USD]]="",tblsales[[#This Row],[Collected Amount USD]]=""),"",tblsales[[#This Row],[Invoice Value USD]]-tblsales[[#This Row],[Collected Amount USD]])</f>
        <v>1232579.7762930002</v>
      </c>
      <c r="BB417" s="21">
        <f>IF(OR(tblsales[[#This Row],[Contract Value USD]]="",tblsales[[#This Row],[Cost Estimate USD]]=""),"",tblsales[[#This Row],[Contract Value USD]]-tblsales[[#This Row],[Cost Estimate USD]])</f>
        <v>3204576.4650259987</v>
      </c>
      <c r="BC417" s="21">
        <f>IF(OR(tblsales[[#This Row],[Contract Value USD]]="",tblsales[[#This Row],[Cost Estimate USD]]=""),"",tblsales[[#This Row],[Contract Value USD]]-tblsales[[#This Row],[Cost Estimate USD]])</f>
        <v>3204576.4650259987</v>
      </c>
      <c r="BD417" s="23">
        <f>IF(tblsales[[#This Row],[Invoice Value USD]]="","",tblsales[[#This Row],[Collected Amount USD]]/tblsales[[#This Row],[Invoice Value USD]])</f>
        <v>0.35739807655818678</v>
      </c>
      <c r="BE417" s="11">
        <f>IF(tblsales[[#This Row],[SalesStage]]="Won",1,0)</f>
        <v>1</v>
      </c>
      <c r="BF417" s="21" t="str">
        <f>IF(tblsales[[#This Row],[Win Flag]]=1,"Won","Lost")</f>
        <v>Won</v>
      </c>
      <c r="BG417" s="8"/>
    </row>
    <row r="418" spans="1:59" x14ac:dyDescent="0.3">
      <c r="A418" s="10" t="s">
        <v>1571</v>
      </c>
      <c r="B418" s="9">
        <v>45687</v>
      </c>
      <c r="C418" s="10" t="s">
        <v>252</v>
      </c>
      <c r="D418" s="10" t="s">
        <v>281</v>
      </c>
      <c r="E418" s="10" t="s">
        <v>52</v>
      </c>
      <c r="F418" s="10" t="s">
        <v>332</v>
      </c>
      <c r="G418" s="10" t="s">
        <v>57</v>
      </c>
      <c r="H418" s="10" t="s">
        <v>212</v>
      </c>
      <c r="I418" s="10" t="s">
        <v>191</v>
      </c>
      <c r="J418" s="10" t="s">
        <v>133</v>
      </c>
      <c r="K418" s="10" t="s">
        <v>184</v>
      </c>
      <c r="L418" s="10" t="s">
        <v>1572</v>
      </c>
      <c r="M418" s="9">
        <v>45617</v>
      </c>
      <c r="N418" s="9">
        <v>45749</v>
      </c>
      <c r="O418" s="9">
        <v>45800</v>
      </c>
      <c r="P418" s="11">
        <v>17</v>
      </c>
      <c r="Q418" s="12">
        <v>2255243</v>
      </c>
      <c r="R418">
        <v>2618337.1230000001</v>
      </c>
      <c r="S418" s="22">
        <v>0.14000000000000001</v>
      </c>
      <c r="T418" s="22">
        <v>0.1</v>
      </c>
      <c r="U418" s="12">
        <v>2133459.88</v>
      </c>
      <c r="V418" s="24">
        <v>2476946.92068</v>
      </c>
      <c r="W418" s="8"/>
      <c r="X418" s="24"/>
      <c r="Y418" s="22">
        <v>0.23</v>
      </c>
      <c r="Z418" s="22">
        <v>0.19</v>
      </c>
      <c r="AA418" s="8" t="s">
        <v>1573</v>
      </c>
      <c r="AB418" s="8">
        <v>1246725.4099999999</v>
      </c>
      <c r="AC418" s="24">
        <v>1447448.20101</v>
      </c>
      <c r="AD418" s="8">
        <v>1102572.99</v>
      </c>
      <c r="AE418" s="24">
        <v>1280087.2413900001</v>
      </c>
      <c r="AF418" s="8">
        <v>90</v>
      </c>
      <c r="AG418" s="8">
        <v>116</v>
      </c>
      <c r="AH418" s="8" t="s">
        <v>347</v>
      </c>
      <c r="AI418" s="8" t="s">
        <v>336</v>
      </c>
      <c r="AJ418" s="22">
        <v>0.38</v>
      </c>
      <c r="AK418" s="8" t="s">
        <v>159</v>
      </c>
      <c r="AL418" s="22">
        <v>0.15</v>
      </c>
      <c r="AM418" s="22">
        <v>0.09</v>
      </c>
      <c r="AN418" s="8">
        <v>6</v>
      </c>
      <c r="AO418" s="8">
        <v>850</v>
      </c>
      <c r="AP418" s="8">
        <v>44352.47</v>
      </c>
      <c r="AQ418" s="24">
        <v>51493.217670000005</v>
      </c>
      <c r="AR418" s="8">
        <v>906917.42</v>
      </c>
      <c r="AS418" s="37">
        <v>1052931.1246200001</v>
      </c>
      <c r="AT418" s="8" t="s">
        <v>391</v>
      </c>
      <c r="AU418" s="8" t="s">
        <v>330</v>
      </c>
      <c r="AV418" s="8">
        <v>63</v>
      </c>
      <c r="AW418" s="8">
        <v>60</v>
      </c>
      <c r="AX418" s="8" t="s">
        <v>387</v>
      </c>
      <c r="AY418" s="8" t="s">
        <v>192</v>
      </c>
      <c r="AZ418" s="8" t="s">
        <v>357</v>
      </c>
      <c r="BA418" s="21">
        <f>IF(OR(tblsales[[#This Row],[Invoice Value USD]]="",tblsales[[#This Row],[Collected Amount USD]]=""),"",tblsales[[#This Row],[Invoice Value USD]]-tblsales[[#This Row],[Collected Amount USD]])</f>
        <v>167360.95961999986</v>
      </c>
      <c r="BB418" s="21" t="str">
        <f>IF(OR(tblsales[[#This Row],[Contract Value USD]]="",tblsales[[#This Row],[Cost Estimate USD]]=""),"",tblsales[[#This Row],[Contract Value USD]]-tblsales[[#This Row],[Cost Estimate USD]])</f>
        <v/>
      </c>
      <c r="BC418" s="21" t="str">
        <f>IF(OR(tblsales[[#This Row],[Contract Value USD]]="",tblsales[[#This Row],[Cost Estimate USD]]=""),"",tblsales[[#This Row],[Contract Value USD]]-tblsales[[#This Row],[Cost Estimate USD]])</f>
        <v/>
      </c>
      <c r="BD418" s="23">
        <f>IF(tblsales[[#This Row],[Invoice Value USD]]="","",tblsales[[#This Row],[Collected Amount USD]]/tblsales[[#This Row],[Invoice Value USD]])</f>
        <v>0.88437516485687107</v>
      </c>
      <c r="BE418" s="11">
        <f>IF(tblsales[[#This Row],[SalesStage]]="Won",1,0)</f>
        <v>0</v>
      </c>
      <c r="BF418" s="21" t="str">
        <f>IF(tblsales[[#This Row],[Win Flag]]=1,"Won","Lost")</f>
        <v>Lost</v>
      </c>
      <c r="BG418" s="8"/>
    </row>
    <row r="419" spans="1:59" x14ac:dyDescent="0.3">
      <c r="A419" s="10" t="s">
        <v>1574</v>
      </c>
      <c r="B419" s="9">
        <v>45899</v>
      </c>
      <c r="C419" s="10" t="s">
        <v>272</v>
      </c>
      <c r="D419" s="10" t="s">
        <v>190</v>
      </c>
      <c r="E419" s="10" t="s">
        <v>20</v>
      </c>
      <c r="F419" s="10" t="s">
        <v>196</v>
      </c>
      <c r="G419" s="10" t="s">
        <v>16</v>
      </c>
      <c r="H419" s="10" t="s">
        <v>236</v>
      </c>
      <c r="I419" s="10" t="s">
        <v>240</v>
      </c>
      <c r="J419" s="10" t="s">
        <v>136</v>
      </c>
      <c r="K419" s="10" t="s">
        <v>199</v>
      </c>
      <c r="L419" s="10" t="s">
        <v>1575</v>
      </c>
      <c r="M419" s="9">
        <v>45832</v>
      </c>
      <c r="N419" s="9"/>
      <c r="O419" s="9">
        <v>46001</v>
      </c>
      <c r="P419" s="11">
        <v>25</v>
      </c>
      <c r="Q419" s="12">
        <v>27556514</v>
      </c>
      <c r="R419">
        <v>31993112.754000001</v>
      </c>
      <c r="S419" s="22">
        <v>7.0000000000000007E-2</v>
      </c>
      <c r="T419" s="22">
        <v>0.08</v>
      </c>
      <c r="U419" s="12">
        <v>27677762.66</v>
      </c>
      <c r="V419" s="24">
        <v>32133882.448260002</v>
      </c>
      <c r="W419" s="8">
        <v>23465561.510000002</v>
      </c>
      <c r="X419" s="24">
        <v>27243516.913110003</v>
      </c>
      <c r="Y419" s="22">
        <v>0.16</v>
      </c>
      <c r="Z419" s="22">
        <v>0.1</v>
      </c>
      <c r="AA419" s="8" t="s">
        <v>1576</v>
      </c>
      <c r="AB419" s="8">
        <v>4002829.28</v>
      </c>
      <c r="AC419" s="24">
        <v>4647284.7940799994</v>
      </c>
      <c r="AD419" s="8"/>
      <c r="AE419" s="24"/>
      <c r="AF419" s="8">
        <v>45</v>
      </c>
      <c r="AG419" s="8">
        <v>36</v>
      </c>
      <c r="AH419" s="8" t="s">
        <v>376</v>
      </c>
      <c r="AI419" s="8" t="s">
        <v>455</v>
      </c>
      <c r="AJ419" s="22">
        <v>0.27</v>
      </c>
      <c r="AK419" s="8" t="s">
        <v>159</v>
      </c>
      <c r="AL419" s="22">
        <v>0.15</v>
      </c>
      <c r="AM419" s="22">
        <v>0.02</v>
      </c>
      <c r="AN419" s="8">
        <v>5</v>
      </c>
      <c r="AO419" s="8">
        <v>72</v>
      </c>
      <c r="AP419" s="8">
        <v>3333414.26</v>
      </c>
      <c r="AQ419" s="24">
        <v>3870093.9558599996</v>
      </c>
      <c r="AR419" s="8">
        <v>10519862.17</v>
      </c>
      <c r="AS419" s="37">
        <v>12213559.97937</v>
      </c>
      <c r="AT419" s="8" t="s">
        <v>73</v>
      </c>
      <c r="AU419" s="8" t="s">
        <v>332</v>
      </c>
      <c r="AV419" s="8">
        <v>96.4</v>
      </c>
      <c r="AW419" s="8">
        <v>48</v>
      </c>
      <c r="AX419" s="8" t="s">
        <v>387</v>
      </c>
      <c r="AY419" s="8" t="s">
        <v>224</v>
      </c>
      <c r="AZ419" s="8" t="s">
        <v>324</v>
      </c>
      <c r="BA419" s="21" t="str">
        <f>IF(OR(tblsales[[#This Row],[Invoice Value USD]]="",tblsales[[#This Row],[Collected Amount USD]]=""),"",tblsales[[#This Row],[Invoice Value USD]]-tblsales[[#This Row],[Collected Amount USD]])</f>
        <v/>
      </c>
      <c r="BB419" s="21">
        <f>IF(OR(tblsales[[#This Row],[Contract Value USD]]="",tblsales[[#This Row],[Cost Estimate USD]]=""),"",tblsales[[#This Row],[Contract Value USD]]-tblsales[[#This Row],[Cost Estimate USD]])</f>
        <v>4890365.535149999</v>
      </c>
      <c r="BC419" s="21">
        <f>IF(OR(tblsales[[#This Row],[Contract Value USD]]="",tblsales[[#This Row],[Cost Estimate USD]]=""),"",tblsales[[#This Row],[Contract Value USD]]-tblsales[[#This Row],[Cost Estimate USD]])</f>
        <v>4890365.535149999</v>
      </c>
      <c r="BD419" s="23">
        <f>IF(tblsales[[#This Row],[Invoice Value USD]]="","",tblsales[[#This Row],[Collected Amount USD]]/tblsales[[#This Row],[Invoice Value USD]])</f>
        <v>0</v>
      </c>
      <c r="BE419" s="11">
        <f>IF(tblsales[[#This Row],[SalesStage]]="Won",1,0)</f>
        <v>0</v>
      </c>
      <c r="BF419" s="21" t="str">
        <f>IF(tblsales[[#This Row],[Win Flag]]=1,"Won","Lost")</f>
        <v>Lost</v>
      </c>
      <c r="BG419" s="8"/>
    </row>
    <row r="420" spans="1:59" x14ac:dyDescent="0.3">
      <c r="A420" s="10" t="s">
        <v>1577</v>
      </c>
      <c r="B420" s="9">
        <v>45934</v>
      </c>
      <c r="C420" s="10" t="s">
        <v>241</v>
      </c>
      <c r="D420" s="10" t="s">
        <v>242</v>
      </c>
      <c r="E420" s="10" t="s">
        <v>332</v>
      </c>
      <c r="F420" s="10" t="s">
        <v>339</v>
      </c>
      <c r="G420" s="10" t="s">
        <v>73</v>
      </c>
      <c r="H420" s="10" t="s">
        <v>263</v>
      </c>
      <c r="I420" s="10" t="s">
        <v>203</v>
      </c>
      <c r="J420" s="10" t="s">
        <v>130</v>
      </c>
      <c r="K420" s="10" t="s">
        <v>221</v>
      </c>
      <c r="L420" s="10" t="s">
        <v>1578</v>
      </c>
      <c r="M420" s="9">
        <v>45922</v>
      </c>
      <c r="N420" s="9"/>
      <c r="O420" s="9">
        <v>46035</v>
      </c>
      <c r="P420" s="11">
        <v>17</v>
      </c>
      <c r="Q420" s="12">
        <v>1353844</v>
      </c>
      <c r="R420">
        <v>371900.94679999998</v>
      </c>
      <c r="S420" s="22">
        <v>0.3</v>
      </c>
      <c r="T420" s="22">
        <v>-0.04</v>
      </c>
      <c r="U420" s="12">
        <v>909783.17</v>
      </c>
      <c r="V420" s="24">
        <v>249917.43679900002</v>
      </c>
      <c r="W420" s="8">
        <v>705586.75</v>
      </c>
      <c r="X420" s="24">
        <v>193824.68022499999</v>
      </c>
      <c r="Y420" s="22">
        <v>0.1</v>
      </c>
      <c r="Z420" s="22">
        <v>0.08</v>
      </c>
      <c r="AA420" s="8" t="s">
        <v>1579</v>
      </c>
      <c r="AB420" s="8">
        <v>277562.7</v>
      </c>
      <c r="AC420" s="24">
        <v>76246.473689999999</v>
      </c>
      <c r="AD420" s="8">
        <v>221397.26</v>
      </c>
      <c r="AE420" s="24">
        <v>60817.827322000005</v>
      </c>
      <c r="AF420" s="8">
        <v>60</v>
      </c>
      <c r="AG420" s="8">
        <v>63</v>
      </c>
      <c r="AH420" s="8" t="s">
        <v>353</v>
      </c>
      <c r="AI420" s="8" t="s">
        <v>320</v>
      </c>
      <c r="AJ420" s="22">
        <v>0.33</v>
      </c>
      <c r="AK420" s="8" t="s">
        <v>155</v>
      </c>
      <c r="AL420" s="22">
        <v>0.15</v>
      </c>
      <c r="AM420" s="22">
        <v>0.04</v>
      </c>
      <c r="AN420" s="8">
        <v>4</v>
      </c>
      <c r="AO420" s="8">
        <v>3307</v>
      </c>
      <c r="AP420" s="8">
        <v>21070.93</v>
      </c>
      <c r="AQ420" s="24">
        <v>5788.1844710000005</v>
      </c>
      <c r="AR420" s="8">
        <v>292058.45</v>
      </c>
      <c r="AS420" s="37">
        <v>80228.456214999998</v>
      </c>
      <c r="AT420" s="8" t="s">
        <v>343</v>
      </c>
      <c r="AU420" s="8" t="s">
        <v>356</v>
      </c>
      <c r="AV420" s="8">
        <v>95.2</v>
      </c>
      <c r="AW420" s="8">
        <v>48</v>
      </c>
      <c r="AX420" s="8" t="s">
        <v>332</v>
      </c>
      <c r="AY420" s="8" t="s">
        <v>186</v>
      </c>
      <c r="AZ420" s="8" t="s">
        <v>332</v>
      </c>
      <c r="BA420" s="21">
        <f>IF(OR(tblsales[[#This Row],[Invoice Value USD]]="",tblsales[[#This Row],[Collected Amount USD]]=""),"",tblsales[[#This Row],[Invoice Value USD]]-tblsales[[#This Row],[Collected Amount USD]])</f>
        <v>15428.646367999994</v>
      </c>
      <c r="BB420" s="21">
        <f>IF(OR(tblsales[[#This Row],[Contract Value USD]]="",tblsales[[#This Row],[Cost Estimate USD]]=""),"",tblsales[[#This Row],[Contract Value USD]]-tblsales[[#This Row],[Cost Estimate USD]])</f>
        <v>56092.756574000028</v>
      </c>
      <c r="BC420" s="21">
        <f>IF(OR(tblsales[[#This Row],[Contract Value USD]]="",tblsales[[#This Row],[Cost Estimate USD]]=""),"",tblsales[[#This Row],[Contract Value USD]]-tblsales[[#This Row],[Cost Estimate USD]])</f>
        <v>56092.756574000028</v>
      </c>
      <c r="BD420" s="23">
        <f>IF(tblsales[[#This Row],[Invoice Value USD]]="","",tblsales[[#This Row],[Collected Amount USD]]/tblsales[[#This Row],[Invoice Value USD]])</f>
        <v>0.79764773869111383</v>
      </c>
      <c r="BE420" s="11">
        <f>IF(tblsales[[#This Row],[SalesStage]]="Won",1,0)</f>
        <v>1</v>
      </c>
      <c r="BF420" s="21" t="str">
        <f>IF(tblsales[[#This Row],[Win Flag]]=1,"Won","Lost")</f>
        <v>Won</v>
      </c>
      <c r="BG420" s="8"/>
    </row>
    <row r="421" spans="1:59" x14ac:dyDescent="0.3">
      <c r="A421" s="10" t="s">
        <v>1580</v>
      </c>
      <c r="B421" s="9">
        <v>45753</v>
      </c>
      <c r="C421" s="10" t="s">
        <v>260</v>
      </c>
      <c r="D421" s="10" t="s">
        <v>248</v>
      </c>
      <c r="E421" s="10" t="s">
        <v>20</v>
      </c>
      <c r="F421" s="10" t="s">
        <v>196</v>
      </c>
      <c r="G421" s="10" t="s">
        <v>57</v>
      </c>
      <c r="H421" s="10" t="s">
        <v>182</v>
      </c>
      <c r="I421" s="10" t="s">
        <v>198</v>
      </c>
      <c r="J421" s="10" t="s">
        <v>136</v>
      </c>
      <c r="K421" s="10" t="s">
        <v>326</v>
      </c>
      <c r="L421" s="10" t="s">
        <v>1581</v>
      </c>
      <c r="M421" s="9">
        <v>45703</v>
      </c>
      <c r="N421" s="9">
        <v>45758</v>
      </c>
      <c r="O421" s="9">
        <v>45854</v>
      </c>
      <c r="P421" s="11">
        <v>60</v>
      </c>
      <c r="Q421" s="12">
        <v>38848837</v>
      </c>
      <c r="R421">
        <v>38848837</v>
      </c>
      <c r="S421" s="22">
        <v>0.31</v>
      </c>
      <c r="T421" s="22">
        <v>-0.05</v>
      </c>
      <c r="U421" s="12">
        <v>25465412.649999999</v>
      </c>
      <c r="V421" s="24">
        <v>25465412.649999999</v>
      </c>
      <c r="W421" s="8">
        <v>16348897.4</v>
      </c>
      <c r="X421" s="24">
        <v>16348897.4</v>
      </c>
      <c r="Y421" s="22">
        <v>0.06</v>
      </c>
      <c r="Z421" s="22">
        <v>0.09</v>
      </c>
      <c r="AA421" s="8" t="s">
        <v>1582</v>
      </c>
      <c r="AB421" s="8">
        <v>10344982.189999999</v>
      </c>
      <c r="AC421" s="24">
        <v>10344982.189999999</v>
      </c>
      <c r="AD421" s="8">
        <v>11087742</v>
      </c>
      <c r="AE421" s="24">
        <v>11087742</v>
      </c>
      <c r="AF421" s="8">
        <v>120</v>
      </c>
      <c r="AG421" s="8">
        <v>164</v>
      </c>
      <c r="AH421" s="8" t="s">
        <v>376</v>
      </c>
      <c r="AI421" s="8" t="s">
        <v>406</v>
      </c>
      <c r="AJ421" s="22">
        <v>0.1</v>
      </c>
      <c r="AK421" s="8" t="s">
        <v>152</v>
      </c>
      <c r="AL421" s="22">
        <v>0.1</v>
      </c>
      <c r="AM421" s="22">
        <v>0.04</v>
      </c>
      <c r="AN421" s="8">
        <v>4</v>
      </c>
      <c r="AO421" s="8">
        <v>2432</v>
      </c>
      <c r="AP421" s="8">
        <v>3202564.82</v>
      </c>
      <c r="AQ421" s="24">
        <v>3202564.82</v>
      </c>
      <c r="AR421" s="8">
        <v>11303396.58</v>
      </c>
      <c r="AS421" s="37">
        <v>11303396.58</v>
      </c>
      <c r="AT421" s="8" t="s">
        <v>73</v>
      </c>
      <c r="AU421" s="8" t="s">
        <v>330</v>
      </c>
      <c r="AV421" s="8">
        <v>80.8</v>
      </c>
      <c r="AW421" s="8">
        <v>12</v>
      </c>
      <c r="AX421" s="8" t="s">
        <v>392</v>
      </c>
      <c r="AY421" s="8" t="s">
        <v>224</v>
      </c>
      <c r="AZ421" s="8" t="s">
        <v>188</v>
      </c>
      <c r="BA421" s="21">
        <f>IF(OR(tblsales[[#This Row],[Invoice Value USD]]="",tblsales[[#This Row],[Collected Amount USD]]=""),"",tblsales[[#This Row],[Invoice Value USD]]-tblsales[[#This Row],[Collected Amount USD]])</f>
        <v>-742759.81000000052</v>
      </c>
      <c r="BB421" s="21">
        <f>IF(OR(tblsales[[#This Row],[Contract Value USD]]="",tblsales[[#This Row],[Cost Estimate USD]]=""),"",tblsales[[#This Row],[Contract Value USD]]-tblsales[[#This Row],[Cost Estimate USD]])</f>
        <v>9116515.2499999981</v>
      </c>
      <c r="BC421" s="21">
        <f>IF(OR(tblsales[[#This Row],[Contract Value USD]]="",tblsales[[#This Row],[Cost Estimate USD]]=""),"",tblsales[[#This Row],[Contract Value USD]]-tblsales[[#This Row],[Cost Estimate USD]])</f>
        <v>9116515.2499999981</v>
      </c>
      <c r="BD421" s="23">
        <f>IF(tblsales[[#This Row],[Invoice Value USD]]="","",tblsales[[#This Row],[Collected Amount USD]]/tblsales[[#This Row],[Invoice Value USD]])</f>
        <v>1.0717990419275918</v>
      </c>
      <c r="BE421" s="11">
        <f>IF(tblsales[[#This Row],[SalesStage]]="Won",1,0)</f>
        <v>0</v>
      </c>
      <c r="BF421" s="21" t="str">
        <f>IF(tblsales[[#This Row],[Win Flag]]=1,"Won","Lost")</f>
        <v>Lost</v>
      </c>
      <c r="BG421" s="8"/>
    </row>
    <row r="422" spans="1:59" x14ac:dyDescent="0.3">
      <c r="A422" s="10" t="s">
        <v>1583</v>
      </c>
      <c r="B422" s="9">
        <v>45766</v>
      </c>
      <c r="C422" s="10" t="s">
        <v>252</v>
      </c>
      <c r="D422" s="10" t="s">
        <v>265</v>
      </c>
      <c r="E422" s="10" t="s">
        <v>41</v>
      </c>
      <c r="F422" s="10" t="s">
        <v>363</v>
      </c>
      <c r="G422" s="10" t="s">
        <v>57</v>
      </c>
      <c r="H422" s="10" t="s">
        <v>197</v>
      </c>
      <c r="I422" s="10" t="s">
        <v>213</v>
      </c>
      <c r="J422" s="10" t="s">
        <v>105</v>
      </c>
      <c r="K422" s="10" t="s">
        <v>223</v>
      </c>
      <c r="L422" s="10" t="s">
        <v>1584</v>
      </c>
      <c r="M422" s="9">
        <v>45963</v>
      </c>
      <c r="N422" s="9"/>
      <c r="O422" s="9">
        <v>45824</v>
      </c>
      <c r="P422" s="11">
        <v>24</v>
      </c>
      <c r="Q422" s="12">
        <v>20432083</v>
      </c>
      <c r="R422">
        <v>23721648.363000002</v>
      </c>
      <c r="S422" s="22"/>
      <c r="T422" s="22">
        <v>0.14000000000000001</v>
      </c>
      <c r="U422" s="12">
        <v>19099911.190000001</v>
      </c>
      <c r="V422" s="24">
        <v>22174996.891590003</v>
      </c>
      <c r="W422" s="8">
        <v>13128037.41</v>
      </c>
      <c r="X422" s="24">
        <v>15241651.433010001</v>
      </c>
      <c r="Y422" s="22">
        <v>0.13</v>
      </c>
      <c r="Z422" s="22">
        <v>0.06</v>
      </c>
      <c r="AA422" s="8" t="s">
        <v>1585</v>
      </c>
      <c r="AB422" s="8">
        <v>5401849.5700000003</v>
      </c>
      <c r="AC422" s="24">
        <v>6271547.3507700004</v>
      </c>
      <c r="AD422" s="8">
        <v>3584102.13</v>
      </c>
      <c r="AE422" s="24">
        <v>4161142.5729299998</v>
      </c>
      <c r="AF422" s="8">
        <v>45</v>
      </c>
      <c r="AG422" s="8">
        <v>79</v>
      </c>
      <c r="AH422" s="8" t="s">
        <v>376</v>
      </c>
      <c r="AI422" s="8" t="s">
        <v>336</v>
      </c>
      <c r="AJ422" s="22">
        <v>0.15</v>
      </c>
      <c r="AK422" s="8" t="s">
        <v>159</v>
      </c>
      <c r="AL422" s="22">
        <v>0.1</v>
      </c>
      <c r="AM422" s="22">
        <v>0.04</v>
      </c>
      <c r="AN422" s="8">
        <v>12</v>
      </c>
      <c r="AO422" s="8"/>
      <c r="AP422" s="8"/>
      <c r="AQ422" s="24"/>
      <c r="AR422" s="8">
        <v>6532940.2400000002</v>
      </c>
      <c r="AS422" s="37">
        <v>7584743.6186400009</v>
      </c>
      <c r="AT422" s="8" t="s">
        <v>343</v>
      </c>
      <c r="AU422" s="8" t="s">
        <v>356</v>
      </c>
      <c r="AV422" s="8">
        <v>90.5</v>
      </c>
      <c r="AW422" s="8">
        <v>60</v>
      </c>
      <c r="AX422" s="8" t="s">
        <v>323</v>
      </c>
      <c r="AY422" s="8" t="s">
        <v>206</v>
      </c>
      <c r="AZ422" s="8" t="s">
        <v>377</v>
      </c>
      <c r="BA422" s="21">
        <f>IF(OR(tblsales[[#This Row],[Invoice Value USD]]="",tblsales[[#This Row],[Collected Amount USD]]=""),"",tblsales[[#This Row],[Invoice Value USD]]-tblsales[[#This Row],[Collected Amount USD]])</f>
        <v>2110404.7778400006</v>
      </c>
      <c r="BB422" s="21">
        <f>IF(OR(tblsales[[#This Row],[Contract Value USD]]="",tblsales[[#This Row],[Cost Estimate USD]]=""),"",tblsales[[#This Row],[Contract Value USD]]-tblsales[[#This Row],[Cost Estimate USD]])</f>
        <v>6933345.4585800022</v>
      </c>
      <c r="BC422" s="21">
        <f>IF(OR(tblsales[[#This Row],[Contract Value USD]]="",tblsales[[#This Row],[Cost Estimate USD]]=""),"",tblsales[[#This Row],[Contract Value USD]]-tblsales[[#This Row],[Cost Estimate USD]])</f>
        <v>6933345.4585800022</v>
      </c>
      <c r="BD422" s="23">
        <f>IF(tblsales[[#This Row],[Invoice Value USD]]="","",tblsales[[#This Row],[Collected Amount USD]]/tblsales[[#This Row],[Invoice Value USD]])</f>
        <v>0.66349536090469097</v>
      </c>
      <c r="BE422" s="11">
        <f>IF(tblsales[[#This Row],[SalesStage]]="Won",1,0)</f>
        <v>0</v>
      </c>
      <c r="BF422" s="21" t="str">
        <f>IF(tblsales[[#This Row],[Win Flag]]=1,"Won","Lost")</f>
        <v>Lost</v>
      </c>
      <c r="BG422" s="8"/>
    </row>
    <row r="423" spans="1:59" x14ac:dyDescent="0.3">
      <c r="A423" s="10" t="s">
        <v>1586</v>
      </c>
      <c r="B423" s="9">
        <v>45729</v>
      </c>
      <c r="C423" s="10" t="s">
        <v>284</v>
      </c>
      <c r="D423" s="10" t="s">
        <v>190</v>
      </c>
      <c r="E423" s="10" t="s">
        <v>113</v>
      </c>
      <c r="F423" s="10" t="s">
        <v>367</v>
      </c>
      <c r="G423" s="10" t="s">
        <v>66</v>
      </c>
      <c r="H423" s="10" t="s">
        <v>212</v>
      </c>
      <c r="I423" s="10" t="s">
        <v>332</v>
      </c>
      <c r="J423" s="10" t="s">
        <v>111</v>
      </c>
      <c r="K423" s="10" t="s">
        <v>199</v>
      </c>
      <c r="L423" s="10" t="s">
        <v>1587</v>
      </c>
      <c r="M423" s="9">
        <v>45651</v>
      </c>
      <c r="N423" s="9"/>
      <c r="O423" s="9"/>
      <c r="P423" s="11">
        <v>45</v>
      </c>
      <c r="Q423" s="12">
        <v>8992735</v>
      </c>
      <c r="R423">
        <v>2448721.7404999998</v>
      </c>
      <c r="S423" s="22">
        <v>0.02</v>
      </c>
      <c r="T423" s="22">
        <v>-0.03</v>
      </c>
      <c r="U423" s="12">
        <v>8548493.8900000006</v>
      </c>
      <c r="V423" s="24">
        <v>2327754.8862470002</v>
      </c>
      <c r="W423" s="8">
        <v>5401561.3899999997</v>
      </c>
      <c r="X423" s="24">
        <v>1470845.1664969998</v>
      </c>
      <c r="Y423" s="22">
        <v>0.14000000000000001</v>
      </c>
      <c r="Z423" s="22">
        <v>0.11</v>
      </c>
      <c r="AA423" s="8" t="s">
        <v>1588</v>
      </c>
      <c r="AB423" s="8">
        <v>3799028.63</v>
      </c>
      <c r="AC423" s="24">
        <v>1034475.4959489999</v>
      </c>
      <c r="AD423" s="8">
        <v>3958925.75</v>
      </c>
      <c r="AE423" s="24">
        <v>1078015.4817249998</v>
      </c>
      <c r="AF423" s="8">
        <v>45</v>
      </c>
      <c r="AG423" s="8">
        <v>31</v>
      </c>
      <c r="AH423" s="8" t="s">
        <v>342</v>
      </c>
      <c r="AI423" s="8" t="s">
        <v>455</v>
      </c>
      <c r="AJ423" s="22">
        <v>0.39</v>
      </c>
      <c r="AK423" s="8" t="s">
        <v>153</v>
      </c>
      <c r="AL423" s="22">
        <v>0.05</v>
      </c>
      <c r="AM423" s="22">
        <v>0.06</v>
      </c>
      <c r="AN423" s="8">
        <v>12</v>
      </c>
      <c r="AO423" s="8">
        <v>187</v>
      </c>
      <c r="AP423" s="8">
        <v>1314813.6299999999</v>
      </c>
      <c r="AQ423" s="24">
        <v>358023.75144899997</v>
      </c>
      <c r="AR423" s="8">
        <v>1194908.54</v>
      </c>
      <c r="AS423" s="37">
        <v>325373.59544200002</v>
      </c>
      <c r="AT423" s="8" t="s">
        <v>321</v>
      </c>
      <c r="AU423" s="8" t="s">
        <v>322</v>
      </c>
      <c r="AV423" s="8">
        <v>74.400000000000006</v>
      </c>
      <c r="AW423" s="8">
        <v>36</v>
      </c>
      <c r="AX423" s="8" t="s">
        <v>337</v>
      </c>
      <c r="AY423" s="8" t="s">
        <v>206</v>
      </c>
      <c r="AZ423" s="8" t="s">
        <v>188</v>
      </c>
      <c r="BA423" s="21">
        <f>IF(OR(tblsales[[#This Row],[Invoice Value USD]]="",tblsales[[#This Row],[Collected Amount USD]]=""),"",tblsales[[#This Row],[Invoice Value USD]]-tblsales[[#This Row],[Collected Amount USD]])</f>
        <v>-43539.985775999958</v>
      </c>
      <c r="BB423" s="21">
        <f>IF(OR(tblsales[[#This Row],[Contract Value USD]]="",tblsales[[#This Row],[Cost Estimate USD]]=""),"",tblsales[[#This Row],[Contract Value USD]]-tblsales[[#This Row],[Cost Estimate USD]])</f>
        <v>856909.7197500004</v>
      </c>
      <c r="BC423" s="21">
        <f>IF(OR(tblsales[[#This Row],[Contract Value USD]]="",tblsales[[#This Row],[Cost Estimate USD]]=""),"",tblsales[[#This Row],[Contract Value USD]]-tblsales[[#This Row],[Cost Estimate USD]])</f>
        <v>856909.7197500004</v>
      </c>
      <c r="BD423" s="23">
        <f>IF(tblsales[[#This Row],[Invoice Value USD]]="","",tblsales[[#This Row],[Collected Amount USD]]/tblsales[[#This Row],[Invoice Value USD]])</f>
        <v>1.0420889484057403</v>
      </c>
      <c r="BE423" s="11">
        <f>IF(tblsales[[#This Row],[SalesStage]]="Won",1,0)</f>
        <v>0</v>
      </c>
      <c r="BF423" s="21" t="str">
        <f>IF(tblsales[[#This Row],[Win Flag]]=1,"Won","Lost")</f>
        <v>Lost</v>
      </c>
      <c r="BG423" s="8"/>
    </row>
    <row r="424" spans="1:59" x14ac:dyDescent="0.3">
      <c r="A424" s="10" t="s">
        <v>1589</v>
      </c>
      <c r="B424" s="9">
        <v>46036</v>
      </c>
      <c r="C424" s="10" t="s">
        <v>260</v>
      </c>
      <c r="D424" s="10" t="s">
        <v>242</v>
      </c>
      <c r="E424" s="10" t="s">
        <v>52</v>
      </c>
      <c r="F424" s="10" t="s">
        <v>75</v>
      </c>
      <c r="G424" s="10" t="s">
        <v>33</v>
      </c>
      <c r="H424" s="10" t="s">
        <v>236</v>
      </c>
      <c r="I424" s="10" t="s">
        <v>183</v>
      </c>
      <c r="J424" s="10" t="s">
        <v>133</v>
      </c>
      <c r="K424" s="10" t="s">
        <v>199</v>
      </c>
      <c r="L424" s="10" t="s">
        <v>1590</v>
      </c>
      <c r="M424" s="9">
        <v>45759</v>
      </c>
      <c r="N424" s="9"/>
      <c r="O424" s="9">
        <v>46058</v>
      </c>
      <c r="P424" s="11">
        <v>25</v>
      </c>
      <c r="Q424" s="12">
        <v>24927349</v>
      </c>
      <c r="R424">
        <v>6648123.9782999996</v>
      </c>
      <c r="S424" s="22">
        <v>0.13</v>
      </c>
      <c r="T424" s="22">
        <v>0.1</v>
      </c>
      <c r="U424" s="12">
        <v>23855472.989999998</v>
      </c>
      <c r="V424" s="24">
        <v>6362254.6464329995</v>
      </c>
      <c r="W424" s="8">
        <v>18709457.18</v>
      </c>
      <c r="X424" s="24">
        <v>4989812.2299060002</v>
      </c>
      <c r="Y424" s="22">
        <v>0.37</v>
      </c>
      <c r="Z424" s="22">
        <v>0.15</v>
      </c>
      <c r="AA424" s="8" t="s">
        <v>1591</v>
      </c>
      <c r="AB424" s="8">
        <v>1242601.98</v>
      </c>
      <c r="AC424" s="24">
        <v>331401.94806600001</v>
      </c>
      <c r="AD424" s="8">
        <v>819617.34</v>
      </c>
      <c r="AE424" s="24">
        <v>218591.944578</v>
      </c>
      <c r="AF424" s="8">
        <v>120</v>
      </c>
      <c r="AG424" s="8">
        <v>37</v>
      </c>
      <c r="AH424" s="8" t="s">
        <v>376</v>
      </c>
      <c r="AI424" s="8" t="s">
        <v>354</v>
      </c>
      <c r="AJ424" s="22">
        <v>0.26</v>
      </c>
      <c r="AK424" s="8" t="s">
        <v>162</v>
      </c>
      <c r="AL424" s="22">
        <v>0.1</v>
      </c>
      <c r="AM424" s="22">
        <v>0.08</v>
      </c>
      <c r="AN424" s="8">
        <v>11</v>
      </c>
      <c r="AO424" s="8">
        <v>3867</v>
      </c>
      <c r="AP424" s="8">
        <v>4645212.25</v>
      </c>
      <c r="AQ424" s="24">
        <v>1238878.1070749999</v>
      </c>
      <c r="AR424" s="8"/>
      <c r="AS424" s="37"/>
      <c r="AT424" s="8" t="s">
        <v>321</v>
      </c>
      <c r="AU424" s="8" t="s">
        <v>330</v>
      </c>
      <c r="AV424" s="8">
        <v>71</v>
      </c>
      <c r="AW424" s="8"/>
      <c r="AX424" s="8" t="s">
        <v>332</v>
      </c>
      <c r="AY424" s="8" t="s">
        <v>206</v>
      </c>
      <c r="AZ424" s="8" t="s">
        <v>188</v>
      </c>
      <c r="BA424" s="21">
        <f>IF(OR(tblsales[[#This Row],[Invoice Value USD]]="",tblsales[[#This Row],[Collected Amount USD]]=""),"",tblsales[[#This Row],[Invoice Value USD]]-tblsales[[#This Row],[Collected Amount USD]])</f>
        <v>112810.00348800002</v>
      </c>
      <c r="BB424" s="21">
        <f>IF(OR(tblsales[[#This Row],[Contract Value USD]]="",tblsales[[#This Row],[Cost Estimate USD]]=""),"",tblsales[[#This Row],[Contract Value USD]]-tblsales[[#This Row],[Cost Estimate USD]])</f>
        <v>1372442.4165269993</v>
      </c>
      <c r="BC424" s="21">
        <f>IF(OR(tblsales[[#This Row],[Contract Value USD]]="",tblsales[[#This Row],[Cost Estimate USD]]=""),"",tblsales[[#This Row],[Contract Value USD]]-tblsales[[#This Row],[Cost Estimate USD]])</f>
        <v>1372442.4165269993</v>
      </c>
      <c r="BD424" s="23">
        <f>IF(tblsales[[#This Row],[Invoice Value USD]]="","",tblsales[[#This Row],[Collected Amount USD]]/tblsales[[#This Row],[Invoice Value USD]])</f>
        <v>0.65959764525725284</v>
      </c>
      <c r="BE424" s="11">
        <f>IF(tblsales[[#This Row],[SalesStage]]="Won",1,0)</f>
        <v>0</v>
      </c>
      <c r="BF424" s="21" t="str">
        <f>IF(tblsales[[#This Row],[Win Flag]]=1,"Won","Lost")</f>
        <v>Lost</v>
      </c>
      <c r="BG424" s="8"/>
    </row>
    <row r="425" spans="1:59" x14ac:dyDescent="0.3">
      <c r="A425" s="10" t="s">
        <v>1592</v>
      </c>
      <c r="B425" s="9">
        <v>45686</v>
      </c>
      <c r="C425" s="10" t="s">
        <v>278</v>
      </c>
      <c r="D425" s="10" t="s">
        <v>220</v>
      </c>
      <c r="E425" s="10" t="s">
        <v>41</v>
      </c>
      <c r="F425" s="10" t="s">
        <v>228</v>
      </c>
      <c r="G425" s="10" t="s">
        <v>78</v>
      </c>
      <c r="H425" s="10" t="s">
        <v>182</v>
      </c>
      <c r="I425" s="10" t="s">
        <v>203</v>
      </c>
      <c r="J425" s="10" t="s">
        <v>105</v>
      </c>
      <c r="K425" s="10" t="s">
        <v>199</v>
      </c>
      <c r="L425" s="10" t="s">
        <v>1593</v>
      </c>
      <c r="M425" s="9">
        <v>45611</v>
      </c>
      <c r="N425" s="9" t="s">
        <v>1594</v>
      </c>
      <c r="O425" s="9"/>
      <c r="P425" s="11">
        <v>12</v>
      </c>
      <c r="Q425" s="12">
        <v>27498507</v>
      </c>
      <c r="R425">
        <v>27498507</v>
      </c>
      <c r="S425" s="22">
        <v>0.24</v>
      </c>
      <c r="T425" s="22">
        <v>0.15</v>
      </c>
      <c r="U425" s="12">
        <v>24033695.120000001</v>
      </c>
      <c r="V425" s="24">
        <v>24033695.120000001</v>
      </c>
      <c r="W425" s="8">
        <v>15808632.550000001</v>
      </c>
      <c r="X425" s="24">
        <v>15808632.550000001</v>
      </c>
      <c r="Y425" s="22"/>
      <c r="Z425" s="22">
        <v>0.19</v>
      </c>
      <c r="AA425" s="8" t="s">
        <v>1595</v>
      </c>
      <c r="AB425" s="8">
        <v>13968514.380000001</v>
      </c>
      <c r="AC425" s="24">
        <v>13968514.380000001</v>
      </c>
      <c r="AD425" s="8">
        <v>5932480.1600000001</v>
      </c>
      <c r="AE425" s="24">
        <v>5932480.1600000001</v>
      </c>
      <c r="AF425" s="8">
        <v>45</v>
      </c>
      <c r="AG425" s="8">
        <v>18</v>
      </c>
      <c r="AH425" s="8" t="s">
        <v>353</v>
      </c>
      <c r="AI425" s="8" t="s">
        <v>354</v>
      </c>
      <c r="AJ425" s="22">
        <v>0.68</v>
      </c>
      <c r="AK425" s="8" t="s">
        <v>152</v>
      </c>
      <c r="AL425" s="22">
        <v>0.1</v>
      </c>
      <c r="AM425" s="22">
        <v>0.05</v>
      </c>
      <c r="AN425" s="8">
        <v>14</v>
      </c>
      <c r="AO425" s="8">
        <v>1226</v>
      </c>
      <c r="AP425" s="8">
        <v>4366897.71</v>
      </c>
      <c r="AQ425" s="24">
        <v>4366897.71</v>
      </c>
      <c r="AR425" s="8"/>
      <c r="AS425" s="37"/>
      <c r="AT425" s="8" t="s">
        <v>332</v>
      </c>
      <c r="AU425" s="8" t="s">
        <v>322</v>
      </c>
      <c r="AV425" s="8">
        <v>66.8</v>
      </c>
      <c r="AW425" s="8">
        <v>48</v>
      </c>
      <c r="AX425" s="8" t="s">
        <v>332</v>
      </c>
      <c r="AY425" s="8" t="s">
        <v>206</v>
      </c>
      <c r="AZ425" s="8" t="s">
        <v>332</v>
      </c>
      <c r="BA425" s="21">
        <f>IF(OR(tblsales[[#This Row],[Invoice Value USD]]="",tblsales[[#This Row],[Collected Amount USD]]=""),"",tblsales[[#This Row],[Invoice Value USD]]-tblsales[[#This Row],[Collected Amount USD]])</f>
        <v>8036034.2200000007</v>
      </c>
      <c r="BB425" s="21">
        <f>IF(OR(tblsales[[#This Row],[Contract Value USD]]="",tblsales[[#This Row],[Cost Estimate USD]]=""),"",tblsales[[#This Row],[Contract Value USD]]-tblsales[[#This Row],[Cost Estimate USD]])</f>
        <v>8225062.5700000003</v>
      </c>
      <c r="BC425" s="21">
        <f>IF(OR(tblsales[[#This Row],[Contract Value USD]]="",tblsales[[#This Row],[Cost Estimate USD]]=""),"",tblsales[[#This Row],[Contract Value USD]]-tblsales[[#This Row],[Cost Estimate USD]])</f>
        <v>8225062.5700000003</v>
      </c>
      <c r="BD425" s="23">
        <f>IF(tblsales[[#This Row],[Invoice Value USD]]="","",tblsales[[#This Row],[Collected Amount USD]]/tblsales[[#This Row],[Invoice Value USD]])</f>
        <v>0.42470373001828127</v>
      </c>
      <c r="BE425" s="11">
        <f>IF(tblsales[[#This Row],[SalesStage]]="Won",1,0)</f>
        <v>0</v>
      </c>
      <c r="BF425" s="21" t="str">
        <f>IF(tblsales[[#This Row],[Win Flag]]=1,"Won","Lost")</f>
        <v>Lost</v>
      </c>
      <c r="BG425" s="8"/>
    </row>
    <row r="426" spans="1:59" x14ac:dyDescent="0.3">
      <c r="A426" s="10" t="s">
        <v>1596</v>
      </c>
      <c r="B426" s="9">
        <v>45764</v>
      </c>
      <c r="C426" s="10" t="s">
        <v>252</v>
      </c>
      <c r="D426" s="10" t="s">
        <v>265</v>
      </c>
      <c r="E426" s="10" t="s">
        <v>52</v>
      </c>
      <c r="F426" s="10" t="s">
        <v>75</v>
      </c>
      <c r="G426" s="10" t="s">
        <v>46</v>
      </c>
      <c r="H426" s="10" t="s">
        <v>216</v>
      </c>
      <c r="I426" s="10" t="s">
        <v>198</v>
      </c>
      <c r="J426" s="10" t="s">
        <v>119</v>
      </c>
      <c r="K426" s="10" t="s">
        <v>221</v>
      </c>
      <c r="L426" s="10" t="s">
        <v>1597</v>
      </c>
      <c r="M426" s="9">
        <v>45707</v>
      </c>
      <c r="N426" s="9">
        <v>45795</v>
      </c>
      <c r="O426" s="9">
        <v>45834</v>
      </c>
      <c r="P426" s="11">
        <v>54</v>
      </c>
      <c r="Q426" s="12">
        <v>8710071</v>
      </c>
      <c r="R426">
        <v>10112392.431</v>
      </c>
      <c r="S426" s="22">
        <v>0.34</v>
      </c>
      <c r="T426" s="22">
        <v>0.14000000000000001</v>
      </c>
      <c r="U426" s="12">
        <v>6553457.4199999999</v>
      </c>
      <c r="V426" s="24">
        <v>7608564.0646200003</v>
      </c>
      <c r="W426" s="8">
        <v>4893484.25</v>
      </c>
      <c r="X426" s="24">
        <v>5681335.2142500002</v>
      </c>
      <c r="Y426" s="22">
        <v>0.28999999999999998</v>
      </c>
      <c r="Z426" s="22">
        <v>0.1</v>
      </c>
      <c r="AA426" s="8"/>
      <c r="AB426" s="8">
        <v>3309933.37</v>
      </c>
      <c r="AC426" s="24">
        <v>3842832.6425700001</v>
      </c>
      <c r="AD426" s="8">
        <v>1675765.51</v>
      </c>
      <c r="AE426" s="24">
        <v>1945563.7571100001</v>
      </c>
      <c r="AF426" s="8">
        <v>90</v>
      </c>
      <c r="AG426" s="8">
        <v>169</v>
      </c>
      <c r="AH426" s="8" t="s">
        <v>347</v>
      </c>
      <c r="AI426" s="8" t="s">
        <v>406</v>
      </c>
      <c r="AJ426" s="22">
        <v>0.56999999999999995</v>
      </c>
      <c r="AK426" s="8" t="s">
        <v>159</v>
      </c>
      <c r="AL426" s="22">
        <v>0.15</v>
      </c>
      <c r="AM426" s="22">
        <v>0.05</v>
      </c>
      <c r="AN426" s="8">
        <v>10</v>
      </c>
      <c r="AO426" s="8">
        <v>2414</v>
      </c>
      <c r="AP426" s="8">
        <v>371848.6</v>
      </c>
      <c r="AQ426" s="24">
        <v>431716.22459999996</v>
      </c>
      <c r="AR426" s="8">
        <v>2758139.4</v>
      </c>
      <c r="AS426" s="37">
        <v>3202199.8434000001</v>
      </c>
      <c r="AT426" s="8" t="s">
        <v>73</v>
      </c>
      <c r="AU426" s="8" t="s">
        <v>332</v>
      </c>
      <c r="AV426" s="8">
        <v>73.5</v>
      </c>
      <c r="AW426" s="8">
        <v>36</v>
      </c>
      <c r="AX426" s="8" t="s">
        <v>387</v>
      </c>
      <c r="AY426" s="8" t="s">
        <v>192</v>
      </c>
      <c r="AZ426" s="8" t="s">
        <v>188</v>
      </c>
      <c r="BA426" s="21">
        <f>IF(OR(tblsales[[#This Row],[Invoice Value USD]]="",tblsales[[#This Row],[Collected Amount USD]]=""),"",tblsales[[#This Row],[Invoice Value USD]]-tblsales[[#This Row],[Collected Amount USD]])</f>
        <v>1897268.88546</v>
      </c>
      <c r="BB426" s="21">
        <f>IF(OR(tblsales[[#This Row],[Contract Value USD]]="",tblsales[[#This Row],[Cost Estimate USD]]=""),"",tblsales[[#This Row],[Contract Value USD]]-tblsales[[#This Row],[Cost Estimate USD]])</f>
        <v>1927228.8503700001</v>
      </c>
      <c r="BC426" s="21">
        <f>IF(OR(tblsales[[#This Row],[Contract Value USD]]="",tblsales[[#This Row],[Cost Estimate USD]]=""),"",tblsales[[#This Row],[Contract Value USD]]-tblsales[[#This Row],[Cost Estimate USD]])</f>
        <v>1927228.8503700001</v>
      </c>
      <c r="BD426" s="23">
        <f>IF(tblsales[[#This Row],[Invoice Value USD]]="","",tblsales[[#This Row],[Collected Amount USD]]/tblsales[[#This Row],[Invoice Value USD]])</f>
        <v>0.5062837594220212</v>
      </c>
      <c r="BE426" s="11">
        <f>IF(tblsales[[#This Row],[SalesStage]]="Won",1,0)</f>
        <v>0</v>
      </c>
      <c r="BF426" s="21" t="str">
        <f>IF(tblsales[[#This Row],[Win Flag]]=1,"Won","Lost")</f>
        <v>Lost</v>
      </c>
      <c r="BG426" s="8"/>
    </row>
    <row r="427" spans="1:59" x14ac:dyDescent="0.3">
      <c r="A427" s="10" t="s">
        <v>1598</v>
      </c>
      <c r="B427" s="9">
        <v>45869</v>
      </c>
      <c r="C427" s="10" t="s">
        <v>279</v>
      </c>
      <c r="D427" s="10" t="s">
        <v>215</v>
      </c>
      <c r="E427" s="10" t="s">
        <v>332</v>
      </c>
      <c r="F427" s="10" t="s">
        <v>332</v>
      </c>
      <c r="G427" s="10" t="s">
        <v>66</v>
      </c>
      <c r="H427" s="10" t="s">
        <v>182</v>
      </c>
      <c r="I427" s="10" t="s">
        <v>183</v>
      </c>
      <c r="J427" s="10" t="s">
        <v>130</v>
      </c>
      <c r="K427" s="10" t="s">
        <v>204</v>
      </c>
      <c r="L427" s="10" t="s">
        <v>1599</v>
      </c>
      <c r="M427" s="9">
        <v>45998</v>
      </c>
      <c r="N427" s="9">
        <v>45888</v>
      </c>
      <c r="O427" s="9">
        <v>45983</v>
      </c>
      <c r="P427" s="11">
        <v>14</v>
      </c>
      <c r="Q427" s="12">
        <v>39028817</v>
      </c>
      <c r="R427">
        <v>45312456.537</v>
      </c>
      <c r="S427" s="22">
        <v>0.05</v>
      </c>
      <c r="T427" s="22">
        <v>0.09</v>
      </c>
      <c r="U427" s="12">
        <v>40414340</v>
      </c>
      <c r="V427" s="24">
        <v>46921048.740000002</v>
      </c>
      <c r="W427" s="8">
        <v>26623555.879999999</v>
      </c>
      <c r="X427" s="24">
        <v>30909948.376679998</v>
      </c>
      <c r="Y427" s="22">
        <v>0.21</v>
      </c>
      <c r="Z427" s="22">
        <v>0.2</v>
      </c>
      <c r="AA427" s="8" t="s">
        <v>1600</v>
      </c>
      <c r="AB427" s="8">
        <v>13253574.99</v>
      </c>
      <c r="AC427" s="24">
        <v>15387400.56339</v>
      </c>
      <c r="AD427" s="8">
        <v>9636217.1699999999</v>
      </c>
      <c r="AE427" s="24">
        <v>11187648.134370001</v>
      </c>
      <c r="AF427" s="8">
        <v>60</v>
      </c>
      <c r="AG427" s="8">
        <v>29</v>
      </c>
      <c r="AH427" s="8" t="s">
        <v>332</v>
      </c>
      <c r="AI427" s="8" t="s">
        <v>381</v>
      </c>
      <c r="AJ427" s="22">
        <v>0.18</v>
      </c>
      <c r="AK427" s="8" t="s">
        <v>159</v>
      </c>
      <c r="AL427" s="22">
        <v>0.15</v>
      </c>
      <c r="AM427" s="22">
        <v>0.01</v>
      </c>
      <c r="AN427" s="8">
        <v>13</v>
      </c>
      <c r="AO427" s="8">
        <v>4046</v>
      </c>
      <c r="AP427" s="8">
        <v>5117968.6500000004</v>
      </c>
      <c r="AQ427" s="24">
        <v>5941961.6026500007</v>
      </c>
      <c r="AR427" s="8">
        <v>10080634.630000001</v>
      </c>
      <c r="AS427" s="37">
        <v>11703616.805430001</v>
      </c>
      <c r="AT427" s="8" t="s">
        <v>355</v>
      </c>
      <c r="AU427" s="8" t="s">
        <v>356</v>
      </c>
      <c r="AV427" s="8">
        <v>85</v>
      </c>
      <c r="AW427" s="8">
        <v>36</v>
      </c>
      <c r="AX427" s="8" t="s">
        <v>323</v>
      </c>
      <c r="AY427" s="8" t="s">
        <v>206</v>
      </c>
      <c r="AZ427" s="8" t="s">
        <v>357</v>
      </c>
      <c r="BA427" s="21">
        <f>IF(OR(tblsales[[#This Row],[Invoice Value USD]]="",tblsales[[#This Row],[Collected Amount USD]]=""),"",tblsales[[#This Row],[Invoice Value USD]]-tblsales[[#This Row],[Collected Amount USD]])</f>
        <v>4199752.4290199988</v>
      </c>
      <c r="BB427" s="21">
        <f>IF(OR(tblsales[[#This Row],[Contract Value USD]]="",tblsales[[#This Row],[Cost Estimate USD]]=""),"",tblsales[[#This Row],[Contract Value USD]]-tblsales[[#This Row],[Cost Estimate USD]])</f>
        <v>16011100.363320004</v>
      </c>
      <c r="BC427" s="21">
        <f>IF(OR(tblsales[[#This Row],[Contract Value USD]]="",tblsales[[#This Row],[Cost Estimate USD]]=""),"",tblsales[[#This Row],[Contract Value USD]]-tblsales[[#This Row],[Cost Estimate USD]])</f>
        <v>16011100.363320004</v>
      </c>
      <c r="BD427" s="23">
        <f>IF(tblsales[[#This Row],[Invoice Value USD]]="","",tblsales[[#This Row],[Collected Amount USD]]/tblsales[[#This Row],[Invoice Value USD]])</f>
        <v>0.72706550325256813</v>
      </c>
      <c r="BE427" s="11">
        <f>IF(tblsales[[#This Row],[SalesStage]]="Won",1,0)</f>
        <v>0</v>
      </c>
      <c r="BF427" s="21" t="str">
        <f>IF(tblsales[[#This Row],[Win Flag]]=1,"Won","Lost")</f>
        <v>Lost</v>
      </c>
      <c r="BG427" s="8"/>
    </row>
    <row r="428" spans="1:59" x14ac:dyDescent="0.3">
      <c r="A428" s="10" t="s">
        <v>1601</v>
      </c>
      <c r="B428" s="9">
        <v>45929</v>
      </c>
      <c r="C428" s="10" t="s">
        <v>254</v>
      </c>
      <c r="D428" s="10" t="s">
        <v>202</v>
      </c>
      <c r="E428" s="10" t="s">
        <v>113</v>
      </c>
      <c r="F428" s="10" t="s">
        <v>181</v>
      </c>
      <c r="G428" s="10" t="s">
        <v>62</v>
      </c>
      <c r="H428" s="10" t="s">
        <v>332</v>
      </c>
      <c r="I428" s="10" t="s">
        <v>183</v>
      </c>
      <c r="J428" s="10" t="s">
        <v>123</v>
      </c>
      <c r="K428" s="10" t="s">
        <v>204</v>
      </c>
      <c r="L428" s="10" t="s">
        <v>1602</v>
      </c>
      <c r="M428" s="9">
        <v>45853</v>
      </c>
      <c r="N428" s="9"/>
      <c r="O428" s="9"/>
      <c r="P428" s="11">
        <v>59</v>
      </c>
      <c r="Q428" s="12">
        <v>9189525</v>
      </c>
      <c r="R428">
        <v>2524362.5175000001</v>
      </c>
      <c r="S428" s="22">
        <v>0.04</v>
      </c>
      <c r="T428" s="22">
        <v>0.06</v>
      </c>
      <c r="U428" s="12">
        <v>9351260.6400000006</v>
      </c>
      <c r="V428" s="24">
        <v>2568791.2978080004</v>
      </c>
      <c r="W428" s="8">
        <v>6035907.7599999998</v>
      </c>
      <c r="X428" s="24">
        <v>1658063.861672</v>
      </c>
      <c r="Y428" s="22">
        <v>0.34</v>
      </c>
      <c r="Z428" s="22">
        <v>0.18</v>
      </c>
      <c r="AA428" s="8" t="s">
        <v>1603</v>
      </c>
      <c r="AB428" s="8">
        <v>5877633.4299999997</v>
      </c>
      <c r="AC428" s="24">
        <v>1614585.903221</v>
      </c>
      <c r="AD428" s="8">
        <v>6215405.6100000003</v>
      </c>
      <c r="AE428" s="24">
        <v>1707371.9210670001</v>
      </c>
      <c r="AF428" s="8">
        <v>45</v>
      </c>
      <c r="AG428" s="8">
        <v>63</v>
      </c>
      <c r="AH428" s="8" t="s">
        <v>347</v>
      </c>
      <c r="AI428" s="8" t="s">
        <v>320</v>
      </c>
      <c r="AJ428" s="22">
        <v>0.23</v>
      </c>
      <c r="AK428" s="8" t="s">
        <v>155</v>
      </c>
      <c r="AL428" s="22">
        <v>0.15</v>
      </c>
      <c r="AM428" s="22">
        <v>0.08</v>
      </c>
      <c r="AN428" s="8">
        <v>4</v>
      </c>
      <c r="AO428" s="8">
        <v>4459</v>
      </c>
      <c r="AP428" s="8">
        <v>2322439.71</v>
      </c>
      <c r="AQ428" s="24">
        <v>637974.18833699997</v>
      </c>
      <c r="AR428" s="8">
        <v>4111245.43</v>
      </c>
      <c r="AS428" s="37">
        <v>1129359.119621</v>
      </c>
      <c r="AT428" s="8" t="s">
        <v>391</v>
      </c>
      <c r="AU428" s="8" t="s">
        <v>356</v>
      </c>
      <c r="AV428" s="8">
        <v>64.599999999999994</v>
      </c>
      <c r="AW428" s="8">
        <v>48</v>
      </c>
      <c r="AX428" s="8" t="s">
        <v>392</v>
      </c>
      <c r="AY428" s="8" t="s">
        <v>229</v>
      </c>
      <c r="AZ428" s="8" t="s">
        <v>188</v>
      </c>
      <c r="BA428" s="21">
        <f>IF(OR(tblsales[[#This Row],[Invoice Value USD]]="",tblsales[[#This Row],[Collected Amount USD]]=""),"",tblsales[[#This Row],[Invoice Value USD]]-tblsales[[#This Row],[Collected Amount USD]])</f>
        <v>-92786.017846000148</v>
      </c>
      <c r="BB428" s="21">
        <f>IF(OR(tblsales[[#This Row],[Contract Value USD]]="",tblsales[[#This Row],[Cost Estimate USD]]=""),"",tblsales[[#This Row],[Contract Value USD]]-tblsales[[#This Row],[Cost Estimate USD]])</f>
        <v>910727.43613600032</v>
      </c>
      <c r="BC428" s="21">
        <f>IF(OR(tblsales[[#This Row],[Contract Value USD]]="",tblsales[[#This Row],[Cost Estimate USD]]=""),"",tblsales[[#This Row],[Contract Value USD]]-tblsales[[#This Row],[Cost Estimate USD]])</f>
        <v>910727.43613600032</v>
      </c>
      <c r="BD428" s="23">
        <f>IF(tblsales[[#This Row],[Invoice Value USD]]="","",tblsales[[#This Row],[Collected Amount USD]]/tblsales[[#This Row],[Invoice Value USD]])</f>
        <v>1.0574673776482859</v>
      </c>
      <c r="BE428" s="11">
        <f>IF(tblsales[[#This Row],[SalesStage]]="Won",1,0)</f>
        <v>1</v>
      </c>
      <c r="BF428" s="21" t="str">
        <f>IF(tblsales[[#This Row],[Win Flag]]=1,"Won","Lost")</f>
        <v>Won</v>
      </c>
      <c r="BG428" s="8"/>
    </row>
    <row r="429" spans="1:59" x14ac:dyDescent="0.3">
      <c r="A429" s="10" t="s">
        <v>1604</v>
      </c>
      <c r="B429" s="9">
        <v>45913</v>
      </c>
      <c r="C429" s="10" t="s">
        <v>273</v>
      </c>
      <c r="D429" s="10" t="s">
        <v>180</v>
      </c>
      <c r="E429" s="10" t="s">
        <v>113</v>
      </c>
      <c r="F429" s="10" t="s">
        <v>367</v>
      </c>
      <c r="G429" s="10" t="s">
        <v>57</v>
      </c>
      <c r="H429" s="10" t="s">
        <v>197</v>
      </c>
      <c r="I429" s="10" t="s">
        <v>233</v>
      </c>
      <c r="J429" s="10" t="s">
        <v>127</v>
      </c>
      <c r="K429" s="10" t="s">
        <v>184</v>
      </c>
      <c r="L429" s="10" t="s">
        <v>1605</v>
      </c>
      <c r="M429" s="9">
        <v>45894</v>
      </c>
      <c r="N429" s="9">
        <v>45667</v>
      </c>
      <c r="O429" s="9"/>
      <c r="P429" s="11">
        <v>60</v>
      </c>
      <c r="Q429" s="12">
        <v>48772164</v>
      </c>
      <c r="R429">
        <v>13397713.4508</v>
      </c>
      <c r="S429" s="22">
        <v>0.26</v>
      </c>
      <c r="T429" s="22">
        <v>-0.03</v>
      </c>
      <c r="U429" s="12">
        <v>35008659.32</v>
      </c>
      <c r="V429" s="24">
        <v>9616878.7152040005</v>
      </c>
      <c r="W429" s="8">
        <v>28261683.190000001</v>
      </c>
      <c r="X429" s="24">
        <v>7763484.3722930001</v>
      </c>
      <c r="Y429" s="22">
        <v>7.0000000000000007E-2</v>
      </c>
      <c r="Z429" s="22">
        <v>0.18</v>
      </c>
      <c r="AA429" s="8" t="s">
        <v>1606</v>
      </c>
      <c r="AB429" s="8">
        <v>7905608.9100000001</v>
      </c>
      <c r="AC429" s="24">
        <v>2171670.767577</v>
      </c>
      <c r="AD429" s="8">
        <v>2426876.88</v>
      </c>
      <c r="AE429" s="24">
        <v>666663.07893600001</v>
      </c>
      <c r="AF429" s="8">
        <v>60</v>
      </c>
      <c r="AG429" s="8">
        <v>164</v>
      </c>
      <c r="AH429" s="8" t="s">
        <v>329</v>
      </c>
      <c r="AI429" s="8" t="s">
        <v>455</v>
      </c>
      <c r="AJ429" s="22">
        <v>0.69</v>
      </c>
      <c r="AK429" s="8" t="s">
        <v>155</v>
      </c>
      <c r="AL429" s="22">
        <v>0.15</v>
      </c>
      <c r="AM429" s="22">
        <v>0.09</v>
      </c>
      <c r="AN429" s="8">
        <v>13</v>
      </c>
      <c r="AO429" s="8">
        <v>302</v>
      </c>
      <c r="AP429" s="8">
        <v>5837805.8300000001</v>
      </c>
      <c r="AQ429" s="24">
        <v>1603645.261501</v>
      </c>
      <c r="AR429" s="8"/>
      <c r="AS429" s="37"/>
      <c r="AT429" s="8" t="s">
        <v>332</v>
      </c>
      <c r="AU429" s="8" t="s">
        <v>322</v>
      </c>
      <c r="AV429" s="8">
        <v>86.7</v>
      </c>
      <c r="AW429" s="8"/>
      <c r="AX429" s="8" t="s">
        <v>387</v>
      </c>
      <c r="AY429" s="8" t="s">
        <v>224</v>
      </c>
      <c r="AZ429" s="8" t="s">
        <v>324</v>
      </c>
      <c r="BA429" s="21">
        <f>IF(OR(tblsales[[#This Row],[Invoice Value USD]]="",tblsales[[#This Row],[Collected Amount USD]]=""),"",tblsales[[#This Row],[Invoice Value USD]]-tblsales[[#This Row],[Collected Amount USD]])</f>
        <v>1505007.6886410001</v>
      </c>
      <c r="BB429" s="21">
        <f>IF(OR(tblsales[[#This Row],[Contract Value USD]]="",tblsales[[#This Row],[Cost Estimate USD]]=""),"",tblsales[[#This Row],[Contract Value USD]]-tblsales[[#This Row],[Cost Estimate USD]])</f>
        <v>1853394.3429110004</v>
      </c>
      <c r="BC429" s="21">
        <f>IF(OR(tblsales[[#This Row],[Contract Value USD]]="",tblsales[[#This Row],[Cost Estimate USD]]=""),"",tblsales[[#This Row],[Contract Value USD]]-tblsales[[#This Row],[Cost Estimate USD]])</f>
        <v>1853394.3429110004</v>
      </c>
      <c r="BD429" s="23">
        <f>IF(tblsales[[#This Row],[Invoice Value USD]]="","",tblsales[[#This Row],[Collected Amount USD]]/tblsales[[#This Row],[Invoice Value USD]])</f>
        <v>0.30698165158792307</v>
      </c>
      <c r="BE429" s="11">
        <f>IF(tblsales[[#This Row],[SalesStage]]="Won",1,0)</f>
        <v>0</v>
      </c>
      <c r="BF429" s="21" t="str">
        <f>IF(tblsales[[#This Row],[Win Flag]]=1,"Won","Lost")</f>
        <v>Lost</v>
      </c>
      <c r="BG429" s="8"/>
    </row>
    <row r="430" spans="1:59" x14ac:dyDescent="0.3">
      <c r="A430" s="10" t="s">
        <v>1607</v>
      </c>
      <c r="B430" s="9">
        <v>45827</v>
      </c>
      <c r="C430" s="10" t="s">
        <v>258</v>
      </c>
      <c r="D430" s="10" t="s">
        <v>202</v>
      </c>
      <c r="E430" s="10" t="s">
        <v>113</v>
      </c>
      <c r="F430" s="10" t="s">
        <v>367</v>
      </c>
      <c r="G430" s="10" t="s">
        <v>16</v>
      </c>
      <c r="H430" s="10" t="s">
        <v>263</v>
      </c>
      <c r="I430" s="10" t="s">
        <v>233</v>
      </c>
      <c r="J430" s="10" t="s">
        <v>111</v>
      </c>
      <c r="K430" s="10" t="s">
        <v>333</v>
      </c>
      <c r="L430" s="10" t="s">
        <v>1608</v>
      </c>
      <c r="M430" s="9">
        <v>45804</v>
      </c>
      <c r="N430" s="9">
        <v>45860</v>
      </c>
      <c r="O430" s="9">
        <v>45665</v>
      </c>
      <c r="P430" s="11"/>
      <c r="Q430" s="12">
        <v>13013241</v>
      </c>
      <c r="R430">
        <v>3543505.5242999997</v>
      </c>
      <c r="S430" s="22">
        <v>0.19</v>
      </c>
      <c r="T430" s="22">
        <v>0.11</v>
      </c>
      <c r="U430" s="12">
        <v>11700204.98</v>
      </c>
      <c r="V430" s="24">
        <v>3185965.8160540001</v>
      </c>
      <c r="W430" s="8">
        <v>10276909</v>
      </c>
      <c r="X430" s="24">
        <v>2798402.3207</v>
      </c>
      <c r="Y430" s="22">
        <v>0.33</v>
      </c>
      <c r="Z430" s="22">
        <v>0.2</v>
      </c>
      <c r="AA430" s="8" t="s">
        <v>1609</v>
      </c>
      <c r="AB430" s="8">
        <v>3314368.48</v>
      </c>
      <c r="AC430" s="24">
        <v>902502.53710399999</v>
      </c>
      <c r="AD430" s="8">
        <v>2706450.27</v>
      </c>
      <c r="AE430" s="24">
        <v>736966.40852099995</v>
      </c>
      <c r="AF430" s="8">
        <v>90</v>
      </c>
      <c r="AG430" s="8">
        <v>80</v>
      </c>
      <c r="AH430" s="8" t="s">
        <v>342</v>
      </c>
      <c r="AI430" s="8" t="s">
        <v>336</v>
      </c>
      <c r="AJ430" s="22">
        <v>0.48</v>
      </c>
      <c r="AK430" s="8" t="s">
        <v>153</v>
      </c>
      <c r="AL430" s="22">
        <v>0.1</v>
      </c>
      <c r="AM430" s="22">
        <v>0.06</v>
      </c>
      <c r="AN430" s="8">
        <v>6</v>
      </c>
      <c r="AO430" s="8">
        <v>3602</v>
      </c>
      <c r="AP430" s="8">
        <v>2214192.73</v>
      </c>
      <c r="AQ430" s="24">
        <v>602924.68037899991</v>
      </c>
      <c r="AR430" s="8">
        <v>4277574.29</v>
      </c>
      <c r="AS430" s="37">
        <v>1164783.4791669999</v>
      </c>
      <c r="AT430" s="8" t="s">
        <v>332</v>
      </c>
      <c r="AU430" s="8" t="s">
        <v>321</v>
      </c>
      <c r="AV430" s="8"/>
      <c r="AW430" s="8">
        <v>12</v>
      </c>
      <c r="AX430" s="8" t="s">
        <v>323</v>
      </c>
      <c r="AY430" s="8" t="s">
        <v>186</v>
      </c>
      <c r="AZ430" s="8" t="s">
        <v>361</v>
      </c>
      <c r="BA430" s="21">
        <f>IF(OR(tblsales[[#This Row],[Invoice Value USD]]="",tblsales[[#This Row],[Collected Amount USD]]=""),"",tblsales[[#This Row],[Invoice Value USD]]-tblsales[[#This Row],[Collected Amount USD]])</f>
        <v>165536.12858300004</v>
      </c>
      <c r="BB430" s="21">
        <f>IF(OR(tblsales[[#This Row],[Contract Value USD]]="",tblsales[[#This Row],[Cost Estimate USD]]=""),"",tblsales[[#This Row],[Contract Value USD]]-tblsales[[#This Row],[Cost Estimate USD]])</f>
        <v>387563.49535400001</v>
      </c>
      <c r="BC430" s="21">
        <f>IF(OR(tblsales[[#This Row],[Contract Value USD]]="",tblsales[[#This Row],[Cost Estimate USD]]=""),"",tblsales[[#This Row],[Contract Value USD]]-tblsales[[#This Row],[Cost Estimate USD]])</f>
        <v>387563.49535400001</v>
      </c>
      <c r="BD430" s="23">
        <f>IF(tblsales[[#This Row],[Invoice Value USD]]="","",tblsales[[#This Row],[Collected Amount USD]]/tblsales[[#This Row],[Invoice Value USD]])</f>
        <v>0.81658098257077316</v>
      </c>
      <c r="BE430" s="11">
        <f>IF(tblsales[[#This Row],[SalesStage]]="Won",1,0)</f>
        <v>0</v>
      </c>
      <c r="BF430" s="21" t="str">
        <f>IF(tblsales[[#This Row],[Win Flag]]=1,"Won","Lost")</f>
        <v>Lost</v>
      </c>
      <c r="BG430" s="8"/>
    </row>
    <row r="431" spans="1:59" x14ac:dyDescent="0.3">
      <c r="A431" s="10" t="s">
        <v>1610</v>
      </c>
      <c r="B431" s="9">
        <v>45755</v>
      </c>
      <c r="C431" s="10" t="s">
        <v>214</v>
      </c>
      <c r="D431" s="10" t="s">
        <v>281</v>
      </c>
      <c r="E431" s="10" t="s">
        <v>52</v>
      </c>
      <c r="F431" s="10" t="s">
        <v>75</v>
      </c>
      <c r="G431" s="10" t="s">
        <v>62</v>
      </c>
      <c r="H431" s="10" t="s">
        <v>332</v>
      </c>
      <c r="I431" s="10" t="s">
        <v>240</v>
      </c>
      <c r="J431" s="10" t="s">
        <v>119</v>
      </c>
      <c r="K431" s="10" t="s">
        <v>223</v>
      </c>
      <c r="L431" s="10" t="s">
        <v>1611</v>
      </c>
      <c r="M431" s="9">
        <v>45676</v>
      </c>
      <c r="N431" s="9">
        <v>45782</v>
      </c>
      <c r="O431" s="9">
        <v>45722</v>
      </c>
      <c r="P431" s="11">
        <v>52</v>
      </c>
      <c r="Q431" s="12">
        <v>17351912</v>
      </c>
      <c r="R431">
        <v>4724925.6376</v>
      </c>
      <c r="S431" s="22">
        <v>0.13</v>
      </c>
      <c r="T431" s="22">
        <v>0.08</v>
      </c>
      <c r="U431" s="12">
        <v>16303856.52</v>
      </c>
      <c r="V431" s="24">
        <v>4439540.1303960001</v>
      </c>
      <c r="W431" s="8">
        <v>10523935.140000001</v>
      </c>
      <c r="X431" s="24">
        <v>2865667.5386219998</v>
      </c>
      <c r="Y431" s="22">
        <v>0.12</v>
      </c>
      <c r="Z431" s="22">
        <v>0.19</v>
      </c>
      <c r="AA431" s="8" t="s">
        <v>1612</v>
      </c>
      <c r="AB431" s="8">
        <v>8964725.8000000007</v>
      </c>
      <c r="AC431" s="24">
        <v>2441094.8353400002</v>
      </c>
      <c r="AD431" s="8">
        <v>5715780.1900000004</v>
      </c>
      <c r="AE431" s="24">
        <v>1556406.9457370001</v>
      </c>
      <c r="AF431" s="8">
        <v>90</v>
      </c>
      <c r="AG431" s="8">
        <v>39</v>
      </c>
      <c r="AH431" s="8" t="s">
        <v>353</v>
      </c>
      <c r="AI431" s="8" t="s">
        <v>455</v>
      </c>
      <c r="AJ431" s="22">
        <v>0.56000000000000005</v>
      </c>
      <c r="AK431" s="8" t="s">
        <v>153</v>
      </c>
      <c r="AL431" s="22">
        <v>0.05</v>
      </c>
      <c r="AM431" s="22">
        <v>0.04</v>
      </c>
      <c r="AN431" s="8">
        <v>7</v>
      </c>
      <c r="AO431" s="8">
        <v>1828</v>
      </c>
      <c r="AP431" s="8">
        <v>587190.65</v>
      </c>
      <c r="AQ431" s="24">
        <v>159892.01399499999</v>
      </c>
      <c r="AR431" s="8">
        <v>6447538.5</v>
      </c>
      <c r="AS431" s="37">
        <v>1755664.73355</v>
      </c>
      <c r="AT431" s="8" t="s">
        <v>73</v>
      </c>
      <c r="AU431" s="8" t="s">
        <v>330</v>
      </c>
      <c r="AV431" s="8">
        <v>87.7</v>
      </c>
      <c r="AW431" s="8"/>
      <c r="AX431" s="8" t="s">
        <v>337</v>
      </c>
      <c r="AY431" s="8" t="s">
        <v>224</v>
      </c>
      <c r="AZ431" s="8" t="s">
        <v>361</v>
      </c>
      <c r="BA431" s="21">
        <f>IF(OR(tblsales[[#This Row],[Invoice Value USD]]="",tblsales[[#This Row],[Collected Amount USD]]=""),"",tblsales[[#This Row],[Invoice Value USD]]-tblsales[[#This Row],[Collected Amount USD]])</f>
        <v>884687.88960300013</v>
      </c>
      <c r="BB431" s="21">
        <f>IF(OR(tblsales[[#This Row],[Contract Value USD]]="",tblsales[[#This Row],[Cost Estimate USD]]=""),"",tblsales[[#This Row],[Contract Value USD]]-tblsales[[#This Row],[Cost Estimate USD]])</f>
        <v>1573872.5917740003</v>
      </c>
      <c r="BC431" s="21">
        <f>IF(OR(tblsales[[#This Row],[Contract Value USD]]="",tblsales[[#This Row],[Cost Estimate USD]]=""),"",tblsales[[#This Row],[Contract Value USD]]-tblsales[[#This Row],[Cost Estimate USD]])</f>
        <v>1573872.5917740003</v>
      </c>
      <c r="BD431" s="23">
        <f>IF(tblsales[[#This Row],[Invoice Value USD]]="","",tblsales[[#This Row],[Collected Amount USD]]/tblsales[[#This Row],[Invoice Value USD]])</f>
        <v>0.6375856124902336</v>
      </c>
      <c r="BE431" s="11">
        <f>IF(tblsales[[#This Row],[SalesStage]]="Won",1,0)</f>
        <v>0</v>
      </c>
      <c r="BF431" s="21" t="str">
        <f>IF(tblsales[[#This Row],[Win Flag]]=1,"Won","Lost")</f>
        <v>Lost</v>
      </c>
      <c r="BG431" s="8"/>
    </row>
    <row r="432" spans="1:59" x14ac:dyDescent="0.3">
      <c r="A432" s="10" t="s">
        <v>1613</v>
      </c>
      <c r="B432" s="9">
        <v>45660</v>
      </c>
      <c r="C432" s="10" t="s">
        <v>217</v>
      </c>
      <c r="D432" s="10" t="s">
        <v>255</v>
      </c>
      <c r="E432" s="10" t="s">
        <v>332</v>
      </c>
      <c r="F432" s="10" t="s">
        <v>31</v>
      </c>
      <c r="G432" s="10" t="s">
        <v>57</v>
      </c>
      <c r="H432" s="10" t="s">
        <v>212</v>
      </c>
      <c r="I432" s="10" t="s">
        <v>183</v>
      </c>
      <c r="J432" s="10" t="s">
        <v>130</v>
      </c>
      <c r="K432" s="10" t="s">
        <v>326</v>
      </c>
      <c r="L432" s="10" t="s">
        <v>1614</v>
      </c>
      <c r="M432" s="9">
        <v>45625</v>
      </c>
      <c r="N432" s="9">
        <v>45809</v>
      </c>
      <c r="O432" s="9">
        <v>45993</v>
      </c>
      <c r="P432" s="11"/>
      <c r="Q432" s="12">
        <v>36731951</v>
      </c>
      <c r="R432">
        <v>42645795.111000001</v>
      </c>
      <c r="S432" s="22">
        <v>0.17</v>
      </c>
      <c r="T432" s="22">
        <v>0</v>
      </c>
      <c r="U432" s="12">
        <v>30487519.329999998</v>
      </c>
      <c r="V432" s="24">
        <v>35396009.942129999</v>
      </c>
      <c r="W432" s="8">
        <v>24844230.600000001</v>
      </c>
      <c r="X432" s="24">
        <v>28844151.726600002</v>
      </c>
      <c r="Y432" s="22">
        <v>0.12</v>
      </c>
      <c r="Z432" s="22">
        <v>0.15</v>
      </c>
      <c r="AA432" s="8" t="s">
        <v>1615</v>
      </c>
      <c r="AB432" s="8">
        <v>25242942.559999999</v>
      </c>
      <c r="AC432" s="24">
        <v>29307056.31216</v>
      </c>
      <c r="AD432" s="8">
        <v>18380312.890000001</v>
      </c>
      <c r="AE432" s="24">
        <v>21339543.26529</v>
      </c>
      <c r="AF432" s="8">
        <v>120</v>
      </c>
      <c r="AG432" s="8">
        <v>121</v>
      </c>
      <c r="AH432" s="8" t="s">
        <v>347</v>
      </c>
      <c r="AI432" s="8" t="s">
        <v>354</v>
      </c>
      <c r="AJ432" s="22">
        <v>0.17</v>
      </c>
      <c r="AK432" s="8" t="s">
        <v>159</v>
      </c>
      <c r="AL432" s="22">
        <v>0.15</v>
      </c>
      <c r="AM432" s="22">
        <v>0.09</v>
      </c>
      <c r="AN432" s="8">
        <v>14</v>
      </c>
      <c r="AO432" s="8">
        <v>3672</v>
      </c>
      <c r="AP432" s="8">
        <v>1268439.44</v>
      </c>
      <c r="AQ432" s="24">
        <v>1472658.1898399999</v>
      </c>
      <c r="AR432" s="8">
        <v>14364739.48</v>
      </c>
      <c r="AS432" s="37">
        <v>16677462.536280001</v>
      </c>
      <c r="AT432" s="8" t="s">
        <v>385</v>
      </c>
      <c r="AU432" s="8" t="s">
        <v>330</v>
      </c>
      <c r="AV432" s="8">
        <v>83.9</v>
      </c>
      <c r="AW432" s="8">
        <v>48</v>
      </c>
      <c r="AX432" s="8" t="s">
        <v>332</v>
      </c>
      <c r="AY432" s="8" t="s">
        <v>186</v>
      </c>
      <c r="AZ432" s="8" t="s">
        <v>377</v>
      </c>
      <c r="BA432" s="21">
        <f>IF(OR(tblsales[[#This Row],[Invoice Value USD]]="",tblsales[[#This Row],[Collected Amount USD]]=""),"",tblsales[[#This Row],[Invoice Value USD]]-tblsales[[#This Row],[Collected Amount USD]])</f>
        <v>7967513.0468700007</v>
      </c>
      <c r="BB432" s="21">
        <f>IF(OR(tblsales[[#This Row],[Contract Value USD]]="",tblsales[[#This Row],[Cost Estimate USD]]=""),"",tblsales[[#This Row],[Contract Value USD]]-tblsales[[#This Row],[Cost Estimate USD]])</f>
        <v>6551858.2155299969</v>
      </c>
      <c r="BC432" s="21">
        <f>IF(OR(tblsales[[#This Row],[Contract Value USD]]="",tblsales[[#This Row],[Cost Estimate USD]]=""),"",tblsales[[#This Row],[Contract Value USD]]-tblsales[[#This Row],[Cost Estimate USD]])</f>
        <v>6551858.2155299969</v>
      </c>
      <c r="BD432" s="23">
        <f>IF(tblsales[[#This Row],[Invoice Value USD]]="","",tblsales[[#This Row],[Collected Amount USD]]/tblsales[[#This Row],[Invoice Value USD]])</f>
        <v>0.728136699844394</v>
      </c>
      <c r="BE432" s="11">
        <f>IF(tblsales[[#This Row],[SalesStage]]="Won",1,0)</f>
        <v>0</v>
      </c>
      <c r="BF432" s="21" t="str">
        <f>IF(tblsales[[#This Row],[Win Flag]]=1,"Won","Lost")</f>
        <v>Lost</v>
      </c>
      <c r="BG432" s="8"/>
    </row>
    <row r="433" spans="1:59" x14ac:dyDescent="0.3">
      <c r="A433" s="10" t="s">
        <v>1616</v>
      </c>
      <c r="B433" s="9">
        <v>46021</v>
      </c>
      <c r="C433" s="10" t="s">
        <v>219</v>
      </c>
      <c r="D433" s="10" t="s">
        <v>232</v>
      </c>
      <c r="E433" s="10" t="s">
        <v>20</v>
      </c>
      <c r="F433" s="10" t="s">
        <v>35</v>
      </c>
      <c r="G433" s="10" t="s">
        <v>38</v>
      </c>
      <c r="H433" s="10" t="s">
        <v>182</v>
      </c>
      <c r="I433" s="10" t="s">
        <v>198</v>
      </c>
      <c r="J433" s="10" t="s">
        <v>136</v>
      </c>
      <c r="K433" s="10" t="s">
        <v>221</v>
      </c>
      <c r="L433" s="10" t="s">
        <v>1617</v>
      </c>
      <c r="M433" s="9">
        <v>45988</v>
      </c>
      <c r="N433" s="9">
        <v>46144</v>
      </c>
      <c r="O433" s="9">
        <v>46025</v>
      </c>
      <c r="P433" s="11">
        <v>26</v>
      </c>
      <c r="Q433" s="12">
        <v>41130628</v>
      </c>
      <c r="R433">
        <v>11199870.0044</v>
      </c>
      <c r="S433" s="22">
        <v>0.16</v>
      </c>
      <c r="T433" s="22">
        <v>0.14000000000000001</v>
      </c>
      <c r="U433" s="12">
        <v>39386689.369999997</v>
      </c>
      <c r="V433" s="24">
        <v>10724995.515450999</v>
      </c>
      <c r="W433" s="8">
        <v>29282909.649999999</v>
      </c>
      <c r="X433" s="24">
        <v>7973736.2976949988</v>
      </c>
      <c r="Y433" s="22">
        <v>7.0000000000000007E-2</v>
      </c>
      <c r="Z433" s="22">
        <v>7.0000000000000007E-2</v>
      </c>
      <c r="AA433" s="8" t="s">
        <v>1618</v>
      </c>
      <c r="AB433" s="8">
        <v>15449054.59</v>
      </c>
      <c r="AC433" s="24">
        <v>4206777.5648569996</v>
      </c>
      <c r="AD433" s="8">
        <v>10261372.720000001</v>
      </c>
      <c r="AE433" s="24">
        <v>2794171.7916560001</v>
      </c>
      <c r="AF433" s="8">
        <v>60</v>
      </c>
      <c r="AG433" s="8">
        <v>11</v>
      </c>
      <c r="AH433" s="8" t="s">
        <v>347</v>
      </c>
      <c r="AI433" s="8" t="s">
        <v>320</v>
      </c>
      <c r="AJ433" s="22">
        <v>0.62</v>
      </c>
      <c r="AK433" s="8" t="s">
        <v>153</v>
      </c>
      <c r="AL433" s="22">
        <v>0.15</v>
      </c>
      <c r="AM433" s="22">
        <v>7.0000000000000007E-2</v>
      </c>
      <c r="AN433" s="8">
        <v>7</v>
      </c>
      <c r="AO433" s="8">
        <v>797</v>
      </c>
      <c r="AP433" s="8"/>
      <c r="AQ433" s="24"/>
      <c r="AR433" s="8">
        <v>16996208.16</v>
      </c>
      <c r="AS433" s="37">
        <v>4628067.4819679996</v>
      </c>
      <c r="AT433" s="8" t="s">
        <v>321</v>
      </c>
      <c r="AU433" s="8" t="s">
        <v>330</v>
      </c>
      <c r="AV433" s="8">
        <v>79.3</v>
      </c>
      <c r="AW433" s="8">
        <v>12</v>
      </c>
      <c r="AX433" s="8" t="s">
        <v>387</v>
      </c>
      <c r="AY433" s="8" t="s">
        <v>224</v>
      </c>
      <c r="AZ433" s="8" t="s">
        <v>361</v>
      </c>
      <c r="BA433" s="21">
        <f>IF(OR(tblsales[[#This Row],[Invoice Value USD]]="",tblsales[[#This Row],[Collected Amount USD]]=""),"",tblsales[[#This Row],[Invoice Value USD]]-tblsales[[#This Row],[Collected Amount USD]])</f>
        <v>1412605.7732009995</v>
      </c>
      <c r="BB433" s="21">
        <f>IF(OR(tblsales[[#This Row],[Contract Value USD]]="",tblsales[[#This Row],[Cost Estimate USD]]=""),"",tblsales[[#This Row],[Contract Value USD]]-tblsales[[#This Row],[Cost Estimate USD]])</f>
        <v>2751259.2177560003</v>
      </c>
      <c r="BC433" s="21">
        <f>IF(OR(tblsales[[#This Row],[Contract Value USD]]="",tblsales[[#This Row],[Cost Estimate USD]]=""),"",tblsales[[#This Row],[Contract Value USD]]-tblsales[[#This Row],[Cost Estimate USD]])</f>
        <v>2751259.2177560003</v>
      </c>
      <c r="BD433" s="23">
        <f>IF(tblsales[[#This Row],[Invoice Value USD]]="","",tblsales[[#This Row],[Collected Amount USD]]/tblsales[[#This Row],[Invoice Value USD]])</f>
        <v>0.66420716298342763</v>
      </c>
      <c r="BE433" s="11">
        <f>IF(tblsales[[#This Row],[SalesStage]]="Won",1,0)</f>
        <v>1</v>
      </c>
      <c r="BF433" s="21" t="str">
        <f>IF(tblsales[[#This Row],[Win Flag]]=1,"Won","Lost")</f>
        <v>Won</v>
      </c>
      <c r="BG433" s="8"/>
    </row>
    <row r="434" spans="1:59" x14ac:dyDescent="0.3">
      <c r="A434" s="10" t="s">
        <v>1619</v>
      </c>
      <c r="B434" s="9">
        <v>46000</v>
      </c>
      <c r="C434" s="10" t="s">
        <v>237</v>
      </c>
      <c r="D434" s="10" t="s">
        <v>238</v>
      </c>
      <c r="E434" s="10" t="s">
        <v>113</v>
      </c>
      <c r="F434" s="10" t="s">
        <v>181</v>
      </c>
      <c r="G434" s="10" t="s">
        <v>23</v>
      </c>
      <c r="H434" s="10" t="s">
        <v>263</v>
      </c>
      <c r="I434" s="10" t="s">
        <v>191</v>
      </c>
      <c r="J434" s="10" t="s">
        <v>123</v>
      </c>
      <c r="K434" s="10" t="s">
        <v>326</v>
      </c>
      <c r="L434" s="10" t="s">
        <v>1620</v>
      </c>
      <c r="M434" s="9">
        <v>45954</v>
      </c>
      <c r="N434" s="9">
        <v>46001</v>
      </c>
      <c r="O434" s="9"/>
      <c r="P434" s="11">
        <v>34</v>
      </c>
      <c r="Q434" s="12">
        <v>17759314</v>
      </c>
      <c r="R434">
        <v>17759314</v>
      </c>
      <c r="S434" s="22">
        <v>0.3</v>
      </c>
      <c r="T434" s="22">
        <v>0.18</v>
      </c>
      <c r="U434" s="12">
        <v>14669193.359999999</v>
      </c>
      <c r="V434" s="24">
        <v>14669193.359999999</v>
      </c>
      <c r="W434" s="8">
        <v>12398197.449999999</v>
      </c>
      <c r="X434" s="24">
        <v>12398197.449999999</v>
      </c>
      <c r="Y434" s="22">
        <v>0.18</v>
      </c>
      <c r="Z434" s="22">
        <v>0.17</v>
      </c>
      <c r="AA434" s="8" t="s">
        <v>1621</v>
      </c>
      <c r="AB434" s="8">
        <v>8188231.6399999997</v>
      </c>
      <c r="AC434" s="24">
        <v>8188231.6399999997</v>
      </c>
      <c r="AD434" s="8">
        <v>8113011.5499999998</v>
      </c>
      <c r="AE434" s="24">
        <v>8113011.5499999998</v>
      </c>
      <c r="AF434" s="8">
        <v>45</v>
      </c>
      <c r="AG434" s="8">
        <v>57</v>
      </c>
      <c r="AH434" s="8" t="s">
        <v>332</v>
      </c>
      <c r="AI434" s="8" t="s">
        <v>381</v>
      </c>
      <c r="AJ434" s="22">
        <v>0.35</v>
      </c>
      <c r="AK434" s="8" t="s">
        <v>152</v>
      </c>
      <c r="AL434" s="22">
        <v>0.15</v>
      </c>
      <c r="AM434" s="22">
        <v>0.06</v>
      </c>
      <c r="AN434" s="8">
        <v>6</v>
      </c>
      <c r="AO434" s="8">
        <v>4090</v>
      </c>
      <c r="AP434" s="8">
        <v>1272150.55</v>
      </c>
      <c r="AQ434" s="24">
        <v>1272150.55</v>
      </c>
      <c r="AR434" s="8"/>
      <c r="AS434" s="37"/>
      <c r="AT434" s="8" t="s">
        <v>343</v>
      </c>
      <c r="AU434" s="8" t="s">
        <v>322</v>
      </c>
      <c r="AV434" s="8">
        <v>76.900000000000006</v>
      </c>
      <c r="AW434" s="8"/>
      <c r="AX434" s="8" t="s">
        <v>323</v>
      </c>
      <c r="AY434" s="8" t="s">
        <v>192</v>
      </c>
      <c r="AZ434" s="8" t="s">
        <v>324</v>
      </c>
      <c r="BA434" s="21">
        <f>IF(OR(tblsales[[#This Row],[Invoice Value USD]]="",tblsales[[#This Row],[Collected Amount USD]]=""),"",tblsales[[#This Row],[Invoice Value USD]]-tblsales[[#This Row],[Collected Amount USD]])</f>
        <v>75220.089999999851</v>
      </c>
      <c r="BB434" s="21">
        <f>IF(OR(tblsales[[#This Row],[Contract Value USD]]="",tblsales[[#This Row],[Cost Estimate USD]]=""),"",tblsales[[#This Row],[Contract Value USD]]-tblsales[[#This Row],[Cost Estimate USD]])</f>
        <v>2270995.91</v>
      </c>
      <c r="BC434" s="21">
        <f>IF(OR(tblsales[[#This Row],[Contract Value USD]]="",tblsales[[#This Row],[Cost Estimate USD]]=""),"",tblsales[[#This Row],[Contract Value USD]]-tblsales[[#This Row],[Cost Estimate USD]])</f>
        <v>2270995.91</v>
      </c>
      <c r="BD434" s="23">
        <f>IF(tblsales[[#This Row],[Invoice Value USD]]="","",tblsales[[#This Row],[Collected Amount USD]]/tblsales[[#This Row],[Invoice Value USD]])</f>
        <v>0.99081363433436043</v>
      </c>
      <c r="BE434" s="11">
        <f>IF(tblsales[[#This Row],[SalesStage]]="Won",1,0)</f>
        <v>0</v>
      </c>
      <c r="BF434" s="21" t="str">
        <f>IF(tblsales[[#This Row],[Win Flag]]=1,"Won","Lost")</f>
        <v>Lost</v>
      </c>
      <c r="BG434" s="8"/>
    </row>
    <row r="435" spans="1:59" x14ac:dyDescent="0.3">
      <c r="A435" s="10" t="s">
        <v>1622</v>
      </c>
      <c r="B435" s="9">
        <v>45702</v>
      </c>
      <c r="C435" s="10" t="s">
        <v>235</v>
      </c>
      <c r="D435" s="10" t="s">
        <v>220</v>
      </c>
      <c r="E435" s="10" t="s">
        <v>20</v>
      </c>
      <c r="F435" s="10" t="s">
        <v>196</v>
      </c>
      <c r="G435" s="10" t="s">
        <v>50</v>
      </c>
      <c r="H435" s="10" t="s">
        <v>216</v>
      </c>
      <c r="I435" s="10" t="s">
        <v>183</v>
      </c>
      <c r="J435" s="10" t="s">
        <v>136</v>
      </c>
      <c r="K435" s="10" t="s">
        <v>221</v>
      </c>
      <c r="L435" s="10" t="s">
        <v>1623</v>
      </c>
      <c r="M435" s="9">
        <v>45718</v>
      </c>
      <c r="N435" s="9">
        <v>45705</v>
      </c>
      <c r="O435" s="9">
        <v>45799</v>
      </c>
      <c r="P435" s="11"/>
      <c r="Q435" s="12">
        <v>20614127</v>
      </c>
      <c r="R435">
        <v>20614127</v>
      </c>
      <c r="S435" s="22">
        <v>0.24</v>
      </c>
      <c r="T435" s="22">
        <v>0.04</v>
      </c>
      <c r="U435" s="12">
        <v>16293405.98</v>
      </c>
      <c r="V435" s="24">
        <v>16293405.98</v>
      </c>
      <c r="W435" s="8">
        <v>10333073.060000001</v>
      </c>
      <c r="X435" s="24">
        <v>10333073.060000001</v>
      </c>
      <c r="Y435" s="22"/>
      <c r="Z435" s="22">
        <v>0.19</v>
      </c>
      <c r="AA435" s="8" t="s">
        <v>1624</v>
      </c>
      <c r="AB435" s="8">
        <v>1056591.8500000001</v>
      </c>
      <c r="AC435" s="24">
        <v>1056591.8500000001</v>
      </c>
      <c r="AD435" s="8">
        <v>389684.99</v>
      </c>
      <c r="AE435" s="24">
        <v>389684.99</v>
      </c>
      <c r="AF435" s="8">
        <v>30</v>
      </c>
      <c r="AG435" s="8">
        <v>144</v>
      </c>
      <c r="AH435" s="8" t="s">
        <v>329</v>
      </c>
      <c r="AI435" s="8" t="s">
        <v>455</v>
      </c>
      <c r="AJ435" s="22">
        <v>0.77</v>
      </c>
      <c r="AK435" s="8" t="s">
        <v>152</v>
      </c>
      <c r="AL435" s="22">
        <v>0.1</v>
      </c>
      <c r="AM435" s="22">
        <v>0.03</v>
      </c>
      <c r="AN435" s="8">
        <v>4</v>
      </c>
      <c r="AO435" s="8">
        <v>1899</v>
      </c>
      <c r="AP435" s="8">
        <v>3892870.07</v>
      </c>
      <c r="AQ435" s="24">
        <v>3892870.07</v>
      </c>
      <c r="AR435" s="8"/>
      <c r="AS435" s="37"/>
      <c r="AT435" s="8" t="s">
        <v>385</v>
      </c>
      <c r="AU435" s="8" t="s">
        <v>332</v>
      </c>
      <c r="AV435" s="8">
        <v>98.4</v>
      </c>
      <c r="AW435" s="8">
        <v>60</v>
      </c>
      <c r="AX435" s="8" t="s">
        <v>332</v>
      </c>
      <c r="AY435" s="8" t="s">
        <v>186</v>
      </c>
      <c r="AZ435" s="8" t="s">
        <v>188</v>
      </c>
      <c r="BA435" s="21">
        <f>IF(OR(tblsales[[#This Row],[Invoice Value USD]]="",tblsales[[#This Row],[Collected Amount USD]]=""),"",tblsales[[#This Row],[Invoice Value USD]]-tblsales[[#This Row],[Collected Amount USD]])</f>
        <v>666906.8600000001</v>
      </c>
      <c r="BB435" s="21">
        <f>IF(OR(tblsales[[#This Row],[Contract Value USD]]="",tblsales[[#This Row],[Cost Estimate USD]]=""),"",tblsales[[#This Row],[Contract Value USD]]-tblsales[[#This Row],[Cost Estimate USD]])</f>
        <v>5960332.9199999999</v>
      </c>
      <c r="BC435" s="21">
        <f>IF(OR(tblsales[[#This Row],[Contract Value USD]]="",tblsales[[#This Row],[Cost Estimate USD]]=""),"",tblsales[[#This Row],[Contract Value USD]]-tblsales[[#This Row],[Cost Estimate USD]])</f>
        <v>5960332.9199999999</v>
      </c>
      <c r="BD435" s="23">
        <f>IF(tblsales[[#This Row],[Invoice Value USD]]="","",tblsales[[#This Row],[Collected Amount USD]]/tblsales[[#This Row],[Invoice Value USD]])</f>
        <v>0.36881317038362538</v>
      </c>
      <c r="BE435" s="11">
        <f>IF(tblsales[[#This Row],[SalesStage]]="Won",1,0)</f>
        <v>0</v>
      </c>
      <c r="BF435" s="21" t="str">
        <f>IF(tblsales[[#This Row],[Win Flag]]=1,"Won","Lost")</f>
        <v>Lost</v>
      </c>
      <c r="BG435" s="8"/>
    </row>
    <row r="436" spans="1:59" x14ac:dyDescent="0.3">
      <c r="A436" s="10" t="s">
        <v>1625</v>
      </c>
      <c r="B436" s="9">
        <v>46019</v>
      </c>
      <c r="C436" s="10" t="s">
        <v>243</v>
      </c>
      <c r="D436" s="10" t="s">
        <v>394</v>
      </c>
      <c r="E436" s="10" t="s">
        <v>113</v>
      </c>
      <c r="F436" s="10" t="s">
        <v>367</v>
      </c>
      <c r="G436" s="10" t="s">
        <v>66</v>
      </c>
      <c r="H436" s="10" t="s">
        <v>216</v>
      </c>
      <c r="I436" s="10" t="s">
        <v>233</v>
      </c>
      <c r="J436" s="10" t="s">
        <v>111</v>
      </c>
      <c r="K436" s="10" t="s">
        <v>223</v>
      </c>
      <c r="L436" s="10" t="s">
        <v>1626</v>
      </c>
      <c r="M436" s="9">
        <v>45981</v>
      </c>
      <c r="N436" s="9">
        <v>46074</v>
      </c>
      <c r="O436" s="9"/>
      <c r="P436" s="11">
        <v>38</v>
      </c>
      <c r="Q436" s="12">
        <v>15005899</v>
      </c>
      <c r="R436">
        <v>4086106.2977</v>
      </c>
      <c r="S436" s="22">
        <v>0.23</v>
      </c>
      <c r="T436" s="22">
        <v>0.05</v>
      </c>
      <c r="U436" s="12">
        <v>12132269.34</v>
      </c>
      <c r="V436" s="24">
        <v>3303616.9412819999</v>
      </c>
      <c r="W436" s="8">
        <v>9733755.5399999991</v>
      </c>
      <c r="X436" s="24">
        <v>2650501.6335419999</v>
      </c>
      <c r="Y436" s="22">
        <v>0.05</v>
      </c>
      <c r="Z436" s="22">
        <v>0.14000000000000001</v>
      </c>
      <c r="AA436" s="8" t="s">
        <v>1627</v>
      </c>
      <c r="AB436" s="8">
        <v>1519474.44</v>
      </c>
      <c r="AC436" s="24">
        <v>413752.89001199999</v>
      </c>
      <c r="AD436" s="8">
        <v>1392220.8</v>
      </c>
      <c r="AE436" s="24">
        <v>379101.72383999999</v>
      </c>
      <c r="AF436" s="8">
        <v>90</v>
      </c>
      <c r="AG436" s="8">
        <v>44</v>
      </c>
      <c r="AH436" s="8" t="s">
        <v>342</v>
      </c>
      <c r="AI436" s="8" t="s">
        <v>354</v>
      </c>
      <c r="AJ436" s="22">
        <v>0.55000000000000004</v>
      </c>
      <c r="AK436" s="8" t="s">
        <v>153</v>
      </c>
      <c r="AL436" s="22">
        <v>0.15</v>
      </c>
      <c r="AM436" s="22">
        <v>0.01</v>
      </c>
      <c r="AN436" s="8">
        <v>2</v>
      </c>
      <c r="AO436" s="8">
        <v>785</v>
      </c>
      <c r="AP436" s="8">
        <v>2998006.89</v>
      </c>
      <c r="AQ436" s="24">
        <v>816357.27614700003</v>
      </c>
      <c r="AR436" s="8">
        <v>1892298.29</v>
      </c>
      <c r="AS436" s="37">
        <v>515272.82436699996</v>
      </c>
      <c r="AT436" s="8" t="s">
        <v>355</v>
      </c>
      <c r="AU436" s="8" t="s">
        <v>330</v>
      </c>
      <c r="AV436" s="8">
        <v>80.2</v>
      </c>
      <c r="AW436" s="8">
        <v>24</v>
      </c>
      <c r="AX436" s="8" t="s">
        <v>332</v>
      </c>
      <c r="AY436" s="8" t="s">
        <v>229</v>
      </c>
      <c r="AZ436" s="8" t="s">
        <v>332</v>
      </c>
      <c r="BA436" s="21">
        <f>IF(OR(tblsales[[#This Row],[Invoice Value USD]]="",tblsales[[#This Row],[Collected Amount USD]]=""),"",tblsales[[#This Row],[Invoice Value USD]]-tblsales[[#This Row],[Collected Amount USD]])</f>
        <v>34651.166171999997</v>
      </c>
      <c r="BB436" s="21">
        <f>IF(OR(tblsales[[#This Row],[Contract Value USD]]="",tblsales[[#This Row],[Cost Estimate USD]]=""),"",tblsales[[#This Row],[Contract Value USD]]-tblsales[[#This Row],[Cost Estimate USD]])</f>
        <v>653115.30774000008</v>
      </c>
      <c r="BC436" s="21">
        <f>IF(OR(tblsales[[#This Row],[Contract Value USD]]="",tblsales[[#This Row],[Cost Estimate USD]]=""),"",tblsales[[#This Row],[Contract Value USD]]-tblsales[[#This Row],[Cost Estimate USD]])</f>
        <v>653115.30774000008</v>
      </c>
      <c r="BD436" s="23">
        <f>IF(tblsales[[#This Row],[Invoice Value USD]]="","",tblsales[[#This Row],[Collected Amount USD]]/tblsales[[#This Row],[Invoice Value USD]])</f>
        <v>0.91625154286899357</v>
      </c>
      <c r="BE436" s="11">
        <f>IF(tblsales[[#This Row],[SalesStage]]="Won",1,0)</f>
        <v>0</v>
      </c>
      <c r="BF436" s="21" t="str">
        <f>IF(tblsales[[#This Row],[Win Flag]]=1,"Won","Lost")</f>
        <v>Lost</v>
      </c>
      <c r="BG436" s="8"/>
    </row>
    <row r="437" spans="1:59" x14ac:dyDescent="0.3">
      <c r="A437" s="10" t="s">
        <v>1628</v>
      </c>
      <c r="B437" s="9">
        <v>45876</v>
      </c>
      <c r="C437" s="10" t="s">
        <v>260</v>
      </c>
      <c r="D437" s="10" t="s">
        <v>209</v>
      </c>
      <c r="E437" s="10" t="s">
        <v>113</v>
      </c>
      <c r="F437" s="10" t="s">
        <v>367</v>
      </c>
      <c r="G437" s="10" t="s">
        <v>80</v>
      </c>
      <c r="H437" s="10" t="s">
        <v>216</v>
      </c>
      <c r="I437" s="10" t="s">
        <v>203</v>
      </c>
      <c r="J437" s="10" t="s">
        <v>127</v>
      </c>
      <c r="K437" s="10" t="s">
        <v>184</v>
      </c>
      <c r="L437" s="10" t="s">
        <v>1629</v>
      </c>
      <c r="M437" s="9">
        <v>45794</v>
      </c>
      <c r="N437" s="9">
        <v>45666</v>
      </c>
      <c r="O437" s="9">
        <v>45947</v>
      </c>
      <c r="P437" s="11">
        <v>44</v>
      </c>
      <c r="Q437" s="12">
        <v>32340864</v>
      </c>
      <c r="R437">
        <v>8806417.2671999987</v>
      </c>
      <c r="S437" s="22">
        <v>0.24</v>
      </c>
      <c r="T437" s="22">
        <v>-0.03</v>
      </c>
      <c r="U437" s="12">
        <v>23841684.940000001</v>
      </c>
      <c r="V437" s="24">
        <v>6492090.8091620002</v>
      </c>
      <c r="W437" s="8">
        <v>20684979.149999999</v>
      </c>
      <c r="X437" s="24">
        <v>5632519.8225449994</v>
      </c>
      <c r="Y437" s="22">
        <v>0.26</v>
      </c>
      <c r="Z437" s="22">
        <v>0.12</v>
      </c>
      <c r="AA437" s="8" t="s">
        <v>1630</v>
      </c>
      <c r="AB437" s="8">
        <v>11228328.869999999</v>
      </c>
      <c r="AC437" s="24">
        <v>3057473.9513009996</v>
      </c>
      <c r="AD437" s="8">
        <v>6944752.6500000004</v>
      </c>
      <c r="AE437" s="24">
        <v>1891056.1465950001</v>
      </c>
      <c r="AF437" s="8">
        <v>45</v>
      </c>
      <c r="AG437" s="8">
        <v>169</v>
      </c>
      <c r="AH437" s="8" t="s">
        <v>342</v>
      </c>
      <c r="AI437" s="8" t="s">
        <v>381</v>
      </c>
      <c r="AJ437" s="22">
        <v>0.55000000000000004</v>
      </c>
      <c r="AK437" s="8" t="s">
        <v>153</v>
      </c>
      <c r="AL437" s="22">
        <v>0.05</v>
      </c>
      <c r="AM437" s="22">
        <v>0.05</v>
      </c>
      <c r="AN437" s="8">
        <v>7</v>
      </c>
      <c r="AO437" s="8">
        <v>2806</v>
      </c>
      <c r="AP437" s="8">
        <v>3110448.63</v>
      </c>
      <c r="AQ437" s="24">
        <v>846975.16194899997</v>
      </c>
      <c r="AR437" s="8">
        <v>5461806.46</v>
      </c>
      <c r="AS437" s="37">
        <v>1487249.899058</v>
      </c>
      <c r="AT437" s="8" t="s">
        <v>321</v>
      </c>
      <c r="AU437" s="8" t="s">
        <v>348</v>
      </c>
      <c r="AV437" s="8">
        <v>90.4</v>
      </c>
      <c r="AW437" s="8">
        <v>48</v>
      </c>
      <c r="AX437" s="8" t="s">
        <v>392</v>
      </c>
      <c r="AY437" s="8" t="s">
        <v>206</v>
      </c>
      <c r="AZ437" s="8" t="s">
        <v>324</v>
      </c>
      <c r="BA437" s="21">
        <f>IF(OR(tblsales[[#This Row],[Invoice Value USD]]="",tblsales[[#This Row],[Collected Amount USD]]=""),"",tblsales[[#This Row],[Invoice Value USD]]-tblsales[[#This Row],[Collected Amount USD]])</f>
        <v>1166417.8047059996</v>
      </c>
      <c r="BB437" s="21">
        <f>IF(OR(tblsales[[#This Row],[Contract Value USD]]="",tblsales[[#This Row],[Cost Estimate USD]]=""),"",tblsales[[#This Row],[Contract Value USD]]-tblsales[[#This Row],[Cost Estimate USD]])</f>
        <v>859570.98661700077</v>
      </c>
      <c r="BC437" s="21">
        <f>IF(OR(tblsales[[#This Row],[Contract Value USD]]="",tblsales[[#This Row],[Cost Estimate USD]]=""),"",tblsales[[#This Row],[Contract Value USD]]-tblsales[[#This Row],[Cost Estimate USD]])</f>
        <v>859570.98661700077</v>
      </c>
      <c r="BD437" s="23">
        <f>IF(tblsales[[#This Row],[Invoice Value USD]]="","",tblsales[[#This Row],[Collected Amount USD]]/tblsales[[#This Row],[Invoice Value USD]])</f>
        <v>0.61850278259617819</v>
      </c>
      <c r="BE437" s="11">
        <f>IF(tblsales[[#This Row],[SalesStage]]="Won",1,0)</f>
        <v>0</v>
      </c>
      <c r="BF437" s="21" t="str">
        <f>IF(tblsales[[#This Row],[Win Flag]]=1,"Won","Lost")</f>
        <v>Lost</v>
      </c>
      <c r="BG437" s="8"/>
    </row>
    <row r="438" spans="1:59" x14ac:dyDescent="0.3">
      <c r="A438" s="10" t="s">
        <v>1631</v>
      </c>
      <c r="B438" s="9">
        <v>45670</v>
      </c>
      <c r="C438" s="10" t="s">
        <v>258</v>
      </c>
      <c r="D438" s="10" t="s">
        <v>262</v>
      </c>
      <c r="E438" s="10" t="s">
        <v>113</v>
      </c>
      <c r="F438" s="10" t="s">
        <v>367</v>
      </c>
      <c r="G438" s="10" t="s">
        <v>78</v>
      </c>
      <c r="H438" s="10" t="s">
        <v>236</v>
      </c>
      <c r="I438" s="10" t="s">
        <v>191</v>
      </c>
      <c r="J438" s="10" t="s">
        <v>123</v>
      </c>
      <c r="K438" s="10" t="s">
        <v>223</v>
      </c>
      <c r="L438" s="10" t="s">
        <v>1632</v>
      </c>
      <c r="M438" s="9">
        <v>45655</v>
      </c>
      <c r="N438" s="9">
        <v>45681</v>
      </c>
      <c r="O438" s="9">
        <v>45790</v>
      </c>
      <c r="P438" s="11">
        <v>31</v>
      </c>
      <c r="Q438" s="12">
        <v>21479400</v>
      </c>
      <c r="R438">
        <v>5848840.6200000001</v>
      </c>
      <c r="S438" s="22">
        <v>0.02</v>
      </c>
      <c r="T438" s="22">
        <v>-0.03</v>
      </c>
      <c r="U438" s="12">
        <v>20418317.640000001</v>
      </c>
      <c r="V438" s="24">
        <v>5559907.8933720002</v>
      </c>
      <c r="W438" s="8">
        <v>17696516.800000001</v>
      </c>
      <c r="X438" s="24">
        <v>4818761.5246400004</v>
      </c>
      <c r="Y438" s="22">
        <v>0.21</v>
      </c>
      <c r="Z438" s="22">
        <v>0.06</v>
      </c>
      <c r="AA438" s="8" t="s">
        <v>1154</v>
      </c>
      <c r="AB438" s="8">
        <v>13353479.970000001</v>
      </c>
      <c r="AC438" s="24">
        <v>3636152.5958309998</v>
      </c>
      <c r="AD438" s="8">
        <v>13995172.15</v>
      </c>
      <c r="AE438" s="24">
        <v>3810885.3764450001</v>
      </c>
      <c r="AF438" s="8">
        <v>30</v>
      </c>
      <c r="AG438" s="8">
        <v>113</v>
      </c>
      <c r="AH438" s="8" t="s">
        <v>353</v>
      </c>
      <c r="AI438" s="8" t="s">
        <v>406</v>
      </c>
      <c r="AJ438" s="22">
        <v>0.15</v>
      </c>
      <c r="AK438" s="8" t="s">
        <v>153</v>
      </c>
      <c r="AL438" s="22">
        <v>0.1</v>
      </c>
      <c r="AM438" s="22">
        <v>0.04</v>
      </c>
      <c r="AN438" s="8">
        <v>6</v>
      </c>
      <c r="AO438" s="8">
        <v>1238</v>
      </c>
      <c r="AP438" s="8">
        <v>470322.36</v>
      </c>
      <c r="AQ438" s="24">
        <v>128068.77862799999</v>
      </c>
      <c r="AR438" s="8">
        <v>5238727.9800000004</v>
      </c>
      <c r="AS438" s="37">
        <v>1426505.6289540001</v>
      </c>
      <c r="AT438" s="8" t="s">
        <v>321</v>
      </c>
      <c r="AU438" s="8" t="s">
        <v>322</v>
      </c>
      <c r="AV438" s="8">
        <v>88.7</v>
      </c>
      <c r="AW438" s="8">
        <v>48</v>
      </c>
      <c r="AX438" s="8" t="s">
        <v>387</v>
      </c>
      <c r="AY438" s="8" t="s">
        <v>224</v>
      </c>
      <c r="AZ438" s="8" t="s">
        <v>188</v>
      </c>
      <c r="BA438" s="21">
        <f>IF(OR(tblsales[[#This Row],[Invoice Value USD]]="",tblsales[[#This Row],[Collected Amount USD]]=""),"",tblsales[[#This Row],[Invoice Value USD]]-tblsales[[#This Row],[Collected Amount USD]])</f>
        <v>-174732.78061400028</v>
      </c>
      <c r="BB438" s="21">
        <f>IF(OR(tblsales[[#This Row],[Contract Value USD]]="",tblsales[[#This Row],[Cost Estimate USD]]=""),"",tblsales[[#This Row],[Contract Value USD]]-tblsales[[#This Row],[Cost Estimate USD]])</f>
        <v>741146.36873199977</v>
      </c>
      <c r="BC438" s="21">
        <f>IF(OR(tblsales[[#This Row],[Contract Value USD]]="",tblsales[[#This Row],[Cost Estimate USD]]=""),"",tblsales[[#This Row],[Contract Value USD]]-tblsales[[#This Row],[Cost Estimate USD]])</f>
        <v>741146.36873199977</v>
      </c>
      <c r="BD438" s="23">
        <f>IF(tblsales[[#This Row],[Invoice Value USD]]="","",tblsales[[#This Row],[Collected Amount USD]]/tblsales[[#This Row],[Invoice Value USD]])</f>
        <v>1.0480543035554499</v>
      </c>
      <c r="BE438" s="11">
        <f>IF(tblsales[[#This Row],[SalesStage]]="Won",1,0)</f>
        <v>0</v>
      </c>
      <c r="BF438" s="21" t="str">
        <f>IF(tblsales[[#This Row],[Win Flag]]=1,"Won","Lost")</f>
        <v>Lost</v>
      </c>
      <c r="BG438" s="8"/>
    </row>
    <row r="439" spans="1:59" x14ac:dyDescent="0.3">
      <c r="A439" s="10" t="s">
        <v>1633</v>
      </c>
      <c r="B439" s="9">
        <v>45750</v>
      </c>
      <c r="C439" s="10" t="s">
        <v>279</v>
      </c>
      <c r="D439" s="10" t="s">
        <v>180</v>
      </c>
      <c r="E439" s="10" t="s">
        <v>36</v>
      </c>
      <c r="F439" s="10" t="s">
        <v>339</v>
      </c>
      <c r="G439" s="10" t="s">
        <v>28</v>
      </c>
      <c r="H439" s="10" t="s">
        <v>332</v>
      </c>
      <c r="I439" s="10" t="s">
        <v>240</v>
      </c>
      <c r="J439" s="10" t="s">
        <v>115</v>
      </c>
      <c r="K439" s="10" t="s">
        <v>199</v>
      </c>
      <c r="L439" s="10" t="s">
        <v>1634</v>
      </c>
      <c r="M439" s="9">
        <v>45737</v>
      </c>
      <c r="N439" s="9">
        <v>45800</v>
      </c>
      <c r="O439" s="9">
        <v>45844</v>
      </c>
      <c r="P439" s="11">
        <v>45</v>
      </c>
      <c r="Q439" s="12">
        <v>11075054</v>
      </c>
      <c r="R439">
        <v>12858137.694</v>
      </c>
      <c r="S439" s="22">
        <v>0.09</v>
      </c>
      <c r="T439" s="22">
        <v>0</v>
      </c>
      <c r="U439" s="12">
        <v>10078299.140000001</v>
      </c>
      <c r="V439" s="24">
        <v>11700905.30154</v>
      </c>
      <c r="W439" s="8">
        <v>7158047.2400000002</v>
      </c>
      <c r="X439" s="24">
        <v>8310492.8456400009</v>
      </c>
      <c r="Y439" s="22">
        <v>0.32</v>
      </c>
      <c r="Z439" s="22">
        <v>0.12</v>
      </c>
      <c r="AA439" s="8" t="s">
        <v>1635</v>
      </c>
      <c r="AB439" s="8">
        <v>5684351.0800000001</v>
      </c>
      <c r="AC439" s="24">
        <v>6599531.6038800003</v>
      </c>
      <c r="AD439" s="8">
        <v>5438058.6799999997</v>
      </c>
      <c r="AE439" s="24">
        <v>6313586.1274800003</v>
      </c>
      <c r="AF439" s="8">
        <v>120</v>
      </c>
      <c r="AG439" s="8">
        <v>5</v>
      </c>
      <c r="AH439" s="8" t="s">
        <v>376</v>
      </c>
      <c r="AI439" s="8" t="s">
        <v>336</v>
      </c>
      <c r="AJ439" s="22">
        <v>0.41</v>
      </c>
      <c r="AK439" s="8" t="s">
        <v>159</v>
      </c>
      <c r="AL439" s="22">
        <v>0.05</v>
      </c>
      <c r="AM439" s="22">
        <v>0.01</v>
      </c>
      <c r="AN439" s="8">
        <v>15</v>
      </c>
      <c r="AO439" s="8">
        <v>2083</v>
      </c>
      <c r="AP439" s="8">
        <v>708908.12</v>
      </c>
      <c r="AQ439" s="24">
        <v>823042.32732000004</v>
      </c>
      <c r="AR439" s="8">
        <v>1272217.8700000001</v>
      </c>
      <c r="AS439" s="37">
        <v>1477044.9470700002</v>
      </c>
      <c r="AT439" s="8" t="s">
        <v>355</v>
      </c>
      <c r="AU439" s="8" t="s">
        <v>321</v>
      </c>
      <c r="AV439" s="8">
        <v>77.099999999999994</v>
      </c>
      <c r="AW439" s="8">
        <v>48</v>
      </c>
      <c r="AX439" s="8" t="s">
        <v>387</v>
      </c>
      <c r="AY439" s="8" t="s">
        <v>186</v>
      </c>
      <c r="AZ439" s="8" t="s">
        <v>361</v>
      </c>
      <c r="BA439" s="21">
        <f>IF(OR(tblsales[[#This Row],[Invoice Value USD]]="",tblsales[[#This Row],[Collected Amount USD]]=""),"",tblsales[[#This Row],[Invoice Value USD]]-tblsales[[#This Row],[Collected Amount USD]])</f>
        <v>285945.47640000004</v>
      </c>
      <c r="BB439" s="21">
        <f>IF(OR(tblsales[[#This Row],[Contract Value USD]]="",tblsales[[#This Row],[Cost Estimate USD]]=""),"",tblsales[[#This Row],[Contract Value USD]]-tblsales[[#This Row],[Cost Estimate USD]])</f>
        <v>3390412.4558999995</v>
      </c>
      <c r="BC439" s="21">
        <f>IF(OR(tblsales[[#This Row],[Contract Value USD]]="",tblsales[[#This Row],[Cost Estimate USD]]=""),"",tblsales[[#This Row],[Contract Value USD]]-tblsales[[#This Row],[Cost Estimate USD]])</f>
        <v>3390412.4558999995</v>
      </c>
      <c r="BD439" s="23">
        <f>IF(tblsales[[#This Row],[Invoice Value USD]]="","",tblsales[[#This Row],[Collected Amount USD]]/tblsales[[#This Row],[Invoice Value USD]])</f>
        <v>0.95667185285818057</v>
      </c>
      <c r="BE439" s="11">
        <f>IF(tblsales[[#This Row],[SalesStage]]="Won",1,0)</f>
        <v>0</v>
      </c>
      <c r="BF439" s="21" t="str">
        <f>IF(tblsales[[#This Row],[Win Flag]]=1,"Won","Lost")</f>
        <v>Lost</v>
      </c>
      <c r="BG439" s="8"/>
    </row>
    <row r="440" spans="1:59" x14ac:dyDescent="0.3">
      <c r="A440" s="10" t="s">
        <v>1636</v>
      </c>
      <c r="B440" s="9">
        <v>45917</v>
      </c>
      <c r="C440" s="10" t="s">
        <v>277</v>
      </c>
      <c r="D440" s="10" t="s">
        <v>332</v>
      </c>
      <c r="E440" s="10" t="s">
        <v>332</v>
      </c>
      <c r="F440" s="10" t="s">
        <v>31</v>
      </c>
      <c r="G440" s="10" t="s">
        <v>50</v>
      </c>
      <c r="H440" s="10" t="s">
        <v>182</v>
      </c>
      <c r="I440" s="10" t="s">
        <v>332</v>
      </c>
      <c r="J440" s="10" t="s">
        <v>130</v>
      </c>
      <c r="K440" s="10" t="s">
        <v>199</v>
      </c>
      <c r="L440" s="10" t="s">
        <v>1637</v>
      </c>
      <c r="M440" s="9">
        <v>45846</v>
      </c>
      <c r="N440" s="9">
        <v>45958</v>
      </c>
      <c r="O440" s="9">
        <v>46025</v>
      </c>
      <c r="P440" s="11">
        <v>44</v>
      </c>
      <c r="Q440" s="12">
        <v>13507630</v>
      </c>
      <c r="R440">
        <v>3710545.9610000001</v>
      </c>
      <c r="S440" s="22"/>
      <c r="T440" s="22">
        <v>0.09</v>
      </c>
      <c r="U440" s="12">
        <v>10600788.02</v>
      </c>
      <c r="V440" s="24">
        <v>2912036.4690939998</v>
      </c>
      <c r="W440" s="8">
        <v>7135989.5199999996</v>
      </c>
      <c r="X440" s="24">
        <v>1960256.3211439999</v>
      </c>
      <c r="Y440" s="22">
        <v>0.2</v>
      </c>
      <c r="Z440" s="22">
        <v>0.14000000000000001</v>
      </c>
      <c r="AA440" s="8" t="s">
        <v>1638</v>
      </c>
      <c r="AB440" s="8">
        <v>8244521.04</v>
      </c>
      <c r="AC440" s="24">
        <v>2264769.9296880001</v>
      </c>
      <c r="AD440" s="8">
        <v>6835370.5300000003</v>
      </c>
      <c r="AE440" s="24">
        <v>1877676.2845910001</v>
      </c>
      <c r="AF440" s="8">
        <v>60</v>
      </c>
      <c r="AG440" s="8">
        <v>168</v>
      </c>
      <c r="AH440" s="8" t="s">
        <v>347</v>
      </c>
      <c r="AI440" s="8" t="s">
        <v>226</v>
      </c>
      <c r="AJ440" s="22">
        <v>0.56000000000000005</v>
      </c>
      <c r="AK440" s="8" t="s">
        <v>155</v>
      </c>
      <c r="AL440" s="22">
        <v>0.1</v>
      </c>
      <c r="AM440" s="22">
        <v>7.0000000000000007E-2</v>
      </c>
      <c r="AN440" s="8">
        <v>13</v>
      </c>
      <c r="AO440" s="8">
        <v>2968</v>
      </c>
      <c r="AP440" s="8">
        <v>289747.64</v>
      </c>
      <c r="AQ440" s="24">
        <v>79593.676707999999</v>
      </c>
      <c r="AR440" s="8">
        <v>2201316.92</v>
      </c>
      <c r="AS440" s="37">
        <v>604701.75792400003</v>
      </c>
      <c r="AT440" s="8" t="s">
        <v>355</v>
      </c>
      <c r="AU440" s="8" t="s">
        <v>386</v>
      </c>
      <c r="AV440" s="8">
        <v>51.6</v>
      </c>
      <c r="AW440" s="8">
        <v>12</v>
      </c>
      <c r="AX440" s="8" t="s">
        <v>392</v>
      </c>
      <c r="AY440" s="8" t="s">
        <v>224</v>
      </c>
      <c r="AZ440" s="8" t="s">
        <v>332</v>
      </c>
      <c r="BA440" s="21">
        <f>IF(OR(tblsales[[#This Row],[Invoice Value USD]]="",tblsales[[#This Row],[Collected Amount USD]]=""),"",tblsales[[#This Row],[Invoice Value USD]]-tblsales[[#This Row],[Collected Amount USD]])</f>
        <v>387093.64509700006</v>
      </c>
      <c r="BB440" s="21">
        <f>IF(OR(tblsales[[#This Row],[Contract Value USD]]="",tblsales[[#This Row],[Cost Estimate USD]]=""),"",tblsales[[#This Row],[Contract Value USD]]-tblsales[[#This Row],[Cost Estimate USD]])</f>
        <v>951780.1479499999</v>
      </c>
      <c r="BC440" s="21">
        <f>IF(OR(tblsales[[#This Row],[Contract Value USD]]="",tblsales[[#This Row],[Cost Estimate USD]]=""),"",tblsales[[#This Row],[Contract Value USD]]-tblsales[[#This Row],[Cost Estimate USD]])</f>
        <v>951780.1479499999</v>
      </c>
      <c r="BD440" s="23">
        <f>IF(tblsales[[#This Row],[Invoice Value USD]]="","",tblsales[[#This Row],[Collected Amount USD]]/tblsales[[#This Row],[Invoice Value USD]])</f>
        <v>0.82908036705064914</v>
      </c>
      <c r="BE440" s="11">
        <f>IF(tblsales[[#This Row],[SalesStage]]="Won",1,0)</f>
        <v>0</v>
      </c>
      <c r="BF440" s="21" t="str">
        <f>IF(tblsales[[#This Row],[Win Flag]]=1,"Won","Lost")</f>
        <v>Lost</v>
      </c>
      <c r="BG440" s="8"/>
    </row>
    <row r="441" spans="1:59" x14ac:dyDescent="0.3">
      <c r="A441" s="10" t="s">
        <v>1639</v>
      </c>
      <c r="B441" s="9">
        <v>45948</v>
      </c>
      <c r="C441" s="10" t="s">
        <v>249</v>
      </c>
      <c r="D441" s="10" t="s">
        <v>262</v>
      </c>
      <c r="E441" s="10" t="s">
        <v>36</v>
      </c>
      <c r="F441" s="10" t="s">
        <v>19</v>
      </c>
      <c r="G441" s="10" t="s">
        <v>66</v>
      </c>
      <c r="H441" s="10" t="s">
        <v>182</v>
      </c>
      <c r="I441" s="10" t="s">
        <v>183</v>
      </c>
      <c r="J441" s="10" t="s">
        <v>115</v>
      </c>
      <c r="K441" s="10" t="s">
        <v>223</v>
      </c>
      <c r="L441" s="10" t="s">
        <v>1640</v>
      </c>
      <c r="M441" s="9">
        <v>45818</v>
      </c>
      <c r="N441" s="9">
        <v>45954</v>
      </c>
      <c r="O441" s="9">
        <v>46007</v>
      </c>
      <c r="P441" s="11">
        <v>32</v>
      </c>
      <c r="Q441" s="12">
        <v>3265425</v>
      </c>
      <c r="R441">
        <v>889175.22749999992</v>
      </c>
      <c r="S441" s="22">
        <v>0.25</v>
      </c>
      <c r="T441" s="22">
        <v>0.06</v>
      </c>
      <c r="U441" s="12">
        <v>2596012.88</v>
      </c>
      <c r="V441" s="24">
        <v>706894.30722399999</v>
      </c>
      <c r="W441" s="8">
        <v>2158671.96</v>
      </c>
      <c r="X441" s="24">
        <v>587806.37470799999</v>
      </c>
      <c r="Y441" s="22">
        <v>0.28999999999999998</v>
      </c>
      <c r="Z441" s="22">
        <v>0.17</v>
      </c>
      <c r="AA441" s="8" t="s">
        <v>1641</v>
      </c>
      <c r="AB441" s="8">
        <v>2148139.85</v>
      </c>
      <c r="AC441" s="24">
        <v>584938.48115500004</v>
      </c>
      <c r="AD441" s="8">
        <v>1486551.2</v>
      </c>
      <c r="AE441" s="24">
        <v>404787.89175999997</v>
      </c>
      <c r="AF441" s="8">
        <v>45</v>
      </c>
      <c r="AG441" s="8">
        <v>152</v>
      </c>
      <c r="AH441" s="8" t="s">
        <v>342</v>
      </c>
      <c r="AI441" s="8" t="s">
        <v>354</v>
      </c>
      <c r="AJ441" s="22"/>
      <c r="AK441" s="8" t="s">
        <v>153</v>
      </c>
      <c r="AL441" s="22">
        <v>0.15</v>
      </c>
      <c r="AM441" s="22">
        <v>0.08</v>
      </c>
      <c r="AN441" s="8">
        <v>11</v>
      </c>
      <c r="AO441" s="8">
        <v>833</v>
      </c>
      <c r="AP441" s="8">
        <v>194623.45</v>
      </c>
      <c r="AQ441" s="24">
        <v>52995.965434999998</v>
      </c>
      <c r="AR441" s="8">
        <v>289914.92</v>
      </c>
      <c r="AS441" s="37">
        <v>78943.83271599999</v>
      </c>
      <c r="AT441" s="8" t="s">
        <v>321</v>
      </c>
      <c r="AU441" s="8" t="s">
        <v>332</v>
      </c>
      <c r="AV441" s="8">
        <v>92.9</v>
      </c>
      <c r="AW441" s="8">
        <v>24</v>
      </c>
      <c r="AX441" s="8" t="s">
        <v>337</v>
      </c>
      <c r="AY441" s="8" t="s">
        <v>229</v>
      </c>
      <c r="AZ441" s="8" t="s">
        <v>357</v>
      </c>
      <c r="BA441" s="21">
        <f>IF(OR(tblsales[[#This Row],[Invoice Value USD]]="",tblsales[[#This Row],[Collected Amount USD]]=""),"",tblsales[[#This Row],[Invoice Value USD]]-tblsales[[#This Row],[Collected Amount USD]])</f>
        <v>180150.58939500008</v>
      </c>
      <c r="BB441" s="21">
        <f>IF(OR(tblsales[[#This Row],[Contract Value USD]]="",tblsales[[#This Row],[Cost Estimate USD]]=""),"",tblsales[[#This Row],[Contract Value USD]]-tblsales[[#This Row],[Cost Estimate USD]])</f>
        <v>119087.932516</v>
      </c>
      <c r="BC441" s="21">
        <f>IF(OR(tblsales[[#This Row],[Contract Value USD]]="",tblsales[[#This Row],[Cost Estimate USD]]=""),"",tblsales[[#This Row],[Contract Value USD]]-tblsales[[#This Row],[Cost Estimate USD]])</f>
        <v>119087.932516</v>
      </c>
      <c r="BD441" s="23">
        <f>IF(tblsales[[#This Row],[Invoice Value USD]]="","",tblsales[[#This Row],[Collected Amount USD]]/tblsales[[#This Row],[Invoice Value USD]])</f>
        <v>0.69201788701047551</v>
      </c>
      <c r="BE441" s="11">
        <f>IF(tblsales[[#This Row],[SalesStage]]="Won",1,0)</f>
        <v>0</v>
      </c>
      <c r="BF441" s="21" t="str">
        <f>IF(tblsales[[#This Row],[Win Flag]]=1,"Won","Lost")</f>
        <v>Lost</v>
      </c>
      <c r="BG441" s="8"/>
    </row>
    <row r="442" spans="1:59" x14ac:dyDescent="0.3">
      <c r="A442" s="10" t="s">
        <v>1642</v>
      </c>
      <c r="B442" s="9">
        <v>45751</v>
      </c>
      <c r="C442" s="10" t="s">
        <v>271</v>
      </c>
      <c r="D442" s="10" t="s">
        <v>238</v>
      </c>
      <c r="E442" s="10" t="s">
        <v>36</v>
      </c>
      <c r="F442" s="10" t="s">
        <v>19</v>
      </c>
      <c r="G442" s="10" t="s">
        <v>38</v>
      </c>
      <c r="H442" s="10" t="s">
        <v>216</v>
      </c>
      <c r="I442" s="10" t="s">
        <v>240</v>
      </c>
      <c r="J442" s="10" t="s">
        <v>115</v>
      </c>
      <c r="K442" s="10" t="s">
        <v>223</v>
      </c>
      <c r="L442" s="10" t="s">
        <v>1643</v>
      </c>
      <c r="M442" s="9">
        <v>45701</v>
      </c>
      <c r="N442" s="9">
        <v>45795</v>
      </c>
      <c r="O442" s="9">
        <v>45834</v>
      </c>
      <c r="P442" s="11">
        <v>37</v>
      </c>
      <c r="Q442" s="12">
        <v>45017844</v>
      </c>
      <c r="R442">
        <v>45017844</v>
      </c>
      <c r="S442" s="22">
        <v>0.13</v>
      </c>
      <c r="T442" s="22">
        <v>0.12</v>
      </c>
      <c r="U442" s="12">
        <v>43865387.189999998</v>
      </c>
      <c r="V442" s="24">
        <v>43865387.189999998</v>
      </c>
      <c r="W442" s="8">
        <v>31790120.760000002</v>
      </c>
      <c r="X442" s="24">
        <v>31790120.760000002</v>
      </c>
      <c r="Y442" s="22">
        <v>0.2</v>
      </c>
      <c r="Z442" s="22">
        <v>0.11</v>
      </c>
      <c r="AA442" s="8" t="s">
        <v>1644</v>
      </c>
      <c r="AB442" s="8">
        <v>21714976.280000001</v>
      </c>
      <c r="AC442" s="24">
        <v>21714976.280000001</v>
      </c>
      <c r="AD442" s="8">
        <v>15129435.189999999</v>
      </c>
      <c r="AE442" s="24">
        <v>15129435.189999999</v>
      </c>
      <c r="AF442" s="8">
        <v>120</v>
      </c>
      <c r="AG442" s="8">
        <v>50</v>
      </c>
      <c r="AH442" s="8" t="s">
        <v>353</v>
      </c>
      <c r="AI442" s="8" t="s">
        <v>336</v>
      </c>
      <c r="AJ442" s="22">
        <v>0.56999999999999995</v>
      </c>
      <c r="AK442" s="8" t="s">
        <v>152</v>
      </c>
      <c r="AL442" s="22">
        <v>0.15</v>
      </c>
      <c r="AM442" s="22">
        <v>0.04</v>
      </c>
      <c r="AN442" s="8">
        <v>9</v>
      </c>
      <c r="AO442" s="8">
        <v>1376</v>
      </c>
      <c r="AP442" s="8">
        <v>3473501.22</v>
      </c>
      <c r="AQ442" s="24">
        <v>3473501.22</v>
      </c>
      <c r="AR442" s="8">
        <v>17603310.449999999</v>
      </c>
      <c r="AS442" s="37">
        <v>17603310.449999999</v>
      </c>
      <c r="AT442" s="8" t="s">
        <v>355</v>
      </c>
      <c r="AU442" s="8" t="s">
        <v>332</v>
      </c>
      <c r="AV442" s="8">
        <v>54.3</v>
      </c>
      <c r="AW442" s="8"/>
      <c r="AX442" s="8" t="s">
        <v>332</v>
      </c>
      <c r="AY442" s="8" t="s">
        <v>192</v>
      </c>
      <c r="AZ442" s="8" t="s">
        <v>377</v>
      </c>
      <c r="BA442" s="21">
        <f>IF(OR(tblsales[[#This Row],[Invoice Value USD]]="",tblsales[[#This Row],[Collected Amount USD]]=""),"",tblsales[[#This Row],[Invoice Value USD]]-tblsales[[#This Row],[Collected Amount USD]])</f>
        <v>6585541.0900000017</v>
      </c>
      <c r="BB442" s="21">
        <f>IF(OR(tblsales[[#This Row],[Contract Value USD]]="",tblsales[[#This Row],[Cost Estimate USD]]=""),"",tblsales[[#This Row],[Contract Value USD]]-tblsales[[#This Row],[Cost Estimate USD]])</f>
        <v>12075266.429999996</v>
      </c>
      <c r="BC442" s="21">
        <f>IF(OR(tblsales[[#This Row],[Contract Value USD]]="",tblsales[[#This Row],[Cost Estimate USD]]=""),"",tblsales[[#This Row],[Contract Value USD]]-tblsales[[#This Row],[Cost Estimate USD]])</f>
        <v>12075266.429999996</v>
      </c>
      <c r="BD442" s="23">
        <f>IF(tblsales[[#This Row],[Invoice Value USD]]="","",tblsales[[#This Row],[Collected Amount USD]]/tblsales[[#This Row],[Invoice Value USD]])</f>
        <v>0.69672814719740506</v>
      </c>
      <c r="BE442" s="11">
        <f>IF(tblsales[[#This Row],[SalesStage]]="Won",1,0)</f>
        <v>0</v>
      </c>
      <c r="BF442" s="21" t="str">
        <f>IF(tblsales[[#This Row],[Win Flag]]=1,"Won","Lost")</f>
        <v>Lost</v>
      </c>
      <c r="BG442" s="8"/>
    </row>
    <row r="443" spans="1:59" x14ac:dyDescent="0.3">
      <c r="A443" s="10" t="s">
        <v>1645</v>
      </c>
      <c r="B443" s="9">
        <v>45959</v>
      </c>
      <c r="C443" s="10" t="s">
        <v>268</v>
      </c>
      <c r="D443" s="10" t="s">
        <v>394</v>
      </c>
      <c r="E443" s="10" t="s">
        <v>36</v>
      </c>
      <c r="F443" s="10" t="s">
        <v>19</v>
      </c>
      <c r="G443" s="10" t="s">
        <v>66</v>
      </c>
      <c r="H443" s="10" t="s">
        <v>182</v>
      </c>
      <c r="I443" s="10" t="s">
        <v>240</v>
      </c>
      <c r="J443" s="10" t="s">
        <v>115</v>
      </c>
      <c r="K443" s="10" t="s">
        <v>221</v>
      </c>
      <c r="L443" s="10" t="s">
        <v>1646</v>
      </c>
      <c r="M443" s="9">
        <v>45848</v>
      </c>
      <c r="N443" s="9">
        <v>45972</v>
      </c>
      <c r="O443" s="9">
        <v>46083</v>
      </c>
      <c r="P443" s="11">
        <v>25</v>
      </c>
      <c r="Q443" s="12">
        <v>41903880</v>
      </c>
      <c r="R443">
        <v>11410426.524</v>
      </c>
      <c r="S443" s="22">
        <v>0.33</v>
      </c>
      <c r="T443" s="22">
        <v>0.06</v>
      </c>
      <c r="U443" s="12">
        <v>29760135.579999998</v>
      </c>
      <c r="V443" s="24">
        <v>8103684.9184339987</v>
      </c>
      <c r="W443" s="8">
        <v>18663636.140000001</v>
      </c>
      <c r="X443" s="24">
        <v>5082108.1209220001</v>
      </c>
      <c r="Y443" s="22">
        <v>0.1</v>
      </c>
      <c r="Z443" s="22">
        <v>7.0000000000000007E-2</v>
      </c>
      <c r="AA443" s="8" t="s">
        <v>1647</v>
      </c>
      <c r="AB443" s="8">
        <v>7408344.46</v>
      </c>
      <c r="AC443" s="24">
        <v>2017292.196458</v>
      </c>
      <c r="AD443" s="8">
        <v>5799295.5800000001</v>
      </c>
      <c r="AE443" s="24">
        <v>1579148.186434</v>
      </c>
      <c r="AF443" s="8">
        <v>90</v>
      </c>
      <c r="AG443" s="8">
        <v>62</v>
      </c>
      <c r="AH443" s="8" t="s">
        <v>342</v>
      </c>
      <c r="AI443" s="8" t="s">
        <v>455</v>
      </c>
      <c r="AJ443" s="22">
        <v>7.0000000000000007E-2</v>
      </c>
      <c r="AK443" s="8" t="s">
        <v>153</v>
      </c>
      <c r="AL443" s="22">
        <v>0.05</v>
      </c>
      <c r="AM443" s="22">
        <v>0.09</v>
      </c>
      <c r="AN443" s="8">
        <v>10</v>
      </c>
      <c r="AO443" s="8">
        <v>4539</v>
      </c>
      <c r="AP443" s="8">
        <v>5539578.7800000003</v>
      </c>
      <c r="AQ443" s="24">
        <v>1508427.301794</v>
      </c>
      <c r="AR443" s="8">
        <v>6015734.0499999998</v>
      </c>
      <c r="AS443" s="37">
        <v>1638084.381815</v>
      </c>
      <c r="AT443" s="8" t="s">
        <v>332</v>
      </c>
      <c r="AU443" s="8" t="s">
        <v>348</v>
      </c>
      <c r="AV443" s="8">
        <v>70</v>
      </c>
      <c r="AW443" s="8">
        <v>36</v>
      </c>
      <c r="AX443" s="8" t="s">
        <v>332</v>
      </c>
      <c r="AY443" s="8" t="s">
        <v>186</v>
      </c>
      <c r="AZ443" s="8" t="s">
        <v>324</v>
      </c>
      <c r="BA443" s="21">
        <f>IF(OR(tblsales[[#This Row],[Invoice Value USD]]="",tblsales[[#This Row],[Collected Amount USD]]=""),"",tblsales[[#This Row],[Invoice Value USD]]-tblsales[[#This Row],[Collected Amount USD]])</f>
        <v>438144.01002399996</v>
      </c>
      <c r="BB443" s="21">
        <f>IF(OR(tblsales[[#This Row],[Contract Value USD]]="",tblsales[[#This Row],[Cost Estimate USD]]=""),"",tblsales[[#This Row],[Contract Value USD]]-tblsales[[#This Row],[Cost Estimate USD]])</f>
        <v>3021576.7975119986</v>
      </c>
      <c r="BC443" s="21">
        <f>IF(OR(tblsales[[#This Row],[Contract Value USD]]="",tblsales[[#This Row],[Cost Estimate USD]]=""),"",tblsales[[#This Row],[Contract Value USD]]-tblsales[[#This Row],[Cost Estimate USD]])</f>
        <v>3021576.7975119986</v>
      </c>
      <c r="BD443" s="23">
        <f>IF(tblsales[[#This Row],[Invoice Value USD]]="","",tblsales[[#This Row],[Collected Amount USD]]/tblsales[[#This Row],[Invoice Value USD]])</f>
        <v>0.78280587671270352</v>
      </c>
      <c r="BE443" s="11">
        <f>IF(tblsales[[#This Row],[SalesStage]]="Won",1,0)</f>
        <v>0</v>
      </c>
      <c r="BF443" s="21" t="str">
        <f>IF(tblsales[[#This Row],[Win Flag]]=1,"Won","Lost")</f>
        <v>Lost</v>
      </c>
      <c r="BG443" s="8"/>
    </row>
    <row r="444" spans="1:59" x14ac:dyDescent="0.3">
      <c r="A444" s="10" t="s">
        <v>1648</v>
      </c>
      <c r="B444" s="9">
        <v>45807</v>
      </c>
      <c r="C444" s="10" t="s">
        <v>217</v>
      </c>
      <c r="D444" s="10" t="s">
        <v>202</v>
      </c>
      <c r="E444" s="10" t="s">
        <v>20</v>
      </c>
      <c r="F444" s="10" t="s">
        <v>196</v>
      </c>
      <c r="G444" s="10" t="s">
        <v>23</v>
      </c>
      <c r="H444" s="10" t="s">
        <v>182</v>
      </c>
      <c r="I444" s="10" t="s">
        <v>203</v>
      </c>
      <c r="J444" s="10" t="s">
        <v>136</v>
      </c>
      <c r="K444" s="10" t="s">
        <v>333</v>
      </c>
      <c r="L444" s="10" t="s">
        <v>1649</v>
      </c>
      <c r="M444" s="9">
        <v>45750</v>
      </c>
      <c r="N444" s="9">
        <v>45857</v>
      </c>
      <c r="O444" s="9">
        <v>45894</v>
      </c>
      <c r="P444" s="11">
        <v>35</v>
      </c>
      <c r="Q444" s="12">
        <v>39825776</v>
      </c>
      <c r="R444">
        <v>39825776</v>
      </c>
      <c r="S444" s="22">
        <v>0.02</v>
      </c>
      <c r="T444" s="22">
        <v>0.02</v>
      </c>
      <c r="U444" s="12">
        <v>39809845.689999998</v>
      </c>
      <c r="V444" s="24">
        <v>39809845.689999998</v>
      </c>
      <c r="W444" s="8">
        <v>28989856.640000001</v>
      </c>
      <c r="X444" s="24">
        <v>28989856.640000001</v>
      </c>
      <c r="Y444" s="22">
        <v>0.08</v>
      </c>
      <c r="Z444" s="22">
        <v>0.06</v>
      </c>
      <c r="AA444" s="8" t="s">
        <v>1650</v>
      </c>
      <c r="AB444" s="8">
        <v>10746535.550000001</v>
      </c>
      <c r="AC444" s="24">
        <v>10746535.550000001</v>
      </c>
      <c r="AD444" s="8"/>
      <c r="AE444" s="24"/>
      <c r="AF444" s="8">
        <v>120</v>
      </c>
      <c r="AG444" s="8">
        <v>52</v>
      </c>
      <c r="AH444" s="8" t="s">
        <v>342</v>
      </c>
      <c r="AI444" s="8" t="s">
        <v>320</v>
      </c>
      <c r="AJ444" s="22">
        <v>0.66</v>
      </c>
      <c r="AK444" s="8" t="s">
        <v>152</v>
      </c>
      <c r="AL444" s="22">
        <v>0.05</v>
      </c>
      <c r="AM444" s="22">
        <v>0.05</v>
      </c>
      <c r="AN444" s="8">
        <v>11</v>
      </c>
      <c r="AO444" s="8">
        <v>2026</v>
      </c>
      <c r="AP444" s="8">
        <v>9035851.4399999995</v>
      </c>
      <c r="AQ444" s="24">
        <v>9035851.4399999995</v>
      </c>
      <c r="AR444" s="8">
        <v>11029772.9</v>
      </c>
      <c r="AS444" s="37">
        <v>11029772.9</v>
      </c>
      <c r="AT444" s="8" t="s">
        <v>321</v>
      </c>
      <c r="AU444" s="8" t="s">
        <v>348</v>
      </c>
      <c r="AV444" s="8">
        <v>91</v>
      </c>
      <c r="AW444" s="8">
        <v>48</v>
      </c>
      <c r="AX444" s="8" t="s">
        <v>337</v>
      </c>
      <c r="AY444" s="8" t="s">
        <v>229</v>
      </c>
      <c r="AZ444" s="8" t="s">
        <v>357</v>
      </c>
      <c r="BA444" s="21" t="str">
        <f>IF(OR(tblsales[[#This Row],[Invoice Value USD]]="",tblsales[[#This Row],[Collected Amount USD]]=""),"",tblsales[[#This Row],[Invoice Value USD]]-tblsales[[#This Row],[Collected Amount USD]])</f>
        <v/>
      </c>
      <c r="BB444" s="21">
        <f>IF(OR(tblsales[[#This Row],[Contract Value USD]]="",tblsales[[#This Row],[Cost Estimate USD]]=""),"",tblsales[[#This Row],[Contract Value USD]]-tblsales[[#This Row],[Cost Estimate USD]])</f>
        <v>10819989.049999997</v>
      </c>
      <c r="BC444" s="21">
        <f>IF(OR(tblsales[[#This Row],[Contract Value USD]]="",tblsales[[#This Row],[Cost Estimate USD]]=""),"",tblsales[[#This Row],[Contract Value USD]]-tblsales[[#This Row],[Cost Estimate USD]])</f>
        <v>10819989.049999997</v>
      </c>
      <c r="BD444" s="23">
        <f>IF(tblsales[[#This Row],[Invoice Value USD]]="","",tblsales[[#This Row],[Collected Amount USD]]/tblsales[[#This Row],[Invoice Value USD]])</f>
        <v>0</v>
      </c>
      <c r="BE444" s="11">
        <f>IF(tblsales[[#This Row],[SalesStage]]="Won",1,0)</f>
        <v>1</v>
      </c>
      <c r="BF444" s="21" t="str">
        <f>IF(tblsales[[#This Row],[Win Flag]]=1,"Won","Lost")</f>
        <v>Won</v>
      </c>
      <c r="BG444" s="8"/>
    </row>
    <row r="445" spans="1:59" x14ac:dyDescent="0.3">
      <c r="A445" s="10" t="s">
        <v>1651</v>
      </c>
      <c r="B445" s="9">
        <v>45907</v>
      </c>
      <c r="C445" s="10" t="s">
        <v>264</v>
      </c>
      <c r="D445" s="10" t="s">
        <v>262</v>
      </c>
      <c r="E445" s="10" t="s">
        <v>41</v>
      </c>
      <c r="F445" s="10" t="s">
        <v>350</v>
      </c>
      <c r="G445" s="10" t="s">
        <v>332</v>
      </c>
      <c r="H445" s="10" t="s">
        <v>236</v>
      </c>
      <c r="I445" s="10" t="s">
        <v>198</v>
      </c>
      <c r="J445" s="10" t="s">
        <v>130</v>
      </c>
      <c r="K445" s="10" t="s">
        <v>184</v>
      </c>
      <c r="L445" s="10" t="s">
        <v>1652</v>
      </c>
      <c r="M445" s="9">
        <v>45876</v>
      </c>
      <c r="N445" s="9">
        <v>45787</v>
      </c>
      <c r="O445" s="9"/>
      <c r="P445" s="11">
        <v>6</v>
      </c>
      <c r="Q445" s="12">
        <v>265687</v>
      </c>
      <c r="R445">
        <v>308462.60700000002</v>
      </c>
      <c r="S445" s="22">
        <v>0.16</v>
      </c>
      <c r="T445" s="22">
        <v>0.02</v>
      </c>
      <c r="U445" s="12">
        <v>227640.62</v>
      </c>
      <c r="V445" s="24">
        <v>264290.75981999998</v>
      </c>
      <c r="W445" s="8">
        <v>177872.94</v>
      </c>
      <c r="X445" s="24">
        <v>206510.48334000001</v>
      </c>
      <c r="Y445" s="22">
        <v>0.12</v>
      </c>
      <c r="Z445" s="22">
        <v>0.11</v>
      </c>
      <c r="AA445" s="8" t="s">
        <v>1653</v>
      </c>
      <c r="AB445" s="8">
        <v>175938.03</v>
      </c>
      <c r="AC445" s="24">
        <v>204264.05283</v>
      </c>
      <c r="AD445" s="8">
        <v>157005</v>
      </c>
      <c r="AE445" s="24">
        <v>182282.80499999999</v>
      </c>
      <c r="AF445" s="8">
        <v>30</v>
      </c>
      <c r="AG445" s="8">
        <v>96</v>
      </c>
      <c r="AH445" s="8" t="s">
        <v>332</v>
      </c>
      <c r="AI445" s="8" t="s">
        <v>455</v>
      </c>
      <c r="AJ445" s="22">
        <v>0.86</v>
      </c>
      <c r="AK445" s="8" t="s">
        <v>159</v>
      </c>
      <c r="AL445" s="22">
        <v>0.05</v>
      </c>
      <c r="AM445" s="22">
        <v>0.03</v>
      </c>
      <c r="AN445" s="8">
        <v>10</v>
      </c>
      <c r="AO445" s="8">
        <v>1207</v>
      </c>
      <c r="AP445" s="8">
        <v>26750.45</v>
      </c>
      <c r="AQ445" s="24">
        <v>31057.27245</v>
      </c>
      <c r="AR445" s="8">
        <v>26830.04</v>
      </c>
      <c r="AS445" s="37">
        <v>31149.676440000003</v>
      </c>
      <c r="AT445" s="8" t="s">
        <v>73</v>
      </c>
      <c r="AU445" s="8" t="s">
        <v>356</v>
      </c>
      <c r="AV445" s="8">
        <v>67.400000000000006</v>
      </c>
      <c r="AW445" s="8">
        <v>60</v>
      </c>
      <c r="AX445" s="8" t="s">
        <v>323</v>
      </c>
      <c r="AY445" s="8" t="s">
        <v>224</v>
      </c>
      <c r="AZ445" s="8" t="s">
        <v>332</v>
      </c>
      <c r="BA445" s="21">
        <f>IF(OR(tblsales[[#This Row],[Invoice Value USD]]="",tblsales[[#This Row],[Collected Amount USD]]=""),"",tblsales[[#This Row],[Invoice Value USD]]-tblsales[[#This Row],[Collected Amount USD]])</f>
        <v>21981.247830000008</v>
      </c>
      <c r="BB445" s="21">
        <f>IF(OR(tblsales[[#This Row],[Contract Value USD]]="",tblsales[[#This Row],[Cost Estimate USD]]=""),"",tblsales[[#This Row],[Contract Value USD]]-tblsales[[#This Row],[Cost Estimate USD]])</f>
        <v>57780.276479999971</v>
      </c>
      <c r="BC445" s="21">
        <f>IF(OR(tblsales[[#This Row],[Contract Value USD]]="",tblsales[[#This Row],[Cost Estimate USD]]=""),"",tblsales[[#This Row],[Contract Value USD]]-tblsales[[#This Row],[Cost Estimate USD]])</f>
        <v>57780.276479999971</v>
      </c>
      <c r="BD445" s="23">
        <f>IF(tblsales[[#This Row],[Invoice Value USD]]="","",tblsales[[#This Row],[Collected Amount USD]]/tblsales[[#This Row],[Invoice Value USD]])</f>
        <v>0.89238807550590393</v>
      </c>
      <c r="BE445" s="11">
        <f>IF(tblsales[[#This Row],[SalesStage]]="Won",1,0)</f>
        <v>0</v>
      </c>
      <c r="BF445" s="21" t="str">
        <f>IF(tblsales[[#This Row],[Win Flag]]=1,"Won","Lost")</f>
        <v>Lost</v>
      </c>
      <c r="BG445" s="8"/>
    </row>
    <row r="446" spans="1:59" x14ac:dyDescent="0.3">
      <c r="A446" s="10" t="s">
        <v>1654</v>
      </c>
      <c r="B446" s="9">
        <v>45783</v>
      </c>
      <c r="C446" s="10" t="s">
        <v>217</v>
      </c>
      <c r="D446" s="10" t="s">
        <v>253</v>
      </c>
      <c r="E446" s="10" t="s">
        <v>20</v>
      </c>
      <c r="F446" s="10" t="s">
        <v>31</v>
      </c>
      <c r="G446" s="10" t="s">
        <v>332</v>
      </c>
      <c r="H446" s="10" t="s">
        <v>236</v>
      </c>
      <c r="I446" s="10" t="s">
        <v>183</v>
      </c>
      <c r="J446" s="10" t="s">
        <v>136</v>
      </c>
      <c r="K446" s="10" t="s">
        <v>210</v>
      </c>
      <c r="L446" s="10" t="s">
        <v>1655</v>
      </c>
      <c r="M446" s="9">
        <v>45712</v>
      </c>
      <c r="N446" s="9">
        <v>45821</v>
      </c>
      <c r="O446" s="9">
        <v>45908</v>
      </c>
      <c r="P446" s="11">
        <v>30</v>
      </c>
      <c r="Q446" s="12">
        <v>19045328</v>
      </c>
      <c r="R446">
        <v>5079388.9775999999</v>
      </c>
      <c r="S446" s="22">
        <v>0.14000000000000001</v>
      </c>
      <c r="T446" s="22">
        <v>-0.02</v>
      </c>
      <c r="U446" s="12">
        <v>16051402.439999999</v>
      </c>
      <c r="V446" s="24">
        <v>4280909.0307479994</v>
      </c>
      <c r="W446" s="8">
        <v>9853183.7699999996</v>
      </c>
      <c r="X446" s="24">
        <v>2627844.111459</v>
      </c>
      <c r="Y446" s="22"/>
      <c r="Z446" s="22">
        <v>7.0000000000000007E-2</v>
      </c>
      <c r="AA446" s="8" t="s">
        <v>1656</v>
      </c>
      <c r="AB446" s="8">
        <v>5038996.24</v>
      </c>
      <c r="AC446" s="24">
        <v>1343900.297208</v>
      </c>
      <c r="AD446" s="8">
        <v>2111933.0299999998</v>
      </c>
      <c r="AE446" s="24">
        <v>563252.53910099994</v>
      </c>
      <c r="AF446" s="8">
        <v>30</v>
      </c>
      <c r="AG446" s="8">
        <v>61</v>
      </c>
      <c r="AH446" s="8" t="s">
        <v>376</v>
      </c>
      <c r="AI446" s="8" t="s">
        <v>320</v>
      </c>
      <c r="AJ446" s="22">
        <v>0.55000000000000004</v>
      </c>
      <c r="AK446" s="8" t="s">
        <v>162</v>
      </c>
      <c r="AL446" s="22">
        <v>0.15</v>
      </c>
      <c r="AM446" s="22">
        <v>0.03</v>
      </c>
      <c r="AN446" s="8">
        <v>7</v>
      </c>
      <c r="AO446" s="8">
        <v>3562</v>
      </c>
      <c r="AP446" s="8">
        <v>2390769.4</v>
      </c>
      <c r="AQ446" s="24">
        <v>637618.19897999999</v>
      </c>
      <c r="AR446" s="8">
        <v>1782248.54</v>
      </c>
      <c r="AS446" s="37">
        <v>475325.68561799999</v>
      </c>
      <c r="AT446" s="8" t="s">
        <v>321</v>
      </c>
      <c r="AU446" s="8" t="s">
        <v>386</v>
      </c>
      <c r="AV446" s="8">
        <v>55</v>
      </c>
      <c r="AW446" s="8">
        <v>60</v>
      </c>
      <c r="AX446" s="8" t="s">
        <v>392</v>
      </c>
      <c r="AY446" s="8" t="s">
        <v>186</v>
      </c>
      <c r="AZ446" s="8" t="s">
        <v>377</v>
      </c>
      <c r="BA446" s="21">
        <f>IF(OR(tblsales[[#This Row],[Invoice Value USD]]="",tblsales[[#This Row],[Collected Amount USD]]=""),"",tblsales[[#This Row],[Invoice Value USD]]-tblsales[[#This Row],[Collected Amount USD]])</f>
        <v>780647.75810700003</v>
      </c>
      <c r="BB446" s="21">
        <f>IF(OR(tblsales[[#This Row],[Contract Value USD]]="",tblsales[[#This Row],[Cost Estimate USD]]=""),"",tblsales[[#This Row],[Contract Value USD]]-tblsales[[#This Row],[Cost Estimate USD]])</f>
        <v>1653064.9192889994</v>
      </c>
      <c r="BC446" s="21">
        <f>IF(OR(tblsales[[#This Row],[Contract Value USD]]="",tblsales[[#This Row],[Cost Estimate USD]]=""),"",tblsales[[#This Row],[Contract Value USD]]-tblsales[[#This Row],[Cost Estimate USD]])</f>
        <v>1653064.9192889994</v>
      </c>
      <c r="BD446" s="23">
        <f>IF(tblsales[[#This Row],[Invoice Value USD]]="","",tblsales[[#This Row],[Collected Amount USD]]/tblsales[[#This Row],[Invoice Value USD]])</f>
        <v>0.41911780231850299</v>
      </c>
      <c r="BE446" s="11">
        <f>IF(tblsales[[#This Row],[SalesStage]]="Won",1,0)</f>
        <v>1</v>
      </c>
      <c r="BF446" s="21" t="str">
        <f>IF(tblsales[[#This Row],[Win Flag]]=1,"Won","Lost")</f>
        <v>Won</v>
      </c>
      <c r="BG446" s="8"/>
    </row>
    <row r="447" spans="1:59" x14ac:dyDescent="0.3">
      <c r="A447" s="10" t="s">
        <v>1657</v>
      </c>
      <c r="B447" s="9">
        <v>45699</v>
      </c>
      <c r="C447" s="10" t="s">
        <v>258</v>
      </c>
      <c r="D447" s="10" t="s">
        <v>274</v>
      </c>
      <c r="E447" s="10" t="s">
        <v>41</v>
      </c>
      <c r="F447" s="10" t="s">
        <v>228</v>
      </c>
      <c r="G447" s="10" t="s">
        <v>46</v>
      </c>
      <c r="H447" s="10" t="s">
        <v>197</v>
      </c>
      <c r="I447" s="10" t="s">
        <v>233</v>
      </c>
      <c r="J447" s="10" t="s">
        <v>105</v>
      </c>
      <c r="K447" s="10" t="s">
        <v>326</v>
      </c>
      <c r="L447" s="10" t="s">
        <v>1658</v>
      </c>
      <c r="M447" s="9">
        <v>45671</v>
      </c>
      <c r="N447" s="9"/>
      <c r="O447" s="9">
        <v>45742</v>
      </c>
      <c r="P447" s="11">
        <v>51</v>
      </c>
      <c r="Q447" s="12">
        <v>7590644</v>
      </c>
      <c r="R447">
        <v>7590644</v>
      </c>
      <c r="S447" s="22">
        <v>0.31</v>
      </c>
      <c r="T447" s="22">
        <v>0.1</v>
      </c>
      <c r="U447" s="12">
        <v>5761298.7999999998</v>
      </c>
      <c r="V447" s="24">
        <v>5761298.7999999998</v>
      </c>
      <c r="W447" s="8">
        <v>5053235.08</v>
      </c>
      <c r="X447" s="24">
        <v>5053235.08</v>
      </c>
      <c r="Y447" s="22">
        <v>0.13</v>
      </c>
      <c r="Z447" s="22">
        <v>0.05</v>
      </c>
      <c r="AA447" s="8" t="s">
        <v>1659</v>
      </c>
      <c r="AB447" s="8">
        <v>682298.03</v>
      </c>
      <c r="AC447" s="24">
        <v>682298.03</v>
      </c>
      <c r="AD447" s="8">
        <v>349244.56</v>
      </c>
      <c r="AE447" s="24">
        <v>349244.56</v>
      </c>
      <c r="AF447" s="8">
        <v>60</v>
      </c>
      <c r="AG447" s="8">
        <v>93</v>
      </c>
      <c r="AH447" s="8" t="s">
        <v>332</v>
      </c>
      <c r="AI447" s="8" t="s">
        <v>406</v>
      </c>
      <c r="AJ447" s="22">
        <v>0.28999999999999998</v>
      </c>
      <c r="AK447" s="8" t="s">
        <v>152</v>
      </c>
      <c r="AL447" s="22">
        <v>0.1</v>
      </c>
      <c r="AM447" s="22">
        <v>0.05</v>
      </c>
      <c r="AN447" s="8">
        <v>15</v>
      </c>
      <c r="AO447" s="8">
        <v>3924</v>
      </c>
      <c r="AP447" s="8">
        <v>1205999.93</v>
      </c>
      <c r="AQ447" s="24">
        <v>1205999.93</v>
      </c>
      <c r="AR447" s="8"/>
      <c r="AS447" s="37"/>
      <c r="AT447" s="8" t="s">
        <v>332</v>
      </c>
      <c r="AU447" s="8" t="s">
        <v>386</v>
      </c>
      <c r="AV447" s="8">
        <v>72.900000000000006</v>
      </c>
      <c r="AW447" s="8">
        <v>24</v>
      </c>
      <c r="AX447" s="8" t="s">
        <v>332</v>
      </c>
      <c r="AY447" s="8" t="s">
        <v>186</v>
      </c>
      <c r="AZ447" s="8" t="s">
        <v>377</v>
      </c>
      <c r="BA447" s="21">
        <f>IF(OR(tblsales[[#This Row],[Invoice Value USD]]="",tblsales[[#This Row],[Collected Amount USD]]=""),"",tblsales[[#This Row],[Invoice Value USD]]-tblsales[[#This Row],[Collected Amount USD]])</f>
        <v>333053.47000000003</v>
      </c>
      <c r="BB447" s="21">
        <f>IF(OR(tblsales[[#This Row],[Contract Value USD]]="",tblsales[[#This Row],[Cost Estimate USD]]=""),"",tblsales[[#This Row],[Contract Value USD]]-tblsales[[#This Row],[Cost Estimate USD]])</f>
        <v>708063.71999999974</v>
      </c>
      <c r="BC447" s="21">
        <f>IF(OR(tblsales[[#This Row],[Contract Value USD]]="",tblsales[[#This Row],[Cost Estimate USD]]=""),"",tblsales[[#This Row],[Contract Value USD]]-tblsales[[#This Row],[Cost Estimate USD]])</f>
        <v>708063.71999999974</v>
      </c>
      <c r="BD447" s="23">
        <f>IF(tblsales[[#This Row],[Invoice Value USD]]="","",tblsales[[#This Row],[Collected Amount USD]]/tblsales[[#This Row],[Invoice Value USD]])</f>
        <v>0.5118651156005829</v>
      </c>
      <c r="BE447" s="11">
        <f>IF(tblsales[[#This Row],[SalesStage]]="Won",1,0)</f>
        <v>0</v>
      </c>
      <c r="BF447" s="21" t="str">
        <f>IF(tblsales[[#This Row],[Win Flag]]=1,"Won","Lost")</f>
        <v>Lost</v>
      </c>
      <c r="BG447" s="8"/>
    </row>
    <row r="448" spans="1:59" x14ac:dyDescent="0.3">
      <c r="A448" s="10" t="s">
        <v>1660</v>
      </c>
      <c r="B448" s="9">
        <v>46061</v>
      </c>
      <c r="C448" s="10" t="s">
        <v>217</v>
      </c>
      <c r="D448" s="10" t="s">
        <v>274</v>
      </c>
      <c r="E448" s="10" t="s">
        <v>41</v>
      </c>
      <c r="F448" s="10" t="s">
        <v>363</v>
      </c>
      <c r="G448" s="10" t="s">
        <v>66</v>
      </c>
      <c r="H448" s="10" t="s">
        <v>212</v>
      </c>
      <c r="I448" s="10" t="s">
        <v>191</v>
      </c>
      <c r="J448" s="10" t="s">
        <v>105</v>
      </c>
      <c r="K448" s="10" t="s">
        <v>199</v>
      </c>
      <c r="L448" s="10" t="s">
        <v>1661</v>
      </c>
      <c r="M448" s="9">
        <v>45990</v>
      </c>
      <c r="N448" s="9">
        <v>46085</v>
      </c>
      <c r="O448" s="9">
        <v>46163</v>
      </c>
      <c r="P448" s="11">
        <v>60</v>
      </c>
      <c r="Q448" s="12">
        <v>26438378</v>
      </c>
      <c r="R448">
        <v>26438378</v>
      </c>
      <c r="S448" s="22">
        <v>0.31</v>
      </c>
      <c r="T448" s="22">
        <v>-0.01</v>
      </c>
      <c r="U448" s="12">
        <v>18060056.010000002</v>
      </c>
      <c r="V448" s="24">
        <v>18060056.010000002</v>
      </c>
      <c r="W448" s="8">
        <v>10954403.619999999</v>
      </c>
      <c r="X448" s="24">
        <v>10954403.619999999</v>
      </c>
      <c r="Y448" s="22">
        <v>0.25</v>
      </c>
      <c r="Z448" s="22">
        <v>0.19</v>
      </c>
      <c r="AA448" s="8" t="s">
        <v>1662</v>
      </c>
      <c r="AB448" s="8">
        <v>7415883.0800000001</v>
      </c>
      <c r="AC448" s="24">
        <v>7415883.0800000001</v>
      </c>
      <c r="AD448" s="8">
        <v>6540934.8600000003</v>
      </c>
      <c r="AE448" s="24">
        <v>6540934.8600000003</v>
      </c>
      <c r="AF448" s="8">
        <v>30</v>
      </c>
      <c r="AG448" s="8">
        <v>76</v>
      </c>
      <c r="AH448" s="8" t="s">
        <v>332</v>
      </c>
      <c r="AI448" s="8" t="s">
        <v>354</v>
      </c>
      <c r="AJ448" s="22">
        <v>0.94</v>
      </c>
      <c r="AK448" s="8" t="s">
        <v>152</v>
      </c>
      <c r="AL448" s="22">
        <v>0.05</v>
      </c>
      <c r="AM448" s="22">
        <v>0.02</v>
      </c>
      <c r="AN448" s="8">
        <v>14</v>
      </c>
      <c r="AO448" s="8">
        <v>1876</v>
      </c>
      <c r="AP448" s="8">
        <v>1304171.3700000001</v>
      </c>
      <c r="AQ448" s="24">
        <v>1304171.3700000001</v>
      </c>
      <c r="AR448" s="8">
        <v>7336051.3499999996</v>
      </c>
      <c r="AS448" s="37">
        <v>7336051.3499999996</v>
      </c>
      <c r="AT448" s="8" t="s">
        <v>391</v>
      </c>
      <c r="AU448" s="8" t="s">
        <v>321</v>
      </c>
      <c r="AV448" s="8"/>
      <c r="AW448" s="8">
        <v>24</v>
      </c>
      <c r="AX448" s="8" t="s">
        <v>323</v>
      </c>
      <c r="AY448" s="8" t="s">
        <v>192</v>
      </c>
      <c r="AZ448" s="8" t="s">
        <v>188</v>
      </c>
      <c r="BA448" s="21">
        <f>IF(OR(tblsales[[#This Row],[Invoice Value USD]]="",tblsales[[#This Row],[Collected Amount USD]]=""),"",tblsales[[#This Row],[Invoice Value USD]]-tblsales[[#This Row],[Collected Amount USD]])</f>
        <v>874948.21999999974</v>
      </c>
      <c r="BB448" s="21">
        <f>IF(OR(tblsales[[#This Row],[Contract Value USD]]="",tblsales[[#This Row],[Cost Estimate USD]]=""),"",tblsales[[#This Row],[Contract Value USD]]-tblsales[[#This Row],[Cost Estimate USD]])</f>
        <v>7105652.3900000025</v>
      </c>
      <c r="BC448" s="21">
        <f>IF(OR(tblsales[[#This Row],[Contract Value USD]]="",tblsales[[#This Row],[Cost Estimate USD]]=""),"",tblsales[[#This Row],[Contract Value USD]]-tblsales[[#This Row],[Cost Estimate USD]])</f>
        <v>7105652.3900000025</v>
      </c>
      <c r="BD448" s="23">
        <f>IF(tblsales[[#This Row],[Invoice Value USD]]="","",tblsales[[#This Row],[Collected Amount USD]]/tblsales[[#This Row],[Invoice Value USD]])</f>
        <v>0.88201698832608888</v>
      </c>
      <c r="BE448" s="11">
        <f>IF(tblsales[[#This Row],[SalesStage]]="Won",1,0)</f>
        <v>0</v>
      </c>
      <c r="BF448" s="21" t="str">
        <f>IF(tblsales[[#This Row],[Win Flag]]=1,"Won","Lost")</f>
        <v>Lost</v>
      </c>
      <c r="BG448" s="8"/>
    </row>
    <row r="449" spans="1:59" x14ac:dyDescent="0.3">
      <c r="A449" s="10" t="s">
        <v>5787</v>
      </c>
      <c r="B449" s="9">
        <v>45854</v>
      </c>
      <c r="C449" s="10" t="s">
        <v>285</v>
      </c>
      <c r="D449" s="10" t="s">
        <v>394</v>
      </c>
      <c r="E449" s="10" t="s">
        <v>113</v>
      </c>
      <c r="F449" s="10" t="s">
        <v>332</v>
      </c>
      <c r="G449" s="10" t="s">
        <v>28</v>
      </c>
      <c r="H449" s="10" t="s">
        <v>212</v>
      </c>
      <c r="I449" s="10" t="s">
        <v>246</v>
      </c>
      <c r="J449" s="10" t="s">
        <v>123</v>
      </c>
      <c r="K449" s="10" t="s">
        <v>333</v>
      </c>
      <c r="L449" s="10" t="s">
        <v>3950</v>
      </c>
      <c r="M449" s="9">
        <v>45777</v>
      </c>
      <c r="N449" s="9">
        <v>45884</v>
      </c>
      <c r="O449" s="9">
        <v>45971</v>
      </c>
      <c r="P449" s="11">
        <v>58</v>
      </c>
      <c r="Q449" s="12">
        <v>22334553</v>
      </c>
      <c r="R449">
        <v>22334553</v>
      </c>
      <c r="S449" s="22">
        <v>0.21</v>
      </c>
      <c r="T449" s="22">
        <v>0.02</v>
      </c>
      <c r="U449" s="12">
        <v>17997182.809999999</v>
      </c>
      <c r="V449" s="24">
        <v>17997182.809999999</v>
      </c>
      <c r="W449" s="8">
        <v>13445690.9</v>
      </c>
      <c r="X449" s="24">
        <v>13445690.9</v>
      </c>
      <c r="Y449" s="22">
        <v>0.24</v>
      </c>
      <c r="Z449" s="22">
        <v>0.11</v>
      </c>
      <c r="AA449" s="8" t="s">
        <v>3952</v>
      </c>
      <c r="AB449" s="8">
        <v>1568073.99</v>
      </c>
      <c r="AC449" s="24">
        <v>1568073.99</v>
      </c>
      <c r="AD449" s="8">
        <v>801878.44</v>
      </c>
      <c r="AE449" s="24">
        <v>801878.44</v>
      </c>
      <c r="AF449" s="8">
        <v>90</v>
      </c>
      <c r="AG449" s="8">
        <v>176</v>
      </c>
      <c r="AH449" s="8" t="s">
        <v>329</v>
      </c>
      <c r="AI449" s="8" t="s">
        <v>226</v>
      </c>
      <c r="AJ449" s="22">
        <v>0.19</v>
      </c>
      <c r="AK449" s="8" t="s">
        <v>152</v>
      </c>
      <c r="AL449" s="22">
        <v>0.05</v>
      </c>
      <c r="AM449" s="22">
        <v>0.02</v>
      </c>
      <c r="AN449" s="8">
        <v>14</v>
      </c>
      <c r="AO449" s="8">
        <v>845</v>
      </c>
      <c r="AP449" s="8">
        <v>4049703.48</v>
      </c>
      <c r="AQ449" s="24">
        <v>4049703.48</v>
      </c>
      <c r="AR449" s="8"/>
      <c r="AS449" s="37"/>
      <c r="AT449" s="8" t="s">
        <v>73</v>
      </c>
      <c r="AU449" s="8" t="s">
        <v>386</v>
      </c>
      <c r="AV449" s="8">
        <v>67.8</v>
      </c>
      <c r="AW449" s="8"/>
      <c r="AX449" s="8" t="s">
        <v>332</v>
      </c>
      <c r="AY449" s="8" t="s">
        <v>224</v>
      </c>
      <c r="AZ449" s="8" t="s">
        <v>361</v>
      </c>
      <c r="BA449" s="21">
        <f>IF(OR(tblsales[[#This Row],[Invoice Value USD]]="",tblsales[[#This Row],[Collected Amount USD]]=""),"",tblsales[[#This Row],[Invoice Value USD]]-tblsales[[#This Row],[Collected Amount USD]])</f>
        <v>766195.55</v>
      </c>
      <c r="BB449" s="21">
        <f>IF(OR(tblsales[[#This Row],[Contract Value USD]]="",tblsales[[#This Row],[Cost Estimate USD]]=""),"",tblsales[[#This Row],[Contract Value USD]]-tblsales[[#This Row],[Cost Estimate USD]])</f>
        <v>4551491.9099999983</v>
      </c>
      <c r="BC449" s="21">
        <f>IF(OR(tblsales[[#This Row],[Contract Value USD]]="",tblsales[[#This Row],[Cost Estimate USD]]=""),"",tblsales[[#This Row],[Contract Value USD]]-tblsales[[#This Row],[Cost Estimate USD]])</f>
        <v>4551491.9099999983</v>
      </c>
      <c r="BD449" s="23">
        <f>IF(tblsales[[#This Row],[Invoice Value USD]]="","",tblsales[[#This Row],[Collected Amount USD]]/tblsales[[#This Row],[Invoice Value USD]])</f>
        <v>0.51137793568019063</v>
      </c>
      <c r="BE449" s="11">
        <f>IF(tblsales[[#This Row],[SalesStage]]="Won",1,0)</f>
        <v>0</v>
      </c>
      <c r="BF449" s="21" t="str">
        <f>IF(tblsales[[#This Row],[Win Flag]]=1,"Won","Lost")</f>
        <v>Lost</v>
      </c>
      <c r="BG449" s="8"/>
    </row>
    <row r="450" spans="1:59" x14ac:dyDescent="0.3">
      <c r="A450" s="10" t="s">
        <v>1663</v>
      </c>
      <c r="B450" s="9">
        <v>45706</v>
      </c>
      <c r="C450" s="10" t="s">
        <v>270</v>
      </c>
      <c r="D450" s="10" t="s">
        <v>238</v>
      </c>
      <c r="E450" s="10" t="s">
        <v>52</v>
      </c>
      <c r="F450" s="10" t="s">
        <v>75</v>
      </c>
      <c r="G450" s="10" t="s">
        <v>38</v>
      </c>
      <c r="H450" s="10" t="s">
        <v>263</v>
      </c>
      <c r="I450" s="10" t="s">
        <v>233</v>
      </c>
      <c r="J450" s="10" t="s">
        <v>133</v>
      </c>
      <c r="K450" s="10" t="s">
        <v>184</v>
      </c>
      <c r="L450" s="10" t="s">
        <v>1664</v>
      </c>
      <c r="M450" s="9">
        <v>45646</v>
      </c>
      <c r="N450" s="9">
        <v>45713</v>
      </c>
      <c r="O450" s="9">
        <v>45737</v>
      </c>
      <c r="P450" s="11"/>
      <c r="Q450" s="12">
        <v>27576029</v>
      </c>
      <c r="R450">
        <v>7354526.9342999998</v>
      </c>
      <c r="S450" s="22">
        <v>0.08</v>
      </c>
      <c r="T450" s="22">
        <v>-0.03</v>
      </c>
      <c r="U450" s="12">
        <v>24608848.280000001</v>
      </c>
      <c r="V450" s="24">
        <v>6563179.8362760004</v>
      </c>
      <c r="W450" s="8">
        <v>17334908.41</v>
      </c>
      <c r="X450" s="24">
        <v>4623220.0729470002</v>
      </c>
      <c r="Y450" s="22">
        <v>0.28999999999999998</v>
      </c>
      <c r="Z450" s="22">
        <v>7.0000000000000007E-2</v>
      </c>
      <c r="AA450" s="8" t="s">
        <v>1665</v>
      </c>
      <c r="AB450" s="8">
        <v>13705185.119999999</v>
      </c>
      <c r="AC450" s="24">
        <v>3655172.8715039995</v>
      </c>
      <c r="AD450" s="8">
        <v>14868150.390000001</v>
      </c>
      <c r="AE450" s="24">
        <v>3965335.7090130001</v>
      </c>
      <c r="AF450" s="8">
        <v>60</v>
      </c>
      <c r="AG450" s="8">
        <v>91</v>
      </c>
      <c r="AH450" s="8" t="s">
        <v>353</v>
      </c>
      <c r="AI450" s="8" t="s">
        <v>320</v>
      </c>
      <c r="AJ450" s="22">
        <v>0.47</v>
      </c>
      <c r="AK450" s="8" t="s">
        <v>162</v>
      </c>
      <c r="AL450" s="22">
        <v>0.05</v>
      </c>
      <c r="AM450" s="22">
        <v>0.08</v>
      </c>
      <c r="AN450" s="8">
        <v>13</v>
      </c>
      <c r="AO450" s="8">
        <v>639</v>
      </c>
      <c r="AP450" s="8">
        <v>5365370.0199999996</v>
      </c>
      <c r="AQ450" s="24">
        <v>1430944.1843339999</v>
      </c>
      <c r="AR450" s="8">
        <v>8154345.5899999999</v>
      </c>
      <c r="AS450" s="37">
        <v>2174763.9688530001</v>
      </c>
      <c r="AT450" s="8" t="s">
        <v>332</v>
      </c>
      <c r="AU450" s="8" t="s">
        <v>322</v>
      </c>
      <c r="AV450" s="8">
        <v>84.6</v>
      </c>
      <c r="AW450" s="8">
        <v>12</v>
      </c>
      <c r="AX450" s="8" t="s">
        <v>392</v>
      </c>
      <c r="AY450" s="8" t="s">
        <v>186</v>
      </c>
      <c r="AZ450" s="8" t="s">
        <v>377</v>
      </c>
      <c r="BA450" s="21">
        <f>IF(OR(tblsales[[#This Row],[Invoice Value USD]]="",tblsales[[#This Row],[Collected Amount USD]]=""),"",tblsales[[#This Row],[Invoice Value USD]]-tblsales[[#This Row],[Collected Amount USD]])</f>
        <v>-310162.83750900067</v>
      </c>
      <c r="BB450" s="21">
        <f>IF(OR(tblsales[[#This Row],[Contract Value USD]]="",tblsales[[#This Row],[Cost Estimate USD]]=""),"",tblsales[[#This Row],[Contract Value USD]]-tblsales[[#This Row],[Cost Estimate USD]])</f>
        <v>1939959.7633290002</v>
      </c>
      <c r="BC450" s="21">
        <f>IF(OR(tblsales[[#This Row],[Contract Value USD]]="",tblsales[[#This Row],[Cost Estimate USD]]=""),"",tblsales[[#This Row],[Contract Value USD]]-tblsales[[#This Row],[Cost Estimate USD]])</f>
        <v>1939959.7633290002</v>
      </c>
      <c r="BD450" s="23">
        <f>IF(tblsales[[#This Row],[Invoice Value USD]]="","",tblsales[[#This Row],[Collected Amount USD]]/tblsales[[#This Row],[Invoice Value USD]])</f>
        <v>1.0848558600133671</v>
      </c>
      <c r="BE450" s="11">
        <f>IF(tblsales[[#This Row],[SalesStage]]="Won",1,0)</f>
        <v>1</v>
      </c>
      <c r="BF450" s="21" t="str">
        <f>IF(tblsales[[#This Row],[Win Flag]]=1,"Won","Lost")</f>
        <v>Won</v>
      </c>
      <c r="BG450" s="8"/>
    </row>
    <row r="451" spans="1:59" x14ac:dyDescent="0.3">
      <c r="A451" s="10" t="s">
        <v>1666</v>
      </c>
      <c r="B451" s="9">
        <v>46041</v>
      </c>
      <c r="C451" s="10" t="s">
        <v>214</v>
      </c>
      <c r="D451" s="10" t="s">
        <v>215</v>
      </c>
      <c r="E451" s="10" t="s">
        <v>113</v>
      </c>
      <c r="F451" s="10" t="s">
        <v>332</v>
      </c>
      <c r="G451" s="10" t="s">
        <v>38</v>
      </c>
      <c r="H451" s="10" t="s">
        <v>332</v>
      </c>
      <c r="I451" s="10" t="s">
        <v>183</v>
      </c>
      <c r="J451" s="10" t="s">
        <v>127</v>
      </c>
      <c r="K451" s="10" t="s">
        <v>210</v>
      </c>
      <c r="L451" s="10" t="s">
        <v>1667</v>
      </c>
      <c r="M451" s="9">
        <v>45951</v>
      </c>
      <c r="N451" s="9">
        <v>46096</v>
      </c>
      <c r="O451" s="9">
        <v>46084</v>
      </c>
      <c r="P451" s="11">
        <v>28</v>
      </c>
      <c r="Q451" s="12">
        <v>20054394</v>
      </c>
      <c r="R451">
        <v>5460811.4862000002</v>
      </c>
      <c r="S451" s="22">
        <v>0.14000000000000001</v>
      </c>
      <c r="T451" s="22">
        <v>0.14000000000000001</v>
      </c>
      <c r="U451" s="12">
        <v>19661327.879999999</v>
      </c>
      <c r="V451" s="24">
        <v>5353779.5817239992</v>
      </c>
      <c r="W451" s="8">
        <v>12513536.41</v>
      </c>
      <c r="X451" s="24">
        <v>3407435.964443</v>
      </c>
      <c r="Y451" s="22">
        <v>0.13</v>
      </c>
      <c r="Z451" s="22">
        <v>0.14000000000000001</v>
      </c>
      <c r="AA451" s="8" t="s">
        <v>1668</v>
      </c>
      <c r="AB451" s="8">
        <v>9397993.2699999996</v>
      </c>
      <c r="AC451" s="24">
        <v>2559073.5674209995</v>
      </c>
      <c r="AD451" s="8">
        <v>5388782.0700000003</v>
      </c>
      <c r="AE451" s="24">
        <v>1467365.357661</v>
      </c>
      <c r="AF451" s="8">
        <v>90</v>
      </c>
      <c r="AG451" s="8">
        <v>61</v>
      </c>
      <c r="AH451" s="8" t="s">
        <v>376</v>
      </c>
      <c r="AI451" s="8" t="s">
        <v>455</v>
      </c>
      <c r="AJ451" s="22">
        <v>0.69</v>
      </c>
      <c r="AK451" s="8" t="s">
        <v>153</v>
      </c>
      <c r="AL451" s="22">
        <v>0.15</v>
      </c>
      <c r="AM451" s="22">
        <v>0.06</v>
      </c>
      <c r="AN451" s="8">
        <v>3</v>
      </c>
      <c r="AO451" s="8">
        <v>778</v>
      </c>
      <c r="AP451" s="8">
        <v>1377363.55</v>
      </c>
      <c r="AQ451" s="24">
        <v>375056.09466499998</v>
      </c>
      <c r="AR451" s="8"/>
      <c r="AS451" s="37"/>
      <c r="AT451" s="8" t="s">
        <v>355</v>
      </c>
      <c r="AU451" s="8" t="s">
        <v>386</v>
      </c>
      <c r="AV451" s="8">
        <v>91.2</v>
      </c>
      <c r="AW451" s="8">
        <v>48</v>
      </c>
      <c r="AX451" s="8" t="s">
        <v>332</v>
      </c>
      <c r="AY451" s="8" t="s">
        <v>206</v>
      </c>
      <c r="AZ451" s="8" t="s">
        <v>361</v>
      </c>
      <c r="BA451" s="21">
        <f>IF(OR(tblsales[[#This Row],[Invoice Value USD]]="",tblsales[[#This Row],[Collected Amount USD]]=""),"",tblsales[[#This Row],[Invoice Value USD]]-tblsales[[#This Row],[Collected Amount USD]])</f>
        <v>1091708.2097599995</v>
      </c>
      <c r="BB451" s="21">
        <f>IF(OR(tblsales[[#This Row],[Contract Value USD]]="",tblsales[[#This Row],[Cost Estimate USD]]=""),"",tblsales[[#This Row],[Contract Value USD]]-tblsales[[#This Row],[Cost Estimate USD]])</f>
        <v>1946343.6172809992</v>
      </c>
      <c r="BC451" s="21">
        <f>IF(OR(tblsales[[#This Row],[Contract Value USD]]="",tblsales[[#This Row],[Cost Estimate USD]]=""),"",tblsales[[#This Row],[Contract Value USD]]-tblsales[[#This Row],[Cost Estimate USD]])</f>
        <v>1946343.6172809992</v>
      </c>
      <c r="BD451" s="23">
        <f>IF(tblsales[[#This Row],[Invoice Value USD]]="","",tblsales[[#This Row],[Collected Amount USD]]/tblsales[[#This Row],[Invoice Value USD]])</f>
        <v>0.57339709820839246</v>
      </c>
      <c r="BE451" s="11">
        <f>IF(tblsales[[#This Row],[SalesStage]]="Won",1,0)</f>
        <v>0</v>
      </c>
      <c r="BF451" s="21" t="str">
        <f>IF(tblsales[[#This Row],[Win Flag]]=1,"Won","Lost")</f>
        <v>Lost</v>
      </c>
      <c r="BG451" s="8"/>
    </row>
    <row r="452" spans="1:59" x14ac:dyDescent="0.3">
      <c r="A452" s="10" t="s">
        <v>1669</v>
      </c>
      <c r="B452" s="9">
        <v>45877</v>
      </c>
      <c r="C452" s="10" t="s">
        <v>256</v>
      </c>
      <c r="D452" s="10" t="s">
        <v>238</v>
      </c>
      <c r="E452" s="10" t="s">
        <v>113</v>
      </c>
      <c r="F452" s="10" t="s">
        <v>181</v>
      </c>
      <c r="G452" s="10" t="s">
        <v>66</v>
      </c>
      <c r="H452" s="10" t="s">
        <v>216</v>
      </c>
      <c r="I452" s="10" t="s">
        <v>240</v>
      </c>
      <c r="J452" s="10" t="s">
        <v>123</v>
      </c>
      <c r="K452" s="10" t="s">
        <v>221</v>
      </c>
      <c r="L452" s="10" t="s">
        <v>1670</v>
      </c>
      <c r="M452" s="9">
        <v>45783</v>
      </c>
      <c r="N452" s="9"/>
      <c r="O452" s="9">
        <v>45922</v>
      </c>
      <c r="P452" s="11">
        <v>48</v>
      </c>
      <c r="Q452" s="12">
        <v>46891899</v>
      </c>
      <c r="R452">
        <v>12506069.463299999</v>
      </c>
      <c r="S452" s="22">
        <v>0.23</v>
      </c>
      <c r="T452" s="22">
        <v>0.04</v>
      </c>
      <c r="U452" s="12">
        <v>37551032.719999999</v>
      </c>
      <c r="V452" s="24">
        <v>10014860.426423999</v>
      </c>
      <c r="W452" s="8">
        <v>22656849.280000001</v>
      </c>
      <c r="X452" s="24">
        <v>6042581.7029760005</v>
      </c>
      <c r="Y452" s="22">
        <v>0.16</v>
      </c>
      <c r="Z452" s="22">
        <v>0.15</v>
      </c>
      <c r="AA452" s="8" t="s">
        <v>1671</v>
      </c>
      <c r="AB452" s="8">
        <v>27037529.82</v>
      </c>
      <c r="AC452" s="24">
        <v>7210909.2029940002</v>
      </c>
      <c r="AD452" s="8">
        <v>19756416.699999999</v>
      </c>
      <c r="AE452" s="24">
        <v>5269036.3338899994</v>
      </c>
      <c r="AF452" s="8">
        <v>45</v>
      </c>
      <c r="AG452" s="8">
        <v>162</v>
      </c>
      <c r="AH452" s="8" t="s">
        <v>353</v>
      </c>
      <c r="AI452" s="8" t="s">
        <v>381</v>
      </c>
      <c r="AJ452" s="22">
        <v>0.31</v>
      </c>
      <c r="AK452" s="8" t="s">
        <v>162</v>
      </c>
      <c r="AL452" s="22">
        <v>0.15</v>
      </c>
      <c r="AM452" s="22">
        <v>0.01</v>
      </c>
      <c r="AN452" s="8">
        <v>5</v>
      </c>
      <c r="AO452" s="8">
        <v>1890</v>
      </c>
      <c r="AP452" s="8">
        <v>1280719.6299999999</v>
      </c>
      <c r="AQ452" s="24">
        <v>341567.92532099999</v>
      </c>
      <c r="AR452" s="8">
        <v>7444620.6799999997</v>
      </c>
      <c r="AS452" s="37">
        <v>1985480.3353559999</v>
      </c>
      <c r="AT452" s="8" t="s">
        <v>385</v>
      </c>
      <c r="AU452" s="8" t="s">
        <v>356</v>
      </c>
      <c r="AV452" s="8">
        <v>92.5</v>
      </c>
      <c r="AW452" s="8">
        <v>48</v>
      </c>
      <c r="AX452" s="8" t="s">
        <v>323</v>
      </c>
      <c r="AY452" s="8" t="s">
        <v>186</v>
      </c>
      <c r="AZ452" s="8" t="s">
        <v>324</v>
      </c>
      <c r="BA452" s="21">
        <f>IF(OR(tblsales[[#This Row],[Invoice Value USD]]="",tblsales[[#This Row],[Collected Amount USD]]=""),"",tblsales[[#This Row],[Invoice Value USD]]-tblsales[[#This Row],[Collected Amount USD]])</f>
        <v>1941872.8691040007</v>
      </c>
      <c r="BB452" s="21">
        <f>IF(OR(tblsales[[#This Row],[Contract Value USD]]="",tblsales[[#This Row],[Cost Estimate USD]]=""),"",tblsales[[#This Row],[Contract Value USD]]-tblsales[[#This Row],[Cost Estimate USD]])</f>
        <v>3972278.7234479981</v>
      </c>
      <c r="BC452" s="21">
        <f>IF(OR(tblsales[[#This Row],[Contract Value USD]]="",tblsales[[#This Row],[Cost Estimate USD]]=""),"",tblsales[[#This Row],[Contract Value USD]]-tblsales[[#This Row],[Cost Estimate USD]])</f>
        <v>3972278.7234479981</v>
      </c>
      <c r="BD452" s="23">
        <f>IF(tblsales[[#This Row],[Invoice Value USD]]="","",tblsales[[#This Row],[Collected Amount USD]]/tblsales[[#This Row],[Invoice Value USD]])</f>
        <v>0.73070346409330367</v>
      </c>
      <c r="BE452" s="11">
        <f>IF(tblsales[[#This Row],[SalesStage]]="Won",1,0)</f>
        <v>0</v>
      </c>
      <c r="BF452" s="21" t="str">
        <f>IF(tblsales[[#This Row],[Win Flag]]=1,"Won","Lost")</f>
        <v>Lost</v>
      </c>
      <c r="BG452" s="8"/>
    </row>
    <row r="453" spans="1:59" x14ac:dyDescent="0.3">
      <c r="A453" s="10" t="s">
        <v>1672</v>
      </c>
      <c r="B453" s="9">
        <v>45806</v>
      </c>
      <c r="C453" s="10" t="s">
        <v>217</v>
      </c>
      <c r="D453" s="10" t="s">
        <v>238</v>
      </c>
      <c r="E453" s="10" t="s">
        <v>113</v>
      </c>
      <c r="F453" s="10" t="s">
        <v>367</v>
      </c>
      <c r="G453" s="10" t="s">
        <v>73</v>
      </c>
      <c r="H453" s="10" t="s">
        <v>197</v>
      </c>
      <c r="I453" s="10" t="s">
        <v>198</v>
      </c>
      <c r="J453" s="10" t="s">
        <v>123</v>
      </c>
      <c r="K453" s="10" t="s">
        <v>199</v>
      </c>
      <c r="L453" s="10" t="s">
        <v>1673</v>
      </c>
      <c r="M453" s="9">
        <v>45795</v>
      </c>
      <c r="N453" s="9"/>
      <c r="O453" s="9">
        <v>45860</v>
      </c>
      <c r="P453" s="11">
        <v>32</v>
      </c>
      <c r="Q453" s="12">
        <v>18215742</v>
      </c>
      <c r="R453">
        <v>18215742</v>
      </c>
      <c r="S453" s="22">
        <v>7.0000000000000007E-2</v>
      </c>
      <c r="T453" s="22">
        <v>0.14000000000000001</v>
      </c>
      <c r="U453" s="12">
        <v>19312329.670000002</v>
      </c>
      <c r="V453" s="24">
        <v>19312329.670000002</v>
      </c>
      <c r="W453" s="8"/>
      <c r="X453" s="24"/>
      <c r="Y453" s="22">
        <v>0.27</v>
      </c>
      <c r="Z453" s="22">
        <v>0.1</v>
      </c>
      <c r="AA453" s="8" t="s">
        <v>1674</v>
      </c>
      <c r="AB453" s="8">
        <v>10039222.380000001</v>
      </c>
      <c r="AC453" s="24">
        <v>10039222.380000001</v>
      </c>
      <c r="AD453" s="8">
        <v>9862585.2200000007</v>
      </c>
      <c r="AE453" s="24">
        <v>9862585.2200000007</v>
      </c>
      <c r="AF453" s="8">
        <v>45</v>
      </c>
      <c r="AG453" s="8">
        <v>172</v>
      </c>
      <c r="AH453" s="8" t="s">
        <v>329</v>
      </c>
      <c r="AI453" s="8" t="s">
        <v>381</v>
      </c>
      <c r="AJ453" s="22">
        <v>0.98</v>
      </c>
      <c r="AK453" s="8" t="s">
        <v>152</v>
      </c>
      <c r="AL453" s="22">
        <v>0.05</v>
      </c>
      <c r="AM453" s="22">
        <v>0.02</v>
      </c>
      <c r="AN453" s="8">
        <v>8</v>
      </c>
      <c r="AO453" s="8">
        <v>1477</v>
      </c>
      <c r="AP453" s="8">
        <v>724240.5</v>
      </c>
      <c r="AQ453" s="24">
        <v>724240.5</v>
      </c>
      <c r="AR453" s="8">
        <v>7955919.1299999999</v>
      </c>
      <c r="AS453" s="37">
        <v>7955919.1299999999</v>
      </c>
      <c r="AT453" s="8" t="s">
        <v>73</v>
      </c>
      <c r="AU453" s="8" t="s">
        <v>386</v>
      </c>
      <c r="AV453" s="8">
        <v>84.2</v>
      </c>
      <c r="AW453" s="8"/>
      <c r="AX453" s="8" t="s">
        <v>332</v>
      </c>
      <c r="AY453" s="8" t="s">
        <v>206</v>
      </c>
      <c r="AZ453" s="8" t="s">
        <v>361</v>
      </c>
      <c r="BA453" s="21">
        <f>IF(OR(tblsales[[#This Row],[Invoice Value USD]]="",tblsales[[#This Row],[Collected Amount USD]]=""),"",tblsales[[#This Row],[Invoice Value USD]]-tblsales[[#This Row],[Collected Amount USD]])</f>
        <v>176637.16000000015</v>
      </c>
      <c r="BB453" s="21" t="str">
        <f>IF(OR(tblsales[[#This Row],[Contract Value USD]]="",tblsales[[#This Row],[Cost Estimate USD]]=""),"",tblsales[[#This Row],[Contract Value USD]]-tblsales[[#This Row],[Cost Estimate USD]])</f>
        <v/>
      </c>
      <c r="BC453" s="21" t="str">
        <f>IF(OR(tblsales[[#This Row],[Contract Value USD]]="",tblsales[[#This Row],[Cost Estimate USD]]=""),"",tblsales[[#This Row],[Contract Value USD]]-tblsales[[#This Row],[Cost Estimate USD]])</f>
        <v/>
      </c>
      <c r="BD453" s="23">
        <f>IF(tblsales[[#This Row],[Invoice Value USD]]="","",tblsales[[#This Row],[Collected Amount USD]]/tblsales[[#This Row],[Invoice Value USD]])</f>
        <v>0.9824052946220323</v>
      </c>
      <c r="BE453" s="11">
        <f>IF(tblsales[[#This Row],[SalesStage]]="Won",1,0)</f>
        <v>0</v>
      </c>
      <c r="BF453" s="21" t="str">
        <f>IF(tblsales[[#This Row],[Win Flag]]=1,"Won","Lost")</f>
        <v>Lost</v>
      </c>
      <c r="BG453" s="8"/>
    </row>
    <row r="454" spans="1:59" x14ac:dyDescent="0.3">
      <c r="A454" s="10" t="s">
        <v>1675</v>
      </c>
      <c r="B454" s="9">
        <v>45961</v>
      </c>
      <c r="C454" s="10" t="s">
        <v>286</v>
      </c>
      <c r="D454" s="10" t="s">
        <v>262</v>
      </c>
      <c r="E454" s="10" t="s">
        <v>113</v>
      </c>
      <c r="F454" s="10" t="s">
        <v>181</v>
      </c>
      <c r="G454" s="10" t="s">
        <v>33</v>
      </c>
      <c r="H454" s="10" t="s">
        <v>236</v>
      </c>
      <c r="I454" s="10" t="s">
        <v>233</v>
      </c>
      <c r="J454" s="10" t="s">
        <v>111</v>
      </c>
      <c r="K454" s="10" t="s">
        <v>199</v>
      </c>
      <c r="L454" s="10" t="s">
        <v>1676</v>
      </c>
      <c r="M454" s="9">
        <v>45787</v>
      </c>
      <c r="N454" s="9">
        <v>46015</v>
      </c>
      <c r="O454" s="9">
        <v>46039</v>
      </c>
      <c r="P454" s="11">
        <v>35</v>
      </c>
      <c r="Q454" s="12">
        <v>11972800</v>
      </c>
      <c r="R454">
        <v>11972800</v>
      </c>
      <c r="S454" s="22">
        <v>0.02</v>
      </c>
      <c r="T454" s="22">
        <v>0.19</v>
      </c>
      <c r="U454" s="12">
        <v>13962679.359999999</v>
      </c>
      <c r="V454" s="24">
        <v>13962679.359999999</v>
      </c>
      <c r="W454" s="8">
        <v>9509250.2699999996</v>
      </c>
      <c r="X454" s="24">
        <v>9509250.2699999996</v>
      </c>
      <c r="Y454" s="22">
        <v>0.33</v>
      </c>
      <c r="Z454" s="22">
        <v>0.15</v>
      </c>
      <c r="AA454" s="8" t="s">
        <v>1677</v>
      </c>
      <c r="AB454" s="8">
        <v>3568618.44</v>
      </c>
      <c r="AC454" s="24">
        <v>3568618.44</v>
      </c>
      <c r="AD454" s="8"/>
      <c r="AE454" s="24"/>
      <c r="AF454" s="8">
        <v>90</v>
      </c>
      <c r="AG454" s="8">
        <v>111</v>
      </c>
      <c r="AH454" s="8" t="s">
        <v>353</v>
      </c>
      <c r="AI454" s="8" t="s">
        <v>354</v>
      </c>
      <c r="AJ454" s="22">
        <v>0.6</v>
      </c>
      <c r="AK454" s="8" t="s">
        <v>152</v>
      </c>
      <c r="AL454" s="22">
        <v>0.1</v>
      </c>
      <c r="AM454" s="22">
        <v>0.06</v>
      </c>
      <c r="AN454" s="8">
        <v>5</v>
      </c>
      <c r="AO454" s="8">
        <v>4325</v>
      </c>
      <c r="AP454" s="8">
        <v>3177652.68</v>
      </c>
      <c r="AQ454" s="24">
        <v>3177652.68</v>
      </c>
      <c r="AR454" s="8">
        <v>1604493.33</v>
      </c>
      <c r="AS454" s="37">
        <v>1604493.33</v>
      </c>
      <c r="AT454" s="8" t="s">
        <v>391</v>
      </c>
      <c r="AU454" s="8" t="s">
        <v>348</v>
      </c>
      <c r="AV454" s="8">
        <v>97.6</v>
      </c>
      <c r="AW454" s="8">
        <v>36</v>
      </c>
      <c r="AX454" s="8" t="s">
        <v>332</v>
      </c>
      <c r="AY454" s="8" t="s">
        <v>206</v>
      </c>
      <c r="AZ454" s="8" t="s">
        <v>324</v>
      </c>
      <c r="BA454" s="21" t="str">
        <f>IF(OR(tblsales[[#This Row],[Invoice Value USD]]="",tblsales[[#This Row],[Collected Amount USD]]=""),"",tblsales[[#This Row],[Invoice Value USD]]-tblsales[[#This Row],[Collected Amount USD]])</f>
        <v/>
      </c>
      <c r="BB454" s="21">
        <f>IF(OR(tblsales[[#This Row],[Contract Value USD]]="",tblsales[[#This Row],[Cost Estimate USD]]=""),"",tblsales[[#This Row],[Contract Value USD]]-tblsales[[#This Row],[Cost Estimate USD]])</f>
        <v>4453429.09</v>
      </c>
      <c r="BC454" s="21">
        <f>IF(OR(tblsales[[#This Row],[Contract Value USD]]="",tblsales[[#This Row],[Cost Estimate USD]]=""),"",tblsales[[#This Row],[Contract Value USD]]-tblsales[[#This Row],[Cost Estimate USD]])</f>
        <v>4453429.09</v>
      </c>
      <c r="BD454" s="23">
        <f>IF(tblsales[[#This Row],[Invoice Value USD]]="","",tblsales[[#This Row],[Collected Amount USD]]/tblsales[[#This Row],[Invoice Value USD]])</f>
        <v>0</v>
      </c>
      <c r="BE454" s="11">
        <f>IF(tblsales[[#This Row],[SalesStage]]="Won",1,0)</f>
        <v>0</v>
      </c>
      <c r="BF454" s="21" t="str">
        <f>IF(tblsales[[#This Row],[Win Flag]]=1,"Won","Lost")</f>
        <v>Lost</v>
      </c>
      <c r="BG454" s="8"/>
    </row>
    <row r="455" spans="1:59" x14ac:dyDescent="0.3">
      <c r="A455" s="10" t="s">
        <v>1678</v>
      </c>
      <c r="B455" s="9">
        <v>45726</v>
      </c>
      <c r="C455" s="10" t="s">
        <v>257</v>
      </c>
      <c r="D455" s="10" t="s">
        <v>250</v>
      </c>
      <c r="E455" s="10" t="s">
        <v>113</v>
      </c>
      <c r="F455" s="10" t="s">
        <v>367</v>
      </c>
      <c r="G455" s="10" t="s">
        <v>80</v>
      </c>
      <c r="H455" s="10" t="s">
        <v>182</v>
      </c>
      <c r="I455" s="10" t="s">
        <v>332</v>
      </c>
      <c r="J455" s="10" t="s">
        <v>111</v>
      </c>
      <c r="K455" s="10" t="s">
        <v>223</v>
      </c>
      <c r="L455" s="10" t="s">
        <v>1679</v>
      </c>
      <c r="M455" s="9">
        <v>45711</v>
      </c>
      <c r="N455" s="9">
        <v>45777</v>
      </c>
      <c r="O455" s="9"/>
      <c r="P455" s="11">
        <v>54</v>
      </c>
      <c r="Q455" s="12">
        <v>37410863</v>
      </c>
      <c r="R455">
        <v>37410863</v>
      </c>
      <c r="S455" s="22">
        <v>0.12</v>
      </c>
      <c r="T455" s="22">
        <v>-0.04</v>
      </c>
      <c r="U455" s="12">
        <v>31604697.059999999</v>
      </c>
      <c r="V455" s="24">
        <v>31604697.059999999</v>
      </c>
      <c r="W455" s="8">
        <v>21560427.760000002</v>
      </c>
      <c r="X455" s="24">
        <v>21560427.760000002</v>
      </c>
      <c r="Y455" s="22">
        <v>0.38</v>
      </c>
      <c r="Z455" s="22">
        <v>0.08</v>
      </c>
      <c r="AA455" s="8" t="s">
        <v>1680</v>
      </c>
      <c r="AB455" s="8">
        <v>8806341.6799999997</v>
      </c>
      <c r="AC455" s="24">
        <v>8806341.6799999997</v>
      </c>
      <c r="AD455" s="8">
        <v>5037409.33</v>
      </c>
      <c r="AE455" s="24">
        <v>5037409.33</v>
      </c>
      <c r="AF455" s="8">
        <v>30</v>
      </c>
      <c r="AG455" s="8">
        <v>148</v>
      </c>
      <c r="AH455" s="8" t="s">
        <v>342</v>
      </c>
      <c r="AI455" s="8" t="s">
        <v>226</v>
      </c>
      <c r="AJ455" s="22">
        <v>0.86</v>
      </c>
      <c r="AK455" s="8" t="s">
        <v>152</v>
      </c>
      <c r="AL455" s="22">
        <v>0.05</v>
      </c>
      <c r="AM455" s="22">
        <v>0.1</v>
      </c>
      <c r="AN455" s="8">
        <v>11</v>
      </c>
      <c r="AO455" s="8">
        <v>4239</v>
      </c>
      <c r="AP455" s="8">
        <v>3755614</v>
      </c>
      <c r="AQ455" s="24">
        <v>3755614</v>
      </c>
      <c r="AR455" s="8">
        <v>10888330.560000001</v>
      </c>
      <c r="AS455" s="37">
        <v>10888330.560000001</v>
      </c>
      <c r="AT455" s="8" t="s">
        <v>391</v>
      </c>
      <c r="AU455" s="8" t="s">
        <v>386</v>
      </c>
      <c r="AV455" s="8">
        <v>87</v>
      </c>
      <c r="AW455" s="8">
        <v>12</v>
      </c>
      <c r="AX455" s="8" t="s">
        <v>332</v>
      </c>
      <c r="AY455" s="8" t="s">
        <v>229</v>
      </c>
      <c r="AZ455" s="8" t="s">
        <v>332</v>
      </c>
      <c r="BA455" s="21">
        <f>IF(OR(tblsales[[#This Row],[Invoice Value USD]]="",tblsales[[#This Row],[Collected Amount USD]]=""),"",tblsales[[#This Row],[Invoice Value USD]]-tblsales[[#This Row],[Collected Amount USD]])</f>
        <v>3768932.3499999996</v>
      </c>
      <c r="BB455" s="21">
        <f>IF(OR(tblsales[[#This Row],[Contract Value USD]]="",tblsales[[#This Row],[Cost Estimate USD]]=""),"",tblsales[[#This Row],[Contract Value USD]]-tblsales[[#This Row],[Cost Estimate USD]])</f>
        <v>10044269.299999997</v>
      </c>
      <c r="BC455" s="21">
        <f>IF(OR(tblsales[[#This Row],[Contract Value USD]]="",tblsales[[#This Row],[Cost Estimate USD]]=""),"",tblsales[[#This Row],[Contract Value USD]]-tblsales[[#This Row],[Cost Estimate USD]])</f>
        <v>10044269.299999997</v>
      </c>
      <c r="BD455" s="23">
        <f>IF(tblsales[[#This Row],[Invoice Value USD]]="","",tblsales[[#This Row],[Collected Amount USD]]/tblsales[[#This Row],[Invoice Value USD]])</f>
        <v>0.57202065432464577</v>
      </c>
      <c r="BE455" s="11">
        <f>IF(tblsales[[#This Row],[SalesStage]]="Won",1,0)</f>
        <v>0</v>
      </c>
      <c r="BF455" s="21" t="str">
        <f>IF(tblsales[[#This Row],[Win Flag]]=1,"Won","Lost")</f>
        <v>Lost</v>
      </c>
      <c r="BG455" s="8"/>
    </row>
    <row r="456" spans="1:59" x14ac:dyDescent="0.3">
      <c r="A456" s="10" t="s">
        <v>1681</v>
      </c>
      <c r="B456" s="9">
        <v>45957</v>
      </c>
      <c r="C456" s="10" t="s">
        <v>247</v>
      </c>
      <c r="D456" s="10" t="s">
        <v>332</v>
      </c>
      <c r="E456" s="10" t="s">
        <v>41</v>
      </c>
      <c r="F456" s="10" t="s">
        <v>350</v>
      </c>
      <c r="G456" s="10" t="s">
        <v>66</v>
      </c>
      <c r="H456" s="10" t="s">
        <v>212</v>
      </c>
      <c r="I456" s="10" t="s">
        <v>213</v>
      </c>
      <c r="J456" s="10" t="s">
        <v>105</v>
      </c>
      <c r="K456" s="10" t="s">
        <v>333</v>
      </c>
      <c r="L456" s="10" t="s">
        <v>1682</v>
      </c>
      <c r="M456" s="9">
        <v>45939</v>
      </c>
      <c r="N456" s="9">
        <v>46003</v>
      </c>
      <c r="O456" s="9">
        <v>46075</v>
      </c>
      <c r="P456" s="11">
        <v>26</v>
      </c>
      <c r="Q456" s="12">
        <v>3655452</v>
      </c>
      <c r="R456">
        <v>3655452</v>
      </c>
      <c r="S456" s="22">
        <v>0.04</v>
      </c>
      <c r="T456" s="22">
        <v>0.02</v>
      </c>
      <c r="U456" s="12">
        <v>3579418.6</v>
      </c>
      <c r="V456" s="24">
        <v>3579418.6</v>
      </c>
      <c r="W456" s="8">
        <v>2834535.77</v>
      </c>
      <c r="X456" s="24">
        <v>2834535.77</v>
      </c>
      <c r="Y456" s="22">
        <v>0.23</v>
      </c>
      <c r="Z456" s="22">
        <v>0.05</v>
      </c>
      <c r="AA456" s="8" t="s">
        <v>1683</v>
      </c>
      <c r="AB456" s="8">
        <v>1518631.06</v>
      </c>
      <c r="AC456" s="24">
        <v>1518631.06</v>
      </c>
      <c r="AD456" s="8">
        <v>555254.61</v>
      </c>
      <c r="AE456" s="24">
        <v>555254.61</v>
      </c>
      <c r="AF456" s="8">
        <v>30</v>
      </c>
      <c r="AG456" s="8">
        <v>56</v>
      </c>
      <c r="AH456" s="8" t="s">
        <v>329</v>
      </c>
      <c r="AI456" s="8" t="s">
        <v>320</v>
      </c>
      <c r="AJ456" s="22">
        <v>0.8</v>
      </c>
      <c r="AK456" s="8" t="s">
        <v>152</v>
      </c>
      <c r="AL456" s="22">
        <v>0.1</v>
      </c>
      <c r="AM456" s="22">
        <v>0.08</v>
      </c>
      <c r="AN456" s="8">
        <v>14</v>
      </c>
      <c r="AO456" s="8">
        <v>4733</v>
      </c>
      <c r="AP456" s="8">
        <v>260384.86</v>
      </c>
      <c r="AQ456" s="24">
        <v>260384.86</v>
      </c>
      <c r="AR456" s="8">
        <v>423174.82</v>
      </c>
      <c r="AS456" s="37">
        <v>423174.82</v>
      </c>
      <c r="AT456" s="8" t="s">
        <v>332</v>
      </c>
      <c r="AU456" s="8" t="s">
        <v>386</v>
      </c>
      <c r="AV456" s="8">
        <v>95.5</v>
      </c>
      <c r="AW456" s="8">
        <v>36</v>
      </c>
      <c r="AX456" s="8" t="s">
        <v>323</v>
      </c>
      <c r="AY456" s="8" t="s">
        <v>224</v>
      </c>
      <c r="AZ456" s="8" t="s">
        <v>377</v>
      </c>
      <c r="BA456" s="21">
        <f>IF(OR(tblsales[[#This Row],[Invoice Value USD]]="",tblsales[[#This Row],[Collected Amount USD]]=""),"",tblsales[[#This Row],[Invoice Value USD]]-tblsales[[#This Row],[Collected Amount USD]])</f>
        <v>963376.45000000007</v>
      </c>
      <c r="BB456" s="21">
        <f>IF(OR(tblsales[[#This Row],[Contract Value USD]]="",tblsales[[#This Row],[Cost Estimate USD]]=""),"",tblsales[[#This Row],[Contract Value USD]]-tblsales[[#This Row],[Cost Estimate USD]])</f>
        <v>744882.83000000007</v>
      </c>
      <c r="BC456" s="21">
        <f>IF(OR(tblsales[[#This Row],[Contract Value USD]]="",tblsales[[#This Row],[Cost Estimate USD]]=""),"",tblsales[[#This Row],[Contract Value USD]]-tblsales[[#This Row],[Cost Estimate USD]])</f>
        <v>744882.83000000007</v>
      </c>
      <c r="BD456" s="23">
        <f>IF(tblsales[[#This Row],[Invoice Value USD]]="","",tblsales[[#This Row],[Collected Amount USD]]/tblsales[[#This Row],[Invoice Value USD]])</f>
        <v>0.3656283771780619</v>
      </c>
      <c r="BE456" s="11">
        <f>IF(tblsales[[#This Row],[SalesStage]]="Won",1,0)</f>
        <v>1</v>
      </c>
      <c r="BF456" s="21" t="str">
        <f>IF(tblsales[[#This Row],[Win Flag]]=1,"Won","Lost")</f>
        <v>Won</v>
      </c>
      <c r="BG456" s="8"/>
    </row>
    <row r="457" spans="1:59" x14ac:dyDescent="0.3">
      <c r="A457" s="10" t="s">
        <v>1684</v>
      </c>
      <c r="B457" s="9">
        <v>45827</v>
      </c>
      <c r="C457" s="10" t="s">
        <v>267</v>
      </c>
      <c r="D457" s="10" t="s">
        <v>274</v>
      </c>
      <c r="E457" s="10" t="s">
        <v>113</v>
      </c>
      <c r="F457" s="10" t="s">
        <v>367</v>
      </c>
      <c r="G457" s="10" t="s">
        <v>50</v>
      </c>
      <c r="H457" s="10" t="s">
        <v>212</v>
      </c>
      <c r="I457" s="10" t="s">
        <v>332</v>
      </c>
      <c r="J457" s="10" t="s">
        <v>111</v>
      </c>
      <c r="K457" s="10" t="s">
        <v>184</v>
      </c>
      <c r="L457" s="10" t="s">
        <v>1685</v>
      </c>
      <c r="M457" s="9">
        <v>45768</v>
      </c>
      <c r="N457" s="9">
        <v>45849</v>
      </c>
      <c r="O457" s="9"/>
      <c r="P457" s="11">
        <v>4</v>
      </c>
      <c r="Q457" s="12">
        <v>30110595</v>
      </c>
      <c r="R457">
        <v>8271380.4464999996</v>
      </c>
      <c r="S457" s="22">
        <v>0.05</v>
      </c>
      <c r="T457" s="22">
        <v>0.19</v>
      </c>
      <c r="U457" s="12">
        <v>34040027.649999999</v>
      </c>
      <c r="V457" s="24">
        <v>9350795.5954550002</v>
      </c>
      <c r="W457" s="8">
        <v>29105795.109999999</v>
      </c>
      <c r="X457" s="24">
        <v>7995361.9167169994</v>
      </c>
      <c r="Y457" s="22">
        <v>0.24</v>
      </c>
      <c r="Z457" s="22">
        <v>0.11</v>
      </c>
      <c r="AA457" s="8" t="s">
        <v>1686</v>
      </c>
      <c r="AB457" s="8">
        <v>26136334.5</v>
      </c>
      <c r="AC457" s="24">
        <v>7179651.08715</v>
      </c>
      <c r="AD457" s="8">
        <v>14750059.310000001</v>
      </c>
      <c r="AE457" s="24">
        <v>4051841.2924570004</v>
      </c>
      <c r="AF457" s="8">
        <v>45</v>
      </c>
      <c r="AG457" s="8">
        <v>138</v>
      </c>
      <c r="AH457" s="8" t="s">
        <v>342</v>
      </c>
      <c r="AI457" s="8" t="s">
        <v>354</v>
      </c>
      <c r="AJ457" s="22">
        <v>0.35</v>
      </c>
      <c r="AK457" s="8" t="s">
        <v>155</v>
      </c>
      <c r="AL457" s="22">
        <v>0.15</v>
      </c>
      <c r="AM457" s="22">
        <v>0.1</v>
      </c>
      <c r="AN457" s="8">
        <v>13</v>
      </c>
      <c r="AO457" s="8"/>
      <c r="AP457" s="8">
        <v>7888842.9900000002</v>
      </c>
      <c r="AQ457" s="24">
        <v>2167065.1693529999</v>
      </c>
      <c r="AR457" s="8">
        <v>5411407.75</v>
      </c>
      <c r="AS457" s="37">
        <v>1486513.7089249999</v>
      </c>
      <c r="AT457" s="8" t="s">
        <v>343</v>
      </c>
      <c r="AU457" s="8" t="s">
        <v>386</v>
      </c>
      <c r="AV457" s="8"/>
      <c r="AW457" s="8">
        <v>48</v>
      </c>
      <c r="AX457" s="8" t="s">
        <v>387</v>
      </c>
      <c r="AY457" s="8" t="s">
        <v>186</v>
      </c>
      <c r="AZ457" s="8" t="s">
        <v>332</v>
      </c>
      <c r="BA457" s="21">
        <f>IF(OR(tblsales[[#This Row],[Invoice Value USD]]="",tblsales[[#This Row],[Collected Amount USD]]=""),"",tblsales[[#This Row],[Invoice Value USD]]-tblsales[[#This Row],[Collected Amount USD]])</f>
        <v>3127809.7946929997</v>
      </c>
      <c r="BB457" s="21">
        <f>IF(OR(tblsales[[#This Row],[Contract Value USD]]="",tblsales[[#This Row],[Cost Estimate USD]]=""),"",tblsales[[#This Row],[Contract Value USD]]-tblsales[[#This Row],[Cost Estimate USD]])</f>
        <v>1355433.6787380008</v>
      </c>
      <c r="BC457" s="21">
        <f>IF(OR(tblsales[[#This Row],[Contract Value USD]]="",tblsales[[#This Row],[Cost Estimate USD]]=""),"",tblsales[[#This Row],[Contract Value USD]]-tblsales[[#This Row],[Cost Estimate USD]])</f>
        <v>1355433.6787380008</v>
      </c>
      <c r="BD457" s="23">
        <f>IF(tblsales[[#This Row],[Invoice Value USD]]="","",tblsales[[#This Row],[Collected Amount USD]]/tblsales[[#This Row],[Invoice Value USD]])</f>
        <v>0.56435072446750334</v>
      </c>
      <c r="BE457" s="11">
        <f>IF(tblsales[[#This Row],[SalesStage]]="Won",1,0)</f>
        <v>0</v>
      </c>
      <c r="BF457" s="21" t="str">
        <f>IF(tblsales[[#This Row],[Win Flag]]=1,"Won","Lost")</f>
        <v>Lost</v>
      </c>
      <c r="BG457" s="8"/>
    </row>
    <row r="458" spans="1:59" x14ac:dyDescent="0.3">
      <c r="A458" s="10" t="s">
        <v>1687</v>
      </c>
      <c r="B458" s="9">
        <v>45870</v>
      </c>
      <c r="C458" s="10" t="s">
        <v>251</v>
      </c>
      <c r="D458" s="10" t="s">
        <v>274</v>
      </c>
      <c r="E458" s="10" t="s">
        <v>41</v>
      </c>
      <c r="F458" s="10" t="s">
        <v>363</v>
      </c>
      <c r="G458" s="10" t="s">
        <v>33</v>
      </c>
      <c r="H458" s="10" t="s">
        <v>216</v>
      </c>
      <c r="I458" s="10" t="s">
        <v>203</v>
      </c>
      <c r="J458" s="10" t="s">
        <v>130</v>
      </c>
      <c r="K458" s="10" t="s">
        <v>333</v>
      </c>
      <c r="L458" s="10" t="s">
        <v>1688</v>
      </c>
      <c r="M458" s="9">
        <v>45832</v>
      </c>
      <c r="N458" s="9">
        <v>45889</v>
      </c>
      <c r="O458" s="9">
        <v>45959</v>
      </c>
      <c r="P458" s="11">
        <v>14</v>
      </c>
      <c r="Q458" s="12">
        <v>10043594</v>
      </c>
      <c r="R458">
        <v>2734870.6461999998</v>
      </c>
      <c r="S458" s="22">
        <v>0.03</v>
      </c>
      <c r="T458" s="22">
        <v>0</v>
      </c>
      <c r="U458" s="12">
        <v>9742286.1799999997</v>
      </c>
      <c r="V458" s="24">
        <v>2652824.5268139997</v>
      </c>
      <c r="W458" s="8">
        <v>8447123.8300000001</v>
      </c>
      <c r="X458" s="24">
        <v>2300151.8189089997</v>
      </c>
      <c r="Y458" s="22">
        <v>0.38</v>
      </c>
      <c r="Z458" s="22">
        <v>0.12</v>
      </c>
      <c r="AA458" s="8" t="s">
        <v>1689</v>
      </c>
      <c r="AB458" s="8">
        <v>3985498.37</v>
      </c>
      <c r="AC458" s="24">
        <v>1085251.206151</v>
      </c>
      <c r="AD458" s="8">
        <v>2004640.11</v>
      </c>
      <c r="AE458" s="24">
        <v>545863.50195299997</v>
      </c>
      <c r="AF458" s="8">
        <v>60</v>
      </c>
      <c r="AG458" s="8">
        <v>55</v>
      </c>
      <c r="AH458" s="8" t="s">
        <v>353</v>
      </c>
      <c r="AI458" s="8" t="s">
        <v>226</v>
      </c>
      <c r="AJ458" s="22">
        <v>0.64</v>
      </c>
      <c r="AK458" s="8" t="s">
        <v>153</v>
      </c>
      <c r="AL458" s="22">
        <v>0.1</v>
      </c>
      <c r="AM458" s="22">
        <v>0.05</v>
      </c>
      <c r="AN458" s="8">
        <v>12</v>
      </c>
      <c r="AO458" s="8">
        <v>2180</v>
      </c>
      <c r="AP458" s="8">
        <v>2359809.2000000002</v>
      </c>
      <c r="AQ458" s="24">
        <v>642576.04515999998</v>
      </c>
      <c r="AR458" s="8">
        <v>3364111.69</v>
      </c>
      <c r="AS458" s="37">
        <v>916047.61318699992</v>
      </c>
      <c r="AT458" s="8" t="s">
        <v>391</v>
      </c>
      <c r="AU458" s="8" t="s">
        <v>386</v>
      </c>
      <c r="AV458" s="8">
        <v>75.5</v>
      </c>
      <c r="AW458" s="8">
        <v>24</v>
      </c>
      <c r="AX458" s="8" t="s">
        <v>392</v>
      </c>
      <c r="AY458" s="8" t="s">
        <v>224</v>
      </c>
      <c r="AZ458" s="8" t="s">
        <v>324</v>
      </c>
      <c r="BA458" s="21">
        <f>IF(OR(tblsales[[#This Row],[Invoice Value USD]]="",tblsales[[#This Row],[Collected Amount USD]]=""),"",tblsales[[#This Row],[Invoice Value USD]]-tblsales[[#This Row],[Collected Amount USD]])</f>
        <v>539387.70419800002</v>
      </c>
      <c r="BB458" s="21">
        <f>IF(OR(tblsales[[#This Row],[Contract Value USD]]="",tblsales[[#This Row],[Cost Estimate USD]]=""),"",tblsales[[#This Row],[Contract Value USD]]-tblsales[[#This Row],[Cost Estimate USD]])</f>
        <v>352672.70790500008</v>
      </c>
      <c r="BC458" s="21">
        <f>IF(OR(tblsales[[#This Row],[Contract Value USD]]="",tblsales[[#This Row],[Cost Estimate USD]]=""),"",tblsales[[#This Row],[Contract Value USD]]-tblsales[[#This Row],[Cost Estimate USD]])</f>
        <v>352672.70790500008</v>
      </c>
      <c r="BD458" s="23">
        <f>IF(tblsales[[#This Row],[Invoice Value USD]]="","",tblsales[[#This Row],[Collected Amount USD]]/tblsales[[#This Row],[Invoice Value USD]])</f>
        <v>0.50298354782666743</v>
      </c>
      <c r="BE458" s="11">
        <f>IF(tblsales[[#This Row],[SalesStage]]="Won",1,0)</f>
        <v>0</v>
      </c>
      <c r="BF458" s="21" t="str">
        <f>IF(tblsales[[#This Row],[Win Flag]]=1,"Won","Lost")</f>
        <v>Lost</v>
      </c>
      <c r="BG458" s="8"/>
    </row>
    <row r="459" spans="1:59" x14ac:dyDescent="0.3">
      <c r="A459" s="10" t="s">
        <v>1690</v>
      </c>
      <c r="B459" s="9">
        <v>45886</v>
      </c>
      <c r="C459" s="10" t="s">
        <v>258</v>
      </c>
      <c r="D459" s="10" t="s">
        <v>250</v>
      </c>
      <c r="E459" s="10" t="s">
        <v>36</v>
      </c>
      <c r="F459" s="10" t="s">
        <v>19</v>
      </c>
      <c r="G459" s="10" t="s">
        <v>28</v>
      </c>
      <c r="H459" s="10" t="s">
        <v>182</v>
      </c>
      <c r="I459" s="10" t="s">
        <v>332</v>
      </c>
      <c r="J459" s="10" t="s">
        <v>115</v>
      </c>
      <c r="K459" s="10" t="s">
        <v>221</v>
      </c>
      <c r="L459" s="10" t="s">
        <v>1691</v>
      </c>
      <c r="M459" s="9">
        <v>45869</v>
      </c>
      <c r="N459" s="9">
        <v>45927</v>
      </c>
      <c r="O459" s="9">
        <v>45951</v>
      </c>
      <c r="P459" s="11">
        <v>26</v>
      </c>
      <c r="Q459" s="12">
        <v>31049662</v>
      </c>
      <c r="R459">
        <v>36048657.582000002</v>
      </c>
      <c r="S459" s="22">
        <v>0.28000000000000003</v>
      </c>
      <c r="T459" s="22">
        <v>0.17</v>
      </c>
      <c r="U459" s="12">
        <v>26156235.27</v>
      </c>
      <c r="V459" s="24">
        <v>30367389.148469999</v>
      </c>
      <c r="W459" s="8">
        <v>21390353.59</v>
      </c>
      <c r="X459" s="24">
        <v>24834200.517990001</v>
      </c>
      <c r="Y459" s="22">
        <v>0.31</v>
      </c>
      <c r="Z459" s="22">
        <v>0.16</v>
      </c>
      <c r="AA459" s="8" t="s">
        <v>1692</v>
      </c>
      <c r="AB459" s="8">
        <v>20632848.550000001</v>
      </c>
      <c r="AC459" s="24">
        <v>23954737.166550003</v>
      </c>
      <c r="AD459" s="8">
        <v>22073897.370000001</v>
      </c>
      <c r="AE459" s="24">
        <v>25627794.846570004</v>
      </c>
      <c r="AF459" s="8">
        <v>45</v>
      </c>
      <c r="AG459" s="8">
        <v>122</v>
      </c>
      <c r="AH459" s="8" t="s">
        <v>347</v>
      </c>
      <c r="AI459" s="8" t="s">
        <v>406</v>
      </c>
      <c r="AJ459" s="22">
        <v>0.42</v>
      </c>
      <c r="AK459" s="8" t="s">
        <v>159</v>
      </c>
      <c r="AL459" s="22">
        <v>0.1</v>
      </c>
      <c r="AM459" s="22">
        <v>0.06</v>
      </c>
      <c r="AN459" s="8">
        <v>9</v>
      </c>
      <c r="AO459" s="8">
        <v>2025</v>
      </c>
      <c r="AP459" s="8">
        <v>1607757.85</v>
      </c>
      <c r="AQ459" s="24">
        <v>1866606.8638500001</v>
      </c>
      <c r="AR459" s="8">
        <v>9696995.1400000006</v>
      </c>
      <c r="AS459" s="37">
        <v>11258211.35754</v>
      </c>
      <c r="AT459" s="8" t="s">
        <v>385</v>
      </c>
      <c r="AU459" s="8" t="s">
        <v>386</v>
      </c>
      <c r="AV459" s="8">
        <v>99.2</v>
      </c>
      <c r="AW459" s="8">
        <v>48</v>
      </c>
      <c r="AX459" s="8" t="s">
        <v>323</v>
      </c>
      <c r="AY459" s="8" t="s">
        <v>229</v>
      </c>
      <c r="AZ459" s="8" t="s">
        <v>332</v>
      </c>
      <c r="BA459" s="21">
        <f>IF(OR(tblsales[[#This Row],[Invoice Value USD]]="",tblsales[[#This Row],[Collected Amount USD]]=""),"",tblsales[[#This Row],[Invoice Value USD]]-tblsales[[#This Row],[Collected Amount USD]])</f>
        <v>-1673057.6800200008</v>
      </c>
      <c r="BB459" s="21">
        <f>IF(OR(tblsales[[#This Row],[Contract Value USD]]="",tblsales[[#This Row],[Cost Estimate USD]]=""),"",tblsales[[#This Row],[Contract Value USD]]-tblsales[[#This Row],[Cost Estimate USD]])</f>
        <v>5533188.6304799989</v>
      </c>
      <c r="BC459" s="21">
        <f>IF(OR(tblsales[[#This Row],[Contract Value USD]]="",tblsales[[#This Row],[Cost Estimate USD]]=""),"",tblsales[[#This Row],[Contract Value USD]]-tblsales[[#This Row],[Cost Estimate USD]])</f>
        <v>5533188.6304799989</v>
      </c>
      <c r="BD459" s="23">
        <f>IF(tblsales[[#This Row],[Invoice Value USD]]="","",tblsales[[#This Row],[Collected Amount USD]]/tblsales[[#This Row],[Invoice Value USD]])</f>
        <v>1.0698424561450097</v>
      </c>
      <c r="BE459" s="11">
        <f>IF(tblsales[[#This Row],[SalesStage]]="Won",1,0)</f>
        <v>0</v>
      </c>
      <c r="BF459" s="21" t="str">
        <f>IF(tblsales[[#This Row],[Win Flag]]=1,"Won","Lost")</f>
        <v>Lost</v>
      </c>
      <c r="BG459" s="8"/>
    </row>
    <row r="460" spans="1:59" x14ac:dyDescent="0.3">
      <c r="A460" s="10" t="s">
        <v>1693</v>
      </c>
      <c r="B460" s="9">
        <v>45672</v>
      </c>
      <c r="C460" s="10" t="s">
        <v>286</v>
      </c>
      <c r="D460" s="10" t="s">
        <v>242</v>
      </c>
      <c r="E460" s="10" t="s">
        <v>332</v>
      </c>
      <c r="F460" s="10" t="s">
        <v>75</v>
      </c>
      <c r="G460" s="10" t="s">
        <v>23</v>
      </c>
      <c r="H460" s="10" t="s">
        <v>263</v>
      </c>
      <c r="I460" s="10" t="s">
        <v>198</v>
      </c>
      <c r="J460" s="10" t="s">
        <v>130</v>
      </c>
      <c r="K460" s="10" t="s">
        <v>326</v>
      </c>
      <c r="L460" s="10" t="s">
        <v>1694</v>
      </c>
      <c r="M460" s="9">
        <v>45651</v>
      </c>
      <c r="N460" s="9">
        <v>45714</v>
      </c>
      <c r="O460" s="9">
        <v>45761</v>
      </c>
      <c r="P460" s="11">
        <v>44</v>
      </c>
      <c r="Q460" s="12">
        <v>38493651</v>
      </c>
      <c r="R460">
        <v>38493651</v>
      </c>
      <c r="S460" s="22">
        <v>0.26</v>
      </c>
      <c r="T460" s="22">
        <v>-0.03</v>
      </c>
      <c r="U460" s="12">
        <v>27630742.690000001</v>
      </c>
      <c r="V460" s="24">
        <v>27630742.690000001</v>
      </c>
      <c r="W460" s="8">
        <v>23490777.5</v>
      </c>
      <c r="X460" s="24">
        <v>23490777.5</v>
      </c>
      <c r="Y460" s="22">
        <v>0.1</v>
      </c>
      <c r="Z460" s="22">
        <v>0.14000000000000001</v>
      </c>
      <c r="AA460" s="8" t="s">
        <v>1695</v>
      </c>
      <c r="AB460" s="8">
        <v>18658223.780000001</v>
      </c>
      <c r="AC460" s="24">
        <v>18658223.780000001</v>
      </c>
      <c r="AD460" s="8">
        <v>17761625.239999998</v>
      </c>
      <c r="AE460" s="24">
        <v>17761625.239999998</v>
      </c>
      <c r="AF460" s="8">
        <v>120</v>
      </c>
      <c r="AG460" s="8">
        <v>171</v>
      </c>
      <c r="AH460" s="8" t="s">
        <v>347</v>
      </c>
      <c r="AI460" s="8" t="s">
        <v>354</v>
      </c>
      <c r="AJ460" s="22">
        <v>0.39</v>
      </c>
      <c r="AK460" s="8" t="s">
        <v>152</v>
      </c>
      <c r="AL460" s="22">
        <v>0.1</v>
      </c>
      <c r="AM460" s="22">
        <v>0.02</v>
      </c>
      <c r="AN460" s="8">
        <v>12</v>
      </c>
      <c r="AO460" s="8">
        <v>147</v>
      </c>
      <c r="AP460" s="8">
        <v>4485286.28</v>
      </c>
      <c r="AQ460" s="24">
        <v>4485286.28</v>
      </c>
      <c r="AR460" s="8">
        <v>4576438.6500000004</v>
      </c>
      <c r="AS460" s="37">
        <v>4576438.6500000004</v>
      </c>
      <c r="AT460" s="8" t="s">
        <v>73</v>
      </c>
      <c r="AU460" s="8" t="s">
        <v>356</v>
      </c>
      <c r="AV460" s="8">
        <v>56.7</v>
      </c>
      <c r="AW460" s="8">
        <v>24</v>
      </c>
      <c r="AX460" s="8" t="s">
        <v>332</v>
      </c>
      <c r="AY460" s="8" t="s">
        <v>186</v>
      </c>
      <c r="AZ460" s="8" t="s">
        <v>357</v>
      </c>
      <c r="BA460" s="21">
        <f>IF(OR(tblsales[[#This Row],[Invoice Value USD]]="",tblsales[[#This Row],[Collected Amount USD]]=""),"",tblsales[[#This Row],[Invoice Value USD]]-tblsales[[#This Row],[Collected Amount USD]])</f>
        <v>896598.54000000283</v>
      </c>
      <c r="BB460" s="21">
        <f>IF(OR(tblsales[[#This Row],[Contract Value USD]]="",tblsales[[#This Row],[Cost Estimate USD]]=""),"",tblsales[[#This Row],[Contract Value USD]]-tblsales[[#This Row],[Cost Estimate USD]])</f>
        <v>4139965.1900000013</v>
      </c>
      <c r="BC460" s="21">
        <f>IF(OR(tblsales[[#This Row],[Contract Value USD]]="",tblsales[[#This Row],[Cost Estimate USD]]=""),"",tblsales[[#This Row],[Contract Value USD]]-tblsales[[#This Row],[Cost Estimate USD]])</f>
        <v>4139965.1900000013</v>
      </c>
      <c r="BD460" s="23">
        <f>IF(tblsales[[#This Row],[Invoice Value USD]]="","",tblsales[[#This Row],[Collected Amount USD]]/tblsales[[#This Row],[Invoice Value USD]])</f>
        <v>0.95194620074387371</v>
      </c>
      <c r="BE460" s="11">
        <f>IF(tblsales[[#This Row],[SalesStage]]="Won",1,0)</f>
        <v>0</v>
      </c>
      <c r="BF460" s="21" t="str">
        <f>IF(tblsales[[#This Row],[Win Flag]]=1,"Won","Lost")</f>
        <v>Lost</v>
      </c>
      <c r="BG460" s="8"/>
    </row>
    <row r="461" spans="1:59" x14ac:dyDescent="0.3">
      <c r="A461" s="10" t="s">
        <v>1696</v>
      </c>
      <c r="B461" s="9">
        <v>45666</v>
      </c>
      <c r="C461" s="10" t="s">
        <v>271</v>
      </c>
      <c r="D461" s="10" t="s">
        <v>262</v>
      </c>
      <c r="E461" s="10" t="s">
        <v>20</v>
      </c>
      <c r="F461" s="10" t="s">
        <v>35</v>
      </c>
      <c r="G461" s="10" t="s">
        <v>50</v>
      </c>
      <c r="H461" s="10" t="s">
        <v>182</v>
      </c>
      <c r="I461" s="10" t="s">
        <v>240</v>
      </c>
      <c r="J461" s="10" t="s">
        <v>136</v>
      </c>
      <c r="K461" s="10" t="s">
        <v>333</v>
      </c>
      <c r="L461" s="10" t="s">
        <v>1697</v>
      </c>
      <c r="M461" s="9">
        <v>45618</v>
      </c>
      <c r="N461" s="9">
        <v>45666</v>
      </c>
      <c r="O461" s="9">
        <v>45729</v>
      </c>
      <c r="P461" s="11">
        <v>60</v>
      </c>
      <c r="Q461" s="12">
        <v>21375916</v>
      </c>
      <c r="R461">
        <v>24817438.476</v>
      </c>
      <c r="S461" s="22">
        <v>0.1</v>
      </c>
      <c r="T461" s="22">
        <v>7.0000000000000007E-2</v>
      </c>
      <c r="U461" s="12">
        <v>20585007.109999999</v>
      </c>
      <c r="V461" s="24">
        <v>23899193.25471</v>
      </c>
      <c r="W461" s="8">
        <v>16502162.51</v>
      </c>
      <c r="X461" s="24">
        <v>19159010.674109999</v>
      </c>
      <c r="Y461" s="22">
        <v>0.13</v>
      </c>
      <c r="Z461" s="22">
        <v>0.13</v>
      </c>
      <c r="AA461" s="8" t="s">
        <v>1698</v>
      </c>
      <c r="AB461" s="8">
        <v>5263046.41</v>
      </c>
      <c r="AC461" s="24">
        <v>6110396.8820100008</v>
      </c>
      <c r="AD461" s="8">
        <v>3831623.77</v>
      </c>
      <c r="AE461" s="24">
        <v>4448515.1969699999</v>
      </c>
      <c r="AF461" s="8">
        <v>45</v>
      </c>
      <c r="AG461" s="8">
        <v>40</v>
      </c>
      <c r="AH461" s="8" t="s">
        <v>347</v>
      </c>
      <c r="AI461" s="8" t="s">
        <v>455</v>
      </c>
      <c r="AJ461" s="22">
        <v>0.11</v>
      </c>
      <c r="AK461" s="8" t="s">
        <v>159</v>
      </c>
      <c r="AL461" s="22">
        <v>0.05</v>
      </c>
      <c r="AM461" s="22">
        <v>0.04</v>
      </c>
      <c r="AN461" s="8">
        <v>6</v>
      </c>
      <c r="AO461" s="8">
        <v>3338</v>
      </c>
      <c r="AP461" s="8">
        <v>4794338.1100000003</v>
      </c>
      <c r="AQ461" s="24">
        <v>5566226.5457100002</v>
      </c>
      <c r="AR461" s="8">
        <v>6003131.4100000001</v>
      </c>
      <c r="AS461" s="37">
        <v>6969635.5670100003</v>
      </c>
      <c r="AT461" s="8" t="s">
        <v>385</v>
      </c>
      <c r="AU461" s="8" t="s">
        <v>356</v>
      </c>
      <c r="AV461" s="8">
        <v>67.900000000000006</v>
      </c>
      <c r="AW461" s="8"/>
      <c r="AX461" s="8" t="s">
        <v>323</v>
      </c>
      <c r="AY461" s="8" t="s">
        <v>224</v>
      </c>
      <c r="AZ461" s="8" t="s">
        <v>324</v>
      </c>
      <c r="BA461" s="21">
        <f>IF(OR(tblsales[[#This Row],[Invoice Value USD]]="",tblsales[[#This Row],[Collected Amount USD]]=""),"",tblsales[[#This Row],[Invoice Value USD]]-tblsales[[#This Row],[Collected Amount USD]])</f>
        <v>1661881.6850400008</v>
      </c>
      <c r="BB461" s="21">
        <f>IF(OR(tblsales[[#This Row],[Contract Value USD]]="",tblsales[[#This Row],[Cost Estimate USD]]=""),"",tblsales[[#This Row],[Contract Value USD]]-tblsales[[#This Row],[Cost Estimate USD]])</f>
        <v>4740182.5806000009</v>
      </c>
      <c r="BC461" s="21">
        <f>IF(OR(tblsales[[#This Row],[Contract Value USD]]="",tblsales[[#This Row],[Cost Estimate USD]]=""),"",tblsales[[#This Row],[Contract Value USD]]-tblsales[[#This Row],[Cost Estimate USD]])</f>
        <v>4740182.5806000009</v>
      </c>
      <c r="BD461" s="23">
        <f>IF(tblsales[[#This Row],[Invoice Value USD]]="","",tblsales[[#This Row],[Collected Amount USD]]/tblsales[[#This Row],[Invoice Value USD]])</f>
        <v>0.72802393737584381</v>
      </c>
      <c r="BE461" s="11">
        <f>IF(tblsales[[#This Row],[SalesStage]]="Won",1,0)</f>
        <v>0</v>
      </c>
      <c r="BF461" s="21" t="str">
        <f>IF(tblsales[[#This Row],[Win Flag]]=1,"Won","Lost")</f>
        <v>Lost</v>
      </c>
      <c r="BG461" s="8"/>
    </row>
    <row r="462" spans="1:59" x14ac:dyDescent="0.3">
      <c r="A462" s="10" t="s">
        <v>1699</v>
      </c>
      <c r="B462" s="9">
        <v>45664</v>
      </c>
      <c r="C462" s="10" t="s">
        <v>201</v>
      </c>
      <c r="D462" s="10" t="s">
        <v>250</v>
      </c>
      <c r="E462" s="10" t="s">
        <v>20</v>
      </c>
      <c r="F462" s="10" t="s">
        <v>31</v>
      </c>
      <c r="G462" s="10" t="s">
        <v>23</v>
      </c>
      <c r="H462" s="10" t="s">
        <v>182</v>
      </c>
      <c r="I462" s="10" t="s">
        <v>198</v>
      </c>
      <c r="J462" s="10" t="s">
        <v>136</v>
      </c>
      <c r="K462" s="10" t="s">
        <v>204</v>
      </c>
      <c r="L462" s="10" t="s">
        <v>1700</v>
      </c>
      <c r="M462" s="9">
        <v>45995</v>
      </c>
      <c r="N462" s="9">
        <v>45890</v>
      </c>
      <c r="O462" s="9">
        <v>45913</v>
      </c>
      <c r="P462" s="11">
        <v>16</v>
      </c>
      <c r="Q462" s="12">
        <v>34701789</v>
      </c>
      <c r="R462">
        <v>9449297.1447000001</v>
      </c>
      <c r="S462" s="22">
        <v>0.14000000000000001</v>
      </c>
      <c r="T462" s="22">
        <v>0.02</v>
      </c>
      <c r="U462" s="12">
        <v>30440409.309999999</v>
      </c>
      <c r="V462" s="24">
        <v>8288923.4551129993</v>
      </c>
      <c r="W462" s="8">
        <v>19150982.75</v>
      </c>
      <c r="X462" s="24">
        <v>5214812.602825</v>
      </c>
      <c r="Y462" s="22">
        <v>0.24</v>
      </c>
      <c r="Z462" s="22">
        <v>0.19</v>
      </c>
      <c r="AA462" s="8" t="s">
        <v>1701</v>
      </c>
      <c r="AB462" s="8">
        <v>25964906.09</v>
      </c>
      <c r="AC462" s="24">
        <v>7070243.9283069996</v>
      </c>
      <c r="AD462" s="8">
        <v>16480613.630000001</v>
      </c>
      <c r="AE462" s="24">
        <v>4487671.0914489999</v>
      </c>
      <c r="AF462" s="8">
        <v>60</v>
      </c>
      <c r="AG462" s="8">
        <v>137</v>
      </c>
      <c r="AH462" s="8" t="s">
        <v>353</v>
      </c>
      <c r="AI462" s="8" t="s">
        <v>320</v>
      </c>
      <c r="AJ462" s="22">
        <v>0.82</v>
      </c>
      <c r="AK462" s="8" t="s">
        <v>153</v>
      </c>
      <c r="AL462" s="22">
        <v>0.1</v>
      </c>
      <c r="AM462" s="22">
        <v>0.03</v>
      </c>
      <c r="AN462" s="8">
        <v>11</v>
      </c>
      <c r="AO462" s="8">
        <v>542</v>
      </c>
      <c r="AP462" s="8">
        <v>6672969.4699999997</v>
      </c>
      <c r="AQ462" s="24">
        <v>1817049.5866809997</v>
      </c>
      <c r="AR462" s="8">
        <v>4592060.8499999996</v>
      </c>
      <c r="AS462" s="37">
        <v>1250418.1694549997</v>
      </c>
      <c r="AT462" s="8" t="s">
        <v>343</v>
      </c>
      <c r="AU462" s="8" t="s">
        <v>321</v>
      </c>
      <c r="AV462" s="8">
        <v>85.8</v>
      </c>
      <c r="AW462" s="8">
        <v>24</v>
      </c>
      <c r="AX462" s="8" t="s">
        <v>332</v>
      </c>
      <c r="AY462" s="8" t="s">
        <v>229</v>
      </c>
      <c r="AZ462" s="8" t="s">
        <v>324</v>
      </c>
      <c r="BA462" s="21">
        <f>IF(OR(tblsales[[#This Row],[Invoice Value USD]]="",tblsales[[#This Row],[Collected Amount USD]]=""),"",tblsales[[#This Row],[Invoice Value USD]]-tblsales[[#This Row],[Collected Amount USD]])</f>
        <v>2582572.8368579997</v>
      </c>
      <c r="BB462" s="21">
        <f>IF(OR(tblsales[[#This Row],[Contract Value USD]]="",tblsales[[#This Row],[Cost Estimate USD]]=""),"",tblsales[[#This Row],[Contract Value USD]]-tblsales[[#This Row],[Cost Estimate USD]])</f>
        <v>3074110.8522879994</v>
      </c>
      <c r="BC462" s="21">
        <f>IF(OR(tblsales[[#This Row],[Contract Value USD]]="",tblsales[[#This Row],[Cost Estimate USD]]=""),"",tblsales[[#This Row],[Contract Value USD]]-tblsales[[#This Row],[Cost Estimate USD]])</f>
        <v>3074110.8522879994</v>
      </c>
      <c r="BD462" s="23">
        <f>IF(tblsales[[#This Row],[Invoice Value USD]]="","",tblsales[[#This Row],[Collected Amount USD]]/tblsales[[#This Row],[Invoice Value USD]])</f>
        <v>0.63472648708509161</v>
      </c>
      <c r="BE462" s="11">
        <f>IF(tblsales[[#This Row],[SalesStage]]="Won",1,0)</f>
        <v>1</v>
      </c>
      <c r="BF462" s="21" t="str">
        <f>IF(tblsales[[#This Row],[Win Flag]]=1,"Won","Lost")</f>
        <v>Won</v>
      </c>
      <c r="BG462" s="8"/>
    </row>
    <row r="463" spans="1:59" x14ac:dyDescent="0.3">
      <c r="A463" s="10" t="s">
        <v>1702</v>
      </c>
      <c r="B463" s="9">
        <v>46039</v>
      </c>
      <c r="C463" s="10" t="s">
        <v>251</v>
      </c>
      <c r="D463" s="10" t="s">
        <v>190</v>
      </c>
      <c r="E463" s="10" t="s">
        <v>52</v>
      </c>
      <c r="F463" s="10" t="s">
        <v>75</v>
      </c>
      <c r="G463" s="10" t="s">
        <v>23</v>
      </c>
      <c r="H463" s="10" t="s">
        <v>212</v>
      </c>
      <c r="I463" s="10" t="s">
        <v>183</v>
      </c>
      <c r="J463" s="10" t="s">
        <v>119</v>
      </c>
      <c r="K463" s="10" t="s">
        <v>199</v>
      </c>
      <c r="L463" s="10" t="s">
        <v>1703</v>
      </c>
      <c r="M463" s="9">
        <v>45669</v>
      </c>
      <c r="N463" s="9">
        <v>46073</v>
      </c>
      <c r="O463" s="9">
        <v>46081</v>
      </c>
      <c r="P463" s="11">
        <v>59</v>
      </c>
      <c r="Q463" s="12">
        <v>16451263</v>
      </c>
      <c r="R463">
        <v>16451263</v>
      </c>
      <c r="S463" s="22">
        <v>0.34</v>
      </c>
      <c r="T463" s="22">
        <v>0.16</v>
      </c>
      <c r="U463" s="12">
        <v>12595086.949999999</v>
      </c>
      <c r="V463" s="24">
        <v>12595086.949999999</v>
      </c>
      <c r="W463" s="8">
        <v>8919447.2100000009</v>
      </c>
      <c r="X463" s="24">
        <v>8919447.2100000009</v>
      </c>
      <c r="Y463" s="22">
        <v>0.28000000000000003</v>
      </c>
      <c r="Z463" s="22">
        <v>0.1</v>
      </c>
      <c r="AA463" s="8" t="s">
        <v>1704</v>
      </c>
      <c r="AB463" s="8">
        <v>9627105.2799999993</v>
      </c>
      <c r="AC463" s="24">
        <v>9627105.2799999993</v>
      </c>
      <c r="AD463" s="8">
        <v>8552762.9100000001</v>
      </c>
      <c r="AE463" s="24">
        <v>8552762.9100000001</v>
      </c>
      <c r="AF463" s="8">
        <v>30</v>
      </c>
      <c r="AG463" s="8">
        <v>45</v>
      </c>
      <c r="AH463" s="8" t="s">
        <v>347</v>
      </c>
      <c r="AI463" s="8" t="s">
        <v>336</v>
      </c>
      <c r="AJ463" s="22">
        <v>0.11</v>
      </c>
      <c r="AK463" s="8" t="s">
        <v>152</v>
      </c>
      <c r="AL463" s="22">
        <v>0.1</v>
      </c>
      <c r="AM463" s="22">
        <v>0.02</v>
      </c>
      <c r="AN463" s="8">
        <v>6</v>
      </c>
      <c r="AO463" s="8">
        <v>2676</v>
      </c>
      <c r="AP463" s="8">
        <v>1131321.45</v>
      </c>
      <c r="AQ463" s="24">
        <v>1131321.45</v>
      </c>
      <c r="AR463" s="8">
        <v>4997642.21</v>
      </c>
      <c r="AS463" s="37">
        <v>4997642.21</v>
      </c>
      <c r="AT463" s="8" t="s">
        <v>385</v>
      </c>
      <c r="AU463" s="8" t="s">
        <v>330</v>
      </c>
      <c r="AV463" s="8">
        <v>92</v>
      </c>
      <c r="AW463" s="8">
        <v>60</v>
      </c>
      <c r="AX463" s="8" t="s">
        <v>332</v>
      </c>
      <c r="AY463" s="8" t="s">
        <v>192</v>
      </c>
      <c r="AZ463" s="8" t="s">
        <v>361</v>
      </c>
      <c r="BA463" s="21">
        <f>IF(OR(tblsales[[#This Row],[Invoice Value USD]]="",tblsales[[#This Row],[Collected Amount USD]]=""),"",tblsales[[#This Row],[Invoice Value USD]]-tblsales[[#This Row],[Collected Amount USD]])</f>
        <v>1074342.3699999992</v>
      </c>
      <c r="BB463" s="21">
        <f>IF(OR(tblsales[[#This Row],[Contract Value USD]]="",tblsales[[#This Row],[Cost Estimate USD]]=""),"",tblsales[[#This Row],[Contract Value USD]]-tblsales[[#This Row],[Cost Estimate USD]])</f>
        <v>3675639.7399999984</v>
      </c>
      <c r="BC463" s="21">
        <f>IF(OR(tblsales[[#This Row],[Contract Value USD]]="",tblsales[[#This Row],[Cost Estimate USD]]=""),"",tblsales[[#This Row],[Contract Value USD]]-tblsales[[#This Row],[Cost Estimate USD]])</f>
        <v>3675639.7399999984</v>
      </c>
      <c r="BD463" s="23">
        <f>IF(tblsales[[#This Row],[Invoice Value USD]]="","",tblsales[[#This Row],[Collected Amount USD]]/tblsales[[#This Row],[Invoice Value USD]])</f>
        <v>0.88840442285056231</v>
      </c>
      <c r="BE463" s="11">
        <f>IF(tblsales[[#This Row],[SalesStage]]="Won",1,0)</f>
        <v>0</v>
      </c>
      <c r="BF463" s="21" t="str">
        <f>IF(tblsales[[#This Row],[Win Flag]]=1,"Won","Lost")</f>
        <v>Lost</v>
      </c>
      <c r="BG463" s="8"/>
    </row>
    <row r="464" spans="1:59" x14ac:dyDescent="0.3">
      <c r="A464" s="10" t="s">
        <v>1705</v>
      </c>
      <c r="B464" s="9">
        <v>45871</v>
      </c>
      <c r="C464" s="10" t="s">
        <v>254</v>
      </c>
      <c r="D464" s="10" t="s">
        <v>255</v>
      </c>
      <c r="E464" s="10" t="s">
        <v>36</v>
      </c>
      <c r="F464" s="10" t="s">
        <v>19</v>
      </c>
      <c r="G464" s="10" t="s">
        <v>16</v>
      </c>
      <c r="H464" s="10" t="s">
        <v>182</v>
      </c>
      <c r="I464" s="10" t="s">
        <v>240</v>
      </c>
      <c r="J464" s="10" t="s">
        <v>115</v>
      </c>
      <c r="K464" s="10" t="s">
        <v>333</v>
      </c>
      <c r="L464" s="10" t="s">
        <v>1706</v>
      </c>
      <c r="M464" s="9">
        <v>45875</v>
      </c>
      <c r="N464" s="9"/>
      <c r="O464" s="9">
        <v>45980</v>
      </c>
      <c r="P464" s="11">
        <v>4</v>
      </c>
      <c r="Q464" s="12">
        <v>20788061</v>
      </c>
      <c r="R464">
        <v>20788061</v>
      </c>
      <c r="S464" s="22">
        <v>0.24</v>
      </c>
      <c r="T464" s="22">
        <v>0.18</v>
      </c>
      <c r="U464" s="12">
        <v>18642733.100000001</v>
      </c>
      <c r="V464" s="24">
        <v>18642733.100000001</v>
      </c>
      <c r="W464" s="8">
        <v>14717098.449999999</v>
      </c>
      <c r="X464" s="24">
        <v>14717098.449999999</v>
      </c>
      <c r="Y464" s="22">
        <v>0.33</v>
      </c>
      <c r="Z464" s="22">
        <v>0.16</v>
      </c>
      <c r="AA464" s="8"/>
      <c r="AB464" s="8">
        <v>15468935.560000001</v>
      </c>
      <c r="AC464" s="24">
        <v>15468935.560000001</v>
      </c>
      <c r="AD464" s="8">
        <v>14586481.27</v>
      </c>
      <c r="AE464" s="24">
        <v>14586481.27</v>
      </c>
      <c r="AF464" s="8">
        <v>30</v>
      </c>
      <c r="AG464" s="8">
        <v>108</v>
      </c>
      <c r="AH464" s="8" t="s">
        <v>329</v>
      </c>
      <c r="AI464" s="8" t="s">
        <v>226</v>
      </c>
      <c r="AJ464" s="22">
        <v>0.96</v>
      </c>
      <c r="AK464" s="8" t="s">
        <v>152</v>
      </c>
      <c r="AL464" s="22">
        <v>0.15</v>
      </c>
      <c r="AM464" s="22">
        <v>0.08</v>
      </c>
      <c r="AN464" s="8">
        <v>12</v>
      </c>
      <c r="AO464" s="8">
        <v>2891</v>
      </c>
      <c r="AP464" s="8">
        <v>3631876.11</v>
      </c>
      <c r="AQ464" s="24">
        <v>3631876.11</v>
      </c>
      <c r="AR464" s="8">
        <v>5263701.59</v>
      </c>
      <c r="AS464" s="37">
        <v>5263701.59</v>
      </c>
      <c r="AT464" s="8" t="s">
        <v>343</v>
      </c>
      <c r="AU464" s="8" t="s">
        <v>356</v>
      </c>
      <c r="AV464" s="8"/>
      <c r="AW464" s="8">
        <v>24</v>
      </c>
      <c r="AX464" s="8" t="s">
        <v>332</v>
      </c>
      <c r="AY464" s="8" t="s">
        <v>186</v>
      </c>
      <c r="AZ464" s="8" t="s">
        <v>188</v>
      </c>
      <c r="BA464" s="21">
        <f>IF(OR(tblsales[[#This Row],[Invoice Value USD]]="",tblsales[[#This Row],[Collected Amount USD]]=""),"",tblsales[[#This Row],[Invoice Value USD]]-tblsales[[#This Row],[Collected Amount USD]])</f>
        <v>882454.29000000097</v>
      </c>
      <c r="BB464" s="21">
        <f>IF(OR(tblsales[[#This Row],[Contract Value USD]]="",tblsales[[#This Row],[Cost Estimate USD]]=""),"",tblsales[[#This Row],[Contract Value USD]]-tblsales[[#This Row],[Cost Estimate USD]])</f>
        <v>3925634.6500000022</v>
      </c>
      <c r="BC464" s="21">
        <f>IF(OR(tblsales[[#This Row],[Contract Value USD]]="",tblsales[[#This Row],[Cost Estimate USD]]=""),"",tblsales[[#This Row],[Contract Value USD]]-tblsales[[#This Row],[Cost Estimate USD]])</f>
        <v>3925634.6500000022</v>
      </c>
      <c r="BD464" s="23">
        <f>IF(tblsales[[#This Row],[Invoice Value USD]]="","",tblsales[[#This Row],[Collected Amount USD]]/tblsales[[#This Row],[Invoice Value USD]])</f>
        <v>0.94295313426207061</v>
      </c>
      <c r="BE464" s="11">
        <f>IF(tblsales[[#This Row],[SalesStage]]="Won",1,0)</f>
        <v>0</v>
      </c>
      <c r="BF464" s="21" t="str">
        <f>IF(tblsales[[#This Row],[Win Flag]]=1,"Won","Lost")</f>
        <v>Lost</v>
      </c>
      <c r="BG464" s="8"/>
    </row>
    <row r="465" spans="1:59" x14ac:dyDescent="0.3">
      <c r="A465" s="10" t="s">
        <v>1707</v>
      </c>
      <c r="B465" s="9">
        <v>45944</v>
      </c>
      <c r="C465" s="10" t="s">
        <v>254</v>
      </c>
      <c r="D465" s="10" t="s">
        <v>253</v>
      </c>
      <c r="E465" s="10" t="s">
        <v>41</v>
      </c>
      <c r="F465" s="10" t="s">
        <v>363</v>
      </c>
      <c r="G465" s="10" t="s">
        <v>73</v>
      </c>
      <c r="H465" s="10" t="s">
        <v>182</v>
      </c>
      <c r="I465" s="10" t="s">
        <v>213</v>
      </c>
      <c r="J465" s="10" t="s">
        <v>105</v>
      </c>
      <c r="K465" s="10" t="s">
        <v>204</v>
      </c>
      <c r="L465" s="10" t="s">
        <v>1708</v>
      </c>
      <c r="M465" s="9">
        <v>45666</v>
      </c>
      <c r="N465" s="9">
        <v>45788</v>
      </c>
      <c r="O465" s="9">
        <v>46007</v>
      </c>
      <c r="P465" s="11">
        <v>28</v>
      </c>
      <c r="Q465" s="12"/>
      <c r="S465" s="22">
        <v>0.22</v>
      </c>
      <c r="T465" s="22">
        <v>0.13</v>
      </c>
      <c r="U465" s="12">
        <v>20263554.350000001</v>
      </c>
      <c r="V465" s="24">
        <v>20263554.350000001</v>
      </c>
      <c r="W465" s="8">
        <v>15848047.91</v>
      </c>
      <c r="X465" s="24">
        <v>15848047.91</v>
      </c>
      <c r="Y465" s="22">
        <v>0.3</v>
      </c>
      <c r="Z465" s="22">
        <v>0.05</v>
      </c>
      <c r="AA465" s="8" t="s">
        <v>1709</v>
      </c>
      <c r="AB465" s="8">
        <v>5389605.6900000004</v>
      </c>
      <c r="AC465" s="24">
        <v>5389605.6900000004</v>
      </c>
      <c r="AD465" s="8">
        <v>2442028.6</v>
      </c>
      <c r="AE465" s="24">
        <v>2442028.6</v>
      </c>
      <c r="AF465" s="8">
        <v>90</v>
      </c>
      <c r="AG465" s="8">
        <v>32</v>
      </c>
      <c r="AH465" s="8" t="s">
        <v>332</v>
      </c>
      <c r="AI465" s="8" t="s">
        <v>320</v>
      </c>
      <c r="AJ465" s="22">
        <v>0.19</v>
      </c>
      <c r="AK465" s="8" t="s">
        <v>152</v>
      </c>
      <c r="AL465" s="22">
        <v>0.1</v>
      </c>
      <c r="AM465" s="22">
        <v>0.02</v>
      </c>
      <c r="AN465" s="8">
        <v>10</v>
      </c>
      <c r="AO465" s="8">
        <v>3222</v>
      </c>
      <c r="AP465" s="8">
        <v>1615098.81</v>
      </c>
      <c r="AQ465" s="24">
        <v>1615098.81</v>
      </c>
      <c r="AR465" s="8"/>
      <c r="AS465" s="37"/>
      <c r="AT465" s="8" t="s">
        <v>73</v>
      </c>
      <c r="AU465" s="8" t="s">
        <v>332</v>
      </c>
      <c r="AV465" s="8"/>
      <c r="AW465" s="8">
        <v>36</v>
      </c>
      <c r="AX465" s="8" t="s">
        <v>392</v>
      </c>
      <c r="AY465" s="8" t="s">
        <v>229</v>
      </c>
      <c r="AZ465" s="8" t="s">
        <v>357</v>
      </c>
      <c r="BA465" s="21">
        <f>IF(OR(tblsales[[#This Row],[Invoice Value USD]]="",tblsales[[#This Row],[Collected Amount USD]]=""),"",tblsales[[#This Row],[Invoice Value USD]]-tblsales[[#This Row],[Collected Amount USD]])</f>
        <v>2947577.0900000003</v>
      </c>
      <c r="BB465" s="21">
        <f>IF(OR(tblsales[[#This Row],[Contract Value USD]]="",tblsales[[#This Row],[Cost Estimate USD]]=""),"",tblsales[[#This Row],[Contract Value USD]]-tblsales[[#This Row],[Cost Estimate USD]])</f>
        <v>4415506.4400000013</v>
      </c>
      <c r="BC465" s="21">
        <f>IF(OR(tblsales[[#This Row],[Contract Value USD]]="",tblsales[[#This Row],[Cost Estimate USD]]=""),"",tblsales[[#This Row],[Contract Value USD]]-tblsales[[#This Row],[Cost Estimate USD]])</f>
        <v>4415506.4400000013</v>
      </c>
      <c r="BD465" s="23">
        <f>IF(tblsales[[#This Row],[Invoice Value USD]]="","",tblsales[[#This Row],[Collected Amount USD]]/tblsales[[#This Row],[Invoice Value USD]])</f>
        <v>0.45309967750163926</v>
      </c>
      <c r="BE465" s="11">
        <f>IF(tblsales[[#This Row],[SalesStage]]="Won",1,0)</f>
        <v>1</v>
      </c>
      <c r="BF465" s="21" t="str">
        <f>IF(tblsales[[#This Row],[Win Flag]]=1,"Won","Lost")</f>
        <v>Won</v>
      </c>
      <c r="BG465" s="8"/>
    </row>
    <row r="466" spans="1:59" x14ac:dyDescent="0.3">
      <c r="A466" s="10" t="s">
        <v>1710</v>
      </c>
      <c r="B466" s="9">
        <v>45929</v>
      </c>
      <c r="C466" s="10" t="s">
        <v>269</v>
      </c>
      <c r="D466" s="10" t="s">
        <v>220</v>
      </c>
      <c r="E466" s="10" t="s">
        <v>20</v>
      </c>
      <c r="F466" s="10" t="s">
        <v>332</v>
      </c>
      <c r="G466" s="10" t="s">
        <v>80</v>
      </c>
      <c r="H466" s="10" t="s">
        <v>236</v>
      </c>
      <c r="I466" s="10" t="s">
        <v>332</v>
      </c>
      <c r="J466" s="10" t="s">
        <v>99</v>
      </c>
      <c r="K466" s="10" t="s">
        <v>333</v>
      </c>
      <c r="L466" s="10" t="s">
        <v>1711</v>
      </c>
      <c r="M466" s="9">
        <v>45909</v>
      </c>
      <c r="N466" s="9"/>
      <c r="O466" s="9"/>
      <c r="P466" s="11">
        <v>51</v>
      </c>
      <c r="Q466" s="12">
        <v>34335535</v>
      </c>
      <c r="R466">
        <v>9349566.1804999989</v>
      </c>
      <c r="S466" s="22">
        <v>0.33</v>
      </c>
      <c r="T466" s="22">
        <v>0.06</v>
      </c>
      <c r="U466" s="12">
        <v>24385096.960000001</v>
      </c>
      <c r="V466" s="24">
        <v>6640061.9022079995</v>
      </c>
      <c r="W466" s="8">
        <v>16506401</v>
      </c>
      <c r="X466" s="24">
        <v>4494692.9923</v>
      </c>
      <c r="Y466" s="22">
        <v>0.26</v>
      </c>
      <c r="Z466" s="22">
        <v>0.2</v>
      </c>
      <c r="AA466" s="8" t="s">
        <v>1712</v>
      </c>
      <c r="AB466" s="8">
        <v>19460830.170000002</v>
      </c>
      <c r="AC466" s="24">
        <v>5299184.0552909998</v>
      </c>
      <c r="AD466" s="8">
        <v>11249834.6</v>
      </c>
      <c r="AE466" s="24">
        <v>3063329.9615799999</v>
      </c>
      <c r="AF466" s="8">
        <v>120</v>
      </c>
      <c r="AG466" s="8">
        <v>160</v>
      </c>
      <c r="AH466" s="8" t="s">
        <v>353</v>
      </c>
      <c r="AI466" s="8" t="s">
        <v>320</v>
      </c>
      <c r="AJ466" s="22">
        <v>0.83</v>
      </c>
      <c r="AK466" s="8" t="s">
        <v>153</v>
      </c>
      <c r="AL466" s="22">
        <v>0.05</v>
      </c>
      <c r="AM466" s="22">
        <v>0.03</v>
      </c>
      <c r="AN466" s="8">
        <v>1</v>
      </c>
      <c r="AO466" s="8">
        <v>4836</v>
      </c>
      <c r="AP466" s="8">
        <v>1172145.43</v>
      </c>
      <c r="AQ466" s="24">
        <v>319175.20058899996</v>
      </c>
      <c r="AR466" s="8">
        <v>7933523.29</v>
      </c>
      <c r="AS466" s="37">
        <v>2160298.3918669997</v>
      </c>
      <c r="AT466" s="8" t="s">
        <v>355</v>
      </c>
      <c r="AU466" s="8" t="s">
        <v>386</v>
      </c>
      <c r="AV466" s="8">
        <v>78</v>
      </c>
      <c r="AW466" s="8"/>
      <c r="AX466" s="8" t="s">
        <v>392</v>
      </c>
      <c r="AY466" s="8" t="s">
        <v>186</v>
      </c>
      <c r="AZ466" s="8" t="s">
        <v>324</v>
      </c>
      <c r="BA466" s="21">
        <f>IF(OR(tblsales[[#This Row],[Invoice Value USD]]="",tblsales[[#This Row],[Collected Amount USD]]=""),"",tblsales[[#This Row],[Invoice Value USD]]-tblsales[[#This Row],[Collected Amount USD]])</f>
        <v>2235854.0937109999</v>
      </c>
      <c r="BB466" s="21">
        <f>IF(OR(tblsales[[#This Row],[Contract Value USD]]="",tblsales[[#This Row],[Cost Estimate USD]]=""),"",tblsales[[#This Row],[Contract Value USD]]-tblsales[[#This Row],[Cost Estimate USD]])</f>
        <v>2145368.9099079994</v>
      </c>
      <c r="BC466" s="21">
        <f>IF(OR(tblsales[[#This Row],[Contract Value USD]]="",tblsales[[#This Row],[Cost Estimate USD]]=""),"",tblsales[[#This Row],[Contract Value USD]]-tblsales[[#This Row],[Cost Estimate USD]])</f>
        <v>2145368.9099079994</v>
      </c>
      <c r="BD466" s="23">
        <f>IF(tblsales[[#This Row],[Invoice Value USD]]="","",tblsales[[#This Row],[Collected Amount USD]]/tblsales[[#This Row],[Invoice Value USD]])</f>
        <v>0.57807578102923241</v>
      </c>
      <c r="BE466" s="11">
        <f>IF(tblsales[[#This Row],[SalesStage]]="Won",1,0)</f>
        <v>1</v>
      </c>
      <c r="BF466" s="21" t="str">
        <f>IF(tblsales[[#This Row],[Win Flag]]=1,"Won","Lost")</f>
        <v>Won</v>
      </c>
      <c r="BG466" s="8"/>
    </row>
    <row r="467" spans="1:59" x14ac:dyDescent="0.3">
      <c r="A467" s="10" t="s">
        <v>1713</v>
      </c>
      <c r="B467" s="9">
        <v>45705</v>
      </c>
      <c r="C467" s="10" t="s">
        <v>271</v>
      </c>
      <c r="D467" s="10" t="s">
        <v>281</v>
      </c>
      <c r="E467" s="10" t="s">
        <v>332</v>
      </c>
      <c r="F467" s="10" t="s">
        <v>339</v>
      </c>
      <c r="G467" s="10" t="s">
        <v>57</v>
      </c>
      <c r="H467" s="10" t="s">
        <v>182</v>
      </c>
      <c r="I467" s="10" t="s">
        <v>332</v>
      </c>
      <c r="J467" s="10" t="s">
        <v>130</v>
      </c>
      <c r="K467" s="10" t="s">
        <v>204</v>
      </c>
      <c r="L467" s="10" t="s">
        <v>1714</v>
      </c>
      <c r="M467" s="9">
        <v>45334</v>
      </c>
      <c r="N467" s="9">
        <v>45762</v>
      </c>
      <c r="O467" s="9">
        <v>45749</v>
      </c>
      <c r="P467" s="11">
        <v>26</v>
      </c>
      <c r="Q467" s="12">
        <v>49552969</v>
      </c>
      <c r="R467">
        <v>49552969</v>
      </c>
      <c r="S467" s="22">
        <v>0.15</v>
      </c>
      <c r="T467" s="22">
        <v>0</v>
      </c>
      <c r="U467" s="12">
        <v>42120023.649999999</v>
      </c>
      <c r="V467" s="24">
        <v>42120023.649999999</v>
      </c>
      <c r="W467" s="8">
        <v>30791290.600000001</v>
      </c>
      <c r="X467" s="24">
        <v>30791290.600000001</v>
      </c>
      <c r="Y467" s="22">
        <v>0.17</v>
      </c>
      <c r="Z467" s="22">
        <v>0.13</v>
      </c>
      <c r="AA467" s="8" t="s">
        <v>1715</v>
      </c>
      <c r="AB467" s="8">
        <v>4121492.13</v>
      </c>
      <c r="AC467" s="24">
        <v>4121492.13</v>
      </c>
      <c r="AD467" s="8">
        <v>3097381.89</v>
      </c>
      <c r="AE467" s="24">
        <v>3097381.89</v>
      </c>
      <c r="AF467" s="8">
        <v>45</v>
      </c>
      <c r="AG467" s="8">
        <v>33</v>
      </c>
      <c r="AH467" s="8" t="s">
        <v>332</v>
      </c>
      <c r="AI467" s="8" t="s">
        <v>336</v>
      </c>
      <c r="AJ467" s="22">
        <v>0.67</v>
      </c>
      <c r="AK467" s="8" t="s">
        <v>152</v>
      </c>
      <c r="AL467" s="22">
        <v>0.1</v>
      </c>
      <c r="AM467" s="22">
        <v>0.05</v>
      </c>
      <c r="AN467" s="8">
        <v>8</v>
      </c>
      <c r="AO467" s="8">
        <v>161</v>
      </c>
      <c r="AP467" s="8">
        <v>4709921.82</v>
      </c>
      <c r="AQ467" s="24">
        <v>4709921.82</v>
      </c>
      <c r="AR467" s="8">
        <v>13506443.73</v>
      </c>
      <c r="AS467" s="37">
        <v>13506443.73</v>
      </c>
      <c r="AT467" s="8" t="s">
        <v>385</v>
      </c>
      <c r="AU467" s="8" t="s">
        <v>386</v>
      </c>
      <c r="AV467" s="8">
        <v>91.6</v>
      </c>
      <c r="AW467" s="8">
        <v>36</v>
      </c>
      <c r="AX467" s="8" t="s">
        <v>332</v>
      </c>
      <c r="AY467" s="8" t="s">
        <v>192</v>
      </c>
      <c r="AZ467" s="8" t="s">
        <v>377</v>
      </c>
      <c r="BA467" s="21">
        <f>IF(OR(tblsales[[#This Row],[Invoice Value USD]]="",tblsales[[#This Row],[Collected Amount USD]]=""),"",tblsales[[#This Row],[Invoice Value USD]]-tblsales[[#This Row],[Collected Amount USD]])</f>
        <v>1024110.2399999998</v>
      </c>
      <c r="BB467" s="21">
        <f>IF(OR(tblsales[[#This Row],[Contract Value USD]]="",tblsales[[#This Row],[Cost Estimate USD]]=""),"",tblsales[[#This Row],[Contract Value USD]]-tblsales[[#This Row],[Cost Estimate USD]])</f>
        <v>11328733.049999997</v>
      </c>
      <c r="BC467" s="21">
        <f>IF(OR(tblsales[[#This Row],[Contract Value USD]]="",tblsales[[#This Row],[Cost Estimate USD]]=""),"",tblsales[[#This Row],[Contract Value USD]]-tblsales[[#This Row],[Cost Estimate USD]])</f>
        <v>11328733.049999997</v>
      </c>
      <c r="BD467" s="23">
        <f>IF(tblsales[[#This Row],[Invoice Value USD]]="","",tblsales[[#This Row],[Collected Amount USD]]/tblsales[[#This Row],[Invoice Value USD]])</f>
        <v>0.75151954493723616</v>
      </c>
      <c r="BE467" s="11">
        <f>IF(tblsales[[#This Row],[SalesStage]]="Won",1,0)</f>
        <v>0</v>
      </c>
      <c r="BF467" s="21" t="str">
        <f>IF(tblsales[[#This Row],[Win Flag]]=1,"Won","Lost")</f>
        <v>Lost</v>
      </c>
      <c r="BG467" s="8"/>
    </row>
    <row r="468" spans="1:59" x14ac:dyDescent="0.3">
      <c r="A468" s="10" t="s">
        <v>1716</v>
      </c>
      <c r="B468" s="9">
        <v>45776</v>
      </c>
      <c r="C468" s="10" t="s">
        <v>252</v>
      </c>
      <c r="D468" s="10" t="s">
        <v>253</v>
      </c>
      <c r="E468" s="10" t="s">
        <v>20</v>
      </c>
      <c r="F468" s="10" t="s">
        <v>332</v>
      </c>
      <c r="G468" s="10" t="s">
        <v>66</v>
      </c>
      <c r="H468" s="10" t="s">
        <v>212</v>
      </c>
      <c r="I468" s="10" t="s">
        <v>203</v>
      </c>
      <c r="J468" s="10" t="s">
        <v>136</v>
      </c>
      <c r="K468" s="10" t="s">
        <v>210</v>
      </c>
      <c r="L468" s="10" t="s">
        <v>1717</v>
      </c>
      <c r="M468" s="9">
        <v>45688</v>
      </c>
      <c r="N468" s="9">
        <v>45797</v>
      </c>
      <c r="O468" s="9">
        <v>45858</v>
      </c>
      <c r="P468" s="11">
        <v>7</v>
      </c>
      <c r="Q468" s="12">
        <v>24185661</v>
      </c>
      <c r="R468">
        <v>24185661</v>
      </c>
      <c r="S468" s="22">
        <v>0.23</v>
      </c>
      <c r="T468" s="22">
        <v>-0.03</v>
      </c>
      <c r="U468" s="12">
        <v>18064270.199999999</v>
      </c>
      <c r="V468" s="24">
        <v>18064270.199999999</v>
      </c>
      <c r="W468" s="8">
        <v>15058283.85</v>
      </c>
      <c r="X468" s="24">
        <v>15058283.85</v>
      </c>
      <c r="Y468" s="22">
        <v>0.36</v>
      </c>
      <c r="Z468" s="22">
        <v>0.14000000000000001</v>
      </c>
      <c r="AA468" s="8" t="s">
        <v>1718</v>
      </c>
      <c r="AB468" s="8">
        <v>8236214.7199999997</v>
      </c>
      <c r="AC468" s="24">
        <v>8236214.7199999997</v>
      </c>
      <c r="AD468" s="8">
        <v>8382642.1699999999</v>
      </c>
      <c r="AE468" s="24">
        <v>8382642.1699999999</v>
      </c>
      <c r="AF468" s="8">
        <v>60</v>
      </c>
      <c r="AG468" s="8">
        <v>154</v>
      </c>
      <c r="AH468" s="8" t="s">
        <v>329</v>
      </c>
      <c r="AI468" s="8" t="s">
        <v>354</v>
      </c>
      <c r="AJ468" s="22">
        <v>0.64</v>
      </c>
      <c r="AK468" s="8" t="s">
        <v>152</v>
      </c>
      <c r="AL468" s="22">
        <v>0.15</v>
      </c>
      <c r="AM468" s="22">
        <v>7.0000000000000007E-2</v>
      </c>
      <c r="AN468" s="8">
        <v>15</v>
      </c>
      <c r="AO468" s="8"/>
      <c r="AP468" s="8">
        <v>1819457.77</v>
      </c>
      <c r="AQ468" s="24">
        <v>1819457.77</v>
      </c>
      <c r="AR468" s="8">
        <v>3133684.58</v>
      </c>
      <c r="AS468" s="37">
        <v>3133684.58</v>
      </c>
      <c r="AT468" s="8" t="s">
        <v>332</v>
      </c>
      <c r="AU468" s="8" t="s">
        <v>330</v>
      </c>
      <c r="AV468" s="8">
        <v>71.3</v>
      </c>
      <c r="AW468" s="8">
        <v>48</v>
      </c>
      <c r="AX468" s="8" t="s">
        <v>332</v>
      </c>
      <c r="AY468" s="8" t="s">
        <v>224</v>
      </c>
      <c r="AZ468" s="8" t="s">
        <v>361</v>
      </c>
      <c r="BA468" s="21">
        <f>IF(OR(tblsales[[#This Row],[Invoice Value USD]]="",tblsales[[#This Row],[Collected Amount USD]]=""),"",tblsales[[#This Row],[Invoice Value USD]]-tblsales[[#This Row],[Collected Amount USD]])</f>
        <v>-146427.45000000019</v>
      </c>
      <c r="BB468" s="21">
        <f>IF(OR(tblsales[[#This Row],[Contract Value USD]]="",tblsales[[#This Row],[Cost Estimate USD]]=""),"",tblsales[[#This Row],[Contract Value USD]]-tblsales[[#This Row],[Cost Estimate USD]])</f>
        <v>3005986.3499999996</v>
      </c>
      <c r="BC468" s="21">
        <f>IF(OR(tblsales[[#This Row],[Contract Value USD]]="",tblsales[[#This Row],[Cost Estimate USD]]=""),"",tblsales[[#This Row],[Contract Value USD]]-tblsales[[#This Row],[Cost Estimate USD]])</f>
        <v>3005986.3499999996</v>
      </c>
      <c r="BD468" s="23">
        <f>IF(tblsales[[#This Row],[Invoice Value USD]]="","",tblsales[[#This Row],[Collected Amount USD]]/tblsales[[#This Row],[Invoice Value USD]])</f>
        <v>1.0177784886598975</v>
      </c>
      <c r="BE468" s="11">
        <f>IF(tblsales[[#This Row],[SalesStage]]="Won",1,0)</f>
        <v>0</v>
      </c>
      <c r="BF468" s="21" t="str">
        <f>IF(tblsales[[#This Row],[Win Flag]]=1,"Won","Lost")</f>
        <v>Lost</v>
      </c>
      <c r="BG468" s="8"/>
    </row>
    <row r="469" spans="1:59" x14ac:dyDescent="0.3">
      <c r="A469" s="10" t="s">
        <v>1719</v>
      </c>
      <c r="B469" s="9">
        <v>45746</v>
      </c>
      <c r="C469" s="10" t="s">
        <v>275</v>
      </c>
      <c r="D469" s="10" t="s">
        <v>238</v>
      </c>
      <c r="E469" s="10" t="s">
        <v>20</v>
      </c>
      <c r="F469" s="10" t="s">
        <v>31</v>
      </c>
      <c r="G469" s="10" t="s">
        <v>62</v>
      </c>
      <c r="H469" s="10" t="s">
        <v>216</v>
      </c>
      <c r="I469" s="10" t="s">
        <v>198</v>
      </c>
      <c r="J469" s="10" t="s">
        <v>136</v>
      </c>
      <c r="K469" s="10" t="s">
        <v>199</v>
      </c>
      <c r="L469" s="10" t="s">
        <v>1720</v>
      </c>
      <c r="M469" s="9">
        <v>45901</v>
      </c>
      <c r="N469" s="9"/>
      <c r="O469" s="9">
        <v>45804</v>
      </c>
      <c r="P469" s="11">
        <v>26</v>
      </c>
      <c r="Q469" s="12">
        <v>19042951</v>
      </c>
      <c r="R469">
        <v>5231098.6397000002</v>
      </c>
      <c r="S469" s="22">
        <v>0.06</v>
      </c>
      <c r="T469" s="22">
        <v>0.08</v>
      </c>
      <c r="U469" s="12">
        <v>19332403.859999999</v>
      </c>
      <c r="V469" s="24">
        <v>5310611.3403420001</v>
      </c>
      <c r="W469" s="8">
        <v>14655800.029999999</v>
      </c>
      <c r="X469" s="24">
        <v>4025948.2682409999</v>
      </c>
      <c r="Y469" s="22">
        <v>0.31</v>
      </c>
      <c r="Z469" s="22">
        <v>7.0000000000000007E-2</v>
      </c>
      <c r="AA469" s="8" t="s">
        <v>1721</v>
      </c>
      <c r="AB469" s="8">
        <v>13444253.68</v>
      </c>
      <c r="AC469" s="24">
        <v>3693136.4858959997</v>
      </c>
      <c r="AD469" s="8">
        <v>12550267.82</v>
      </c>
      <c r="AE469" s="24">
        <v>3447558.5701540001</v>
      </c>
      <c r="AF469" s="8">
        <v>45</v>
      </c>
      <c r="AG469" s="8">
        <v>79</v>
      </c>
      <c r="AH469" s="8" t="s">
        <v>332</v>
      </c>
      <c r="AI469" s="8" t="s">
        <v>381</v>
      </c>
      <c r="AJ469" s="22">
        <v>0.78</v>
      </c>
      <c r="AK469" s="8" t="s">
        <v>155</v>
      </c>
      <c r="AL469" s="22">
        <v>0.15</v>
      </c>
      <c r="AM469" s="22">
        <v>0.03</v>
      </c>
      <c r="AN469" s="8">
        <v>12</v>
      </c>
      <c r="AO469" s="8">
        <v>3229</v>
      </c>
      <c r="AP469" s="8"/>
      <c r="AQ469" s="24"/>
      <c r="AR469" s="8">
        <v>5680291.25</v>
      </c>
      <c r="AS469" s="37">
        <v>1560376.0063750001</v>
      </c>
      <c r="AT469" s="8" t="s">
        <v>343</v>
      </c>
      <c r="AU469" s="8" t="s">
        <v>386</v>
      </c>
      <c r="AV469" s="8">
        <v>63.6</v>
      </c>
      <c r="AW469" s="8">
        <v>48</v>
      </c>
      <c r="AX469" s="8" t="s">
        <v>392</v>
      </c>
      <c r="AY469" s="8" t="s">
        <v>224</v>
      </c>
      <c r="AZ469" s="8" t="s">
        <v>332</v>
      </c>
      <c r="BA469" s="21">
        <f>IF(OR(tblsales[[#This Row],[Invoice Value USD]]="",tblsales[[#This Row],[Collected Amount USD]]=""),"",tblsales[[#This Row],[Invoice Value USD]]-tblsales[[#This Row],[Collected Amount USD]])</f>
        <v>245577.91574199963</v>
      </c>
      <c r="BB469" s="21">
        <f>IF(OR(tblsales[[#This Row],[Contract Value USD]]="",tblsales[[#This Row],[Cost Estimate USD]]=""),"",tblsales[[#This Row],[Contract Value USD]]-tblsales[[#This Row],[Cost Estimate USD]])</f>
        <v>1284663.0721010002</v>
      </c>
      <c r="BC469" s="21">
        <f>IF(OR(tblsales[[#This Row],[Contract Value USD]]="",tblsales[[#This Row],[Cost Estimate USD]]=""),"",tblsales[[#This Row],[Contract Value USD]]-tblsales[[#This Row],[Cost Estimate USD]])</f>
        <v>1284663.0721010002</v>
      </c>
      <c r="BD469" s="23">
        <f>IF(tblsales[[#This Row],[Invoice Value USD]]="","",tblsales[[#This Row],[Collected Amount USD]]/tblsales[[#This Row],[Invoice Value USD]])</f>
        <v>0.93350424045256497</v>
      </c>
      <c r="BE469" s="11">
        <f>IF(tblsales[[#This Row],[SalesStage]]="Won",1,0)</f>
        <v>0</v>
      </c>
      <c r="BF469" s="21" t="str">
        <f>IF(tblsales[[#This Row],[Win Flag]]=1,"Won","Lost")</f>
        <v>Lost</v>
      </c>
      <c r="BG469" s="8"/>
    </row>
    <row r="470" spans="1:59" x14ac:dyDescent="0.3">
      <c r="A470" s="10" t="s">
        <v>1722</v>
      </c>
      <c r="B470" s="9">
        <v>45860</v>
      </c>
      <c r="C470" s="10" t="s">
        <v>269</v>
      </c>
      <c r="D470" s="10" t="s">
        <v>220</v>
      </c>
      <c r="E470" s="10" t="s">
        <v>332</v>
      </c>
      <c r="F470" s="10" t="s">
        <v>339</v>
      </c>
      <c r="G470" s="10" t="s">
        <v>70</v>
      </c>
      <c r="H470" s="10" t="s">
        <v>182</v>
      </c>
      <c r="I470" s="10" t="s">
        <v>191</v>
      </c>
      <c r="J470" s="10" t="s">
        <v>130</v>
      </c>
      <c r="K470" s="10" t="s">
        <v>204</v>
      </c>
      <c r="L470" s="10" t="s">
        <v>1723</v>
      </c>
      <c r="M470" s="9">
        <v>45664</v>
      </c>
      <c r="N470" s="9">
        <v>45886</v>
      </c>
      <c r="O470" s="9">
        <v>45967</v>
      </c>
      <c r="P470" s="11">
        <v>44</v>
      </c>
      <c r="Q470" s="12">
        <v>46959036</v>
      </c>
      <c r="R470">
        <v>46959036</v>
      </c>
      <c r="S470" s="22">
        <v>0.3</v>
      </c>
      <c r="T470" s="22">
        <v>0.02</v>
      </c>
      <c r="U470" s="12">
        <v>33528751.699999999</v>
      </c>
      <c r="V470" s="24">
        <v>33528751.699999999</v>
      </c>
      <c r="W470" s="8">
        <v>23019882.300000001</v>
      </c>
      <c r="X470" s="24">
        <v>23019882.300000001</v>
      </c>
      <c r="Y470" s="22">
        <v>0.21</v>
      </c>
      <c r="Z470" s="22">
        <v>0.14000000000000001</v>
      </c>
      <c r="AA470" s="8" t="s">
        <v>1724</v>
      </c>
      <c r="AB470" s="8"/>
      <c r="AC470" s="24"/>
      <c r="AD470" s="8">
        <v>6948821.3200000003</v>
      </c>
      <c r="AE470" s="24">
        <v>6948821.3200000003</v>
      </c>
      <c r="AF470" s="8">
        <v>45</v>
      </c>
      <c r="AG470" s="8">
        <v>136</v>
      </c>
      <c r="AH470" s="8" t="s">
        <v>347</v>
      </c>
      <c r="AI470" s="8" t="s">
        <v>455</v>
      </c>
      <c r="AJ470" s="22">
        <v>0.82</v>
      </c>
      <c r="AK470" s="8" t="s">
        <v>152</v>
      </c>
      <c r="AL470" s="22">
        <v>0.1</v>
      </c>
      <c r="AM470" s="22">
        <v>0.05</v>
      </c>
      <c r="AN470" s="8">
        <v>4</v>
      </c>
      <c r="AO470" s="8">
        <v>4618</v>
      </c>
      <c r="AP470" s="8">
        <v>7905289.5099999998</v>
      </c>
      <c r="AQ470" s="24">
        <v>7905289.5099999998</v>
      </c>
      <c r="AR470" s="8">
        <v>4220251.78</v>
      </c>
      <c r="AS470" s="37">
        <v>4220251.78</v>
      </c>
      <c r="AT470" s="8" t="s">
        <v>321</v>
      </c>
      <c r="AU470" s="8" t="s">
        <v>332</v>
      </c>
      <c r="AV470" s="8"/>
      <c r="AW470" s="8">
        <v>36</v>
      </c>
      <c r="AX470" s="8" t="s">
        <v>332</v>
      </c>
      <c r="AY470" s="8" t="s">
        <v>186</v>
      </c>
      <c r="AZ470" s="8" t="s">
        <v>361</v>
      </c>
      <c r="BA470" s="21" t="str">
        <f>IF(OR(tblsales[[#This Row],[Invoice Value USD]]="",tblsales[[#This Row],[Collected Amount USD]]=""),"",tblsales[[#This Row],[Invoice Value USD]]-tblsales[[#This Row],[Collected Amount USD]])</f>
        <v/>
      </c>
      <c r="BB470" s="21">
        <f>IF(OR(tblsales[[#This Row],[Contract Value USD]]="",tblsales[[#This Row],[Cost Estimate USD]]=""),"",tblsales[[#This Row],[Contract Value USD]]-tblsales[[#This Row],[Cost Estimate USD]])</f>
        <v>10508869.399999999</v>
      </c>
      <c r="BC470" s="21">
        <f>IF(OR(tblsales[[#This Row],[Contract Value USD]]="",tblsales[[#This Row],[Cost Estimate USD]]=""),"",tblsales[[#This Row],[Contract Value USD]]-tblsales[[#This Row],[Cost Estimate USD]])</f>
        <v>10508869.399999999</v>
      </c>
      <c r="BD470" s="23" t="str">
        <f>IF(tblsales[[#This Row],[Invoice Value USD]]="","",tblsales[[#This Row],[Collected Amount USD]]/tblsales[[#This Row],[Invoice Value USD]])</f>
        <v/>
      </c>
      <c r="BE470" s="11">
        <f>IF(tblsales[[#This Row],[SalesStage]]="Won",1,0)</f>
        <v>0</v>
      </c>
      <c r="BF470" s="21" t="str">
        <f>IF(tblsales[[#This Row],[Win Flag]]=1,"Won","Lost")</f>
        <v>Lost</v>
      </c>
      <c r="BG470" s="8"/>
    </row>
    <row r="471" spans="1:59" x14ac:dyDescent="0.3">
      <c r="A471" s="10" t="s">
        <v>1725</v>
      </c>
      <c r="B471" s="9">
        <v>45819</v>
      </c>
      <c r="C471" s="10" t="s">
        <v>261</v>
      </c>
      <c r="D471" s="10" t="s">
        <v>562</v>
      </c>
      <c r="E471" s="10" t="s">
        <v>52</v>
      </c>
      <c r="F471" s="10" t="s">
        <v>75</v>
      </c>
      <c r="G471" s="10" t="s">
        <v>38</v>
      </c>
      <c r="H471" s="10" t="s">
        <v>182</v>
      </c>
      <c r="I471" s="10" t="s">
        <v>246</v>
      </c>
      <c r="J471" s="10" t="s">
        <v>133</v>
      </c>
      <c r="K471" s="10" t="s">
        <v>221</v>
      </c>
      <c r="L471" s="10" t="s">
        <v>1726</v>
      </c>
      <c r="M471" s="9">
        <v>45918</v>
      </c>
      <c r="N471" s="9">
        <v>45728</v>
      </c>
      <c r="O471" s="9">
        <v>46010</v>
      </c>
      <c r="P471" s="11">
        <v>54</v>
      </c>
      <c r="Q471" s="12"/>
      <c r="S471" s="22">
        <v>0.13</v>
      </c>
      <c r="T471" s="22">
        <v>0.12</v>
      </c>
      <c r="U471" s="12">
        <v>10998195.060000001</v>
      </c>
      <c r="V471" s="24">
        <v>10998195.060000001</v>
      </c>
      <c r="W471" s="8">
        <v>9735875.3599999994</v>
      </c>
      <c r="X471" s="24">
        <v>9735875.3599999994</v>
      </c>
      <c r="Y471" s="22">
        <v>0.34</v>
      </c>
      <c r="Z471" s="22">
        <v>0.09</v>
      </c>
      <c r="AA471" s="8" t="s">
        <v>1727</v>
      </c>
      <c r="AB471" s="8">
        <v>4564552.6399999997</v>
      </c>
      <c r="AC471" s="24">
        <v>4564552.6399999997</v>
      </c>
      <c r="AD471" s="8">
        <v>2375731.4700000002</v>
      </c>
      <c r="AE471" s="24">
        <v>2375731.4700000002</v>
      </c>
      <c r="AF471" s="8">
        <v>120</v>
      </c>
      <c r="AG471" s="8">
        <v>46</v>
      </c>
      <c r="AH471" s="8" t="s">
        <v>347</v>
      </c>
      <c r="AI471" s="8" t="s">
        <v>226</v>
      </c>
      <c r="AJ471" s="22">
        <v>0.54</v>
      </c>
      <c r="AK471" s="8" t="s">
        <v>152</v>
      </c>
      <c r="AL471" s="22">
        <v>0.15</v>
      </c>
      <c r="AM471" s="22">
        <v>0.08</v>
      </c>
      <c r="AN471" s="8">
        <v>10</v>
      </c>
      <c r="AO471" s="8">
        <v>2842</v>
      </c>
      <c r="AP471" s="8">
        <v>1721885.59</v>
      </c>
      <c r="AQ471" s="24">
        <v>1721885.59</v>
      </c>
      <c r="AR471" s="8">
        <v>5473182.9100000001</v>
      </c>
      <c r="AS471" s="37">
        <v>5473182.9100000001</v>
      </c>
      <c r="AT471" s="8" t="s">
        <v>355</v>
      </c>
      <c r="AU471" s="8" t="s">
        <v>348</v>
      </c>
      <c r="AV471" s="8">
        <v>52.7</v>
      </c>
      <c r="AW471" s="8">
        <v>12</v>
      </c>
      <c r="AX471" s="8" t="s">
        <v>337</v>
      </c>
      <c r="AY471" s="8" t="s">
        <v>224</v>
      </c>
      <c r="AZ471" s="8" t="s">
        <v>377</v>
      </c>
      <c r="BA471" s="21">
        <f>IF(OR(tblsales[[#This Row],[Invoice Value USD]]="",tblsales[[#This Row],[Collected Amount USD]]=""),"",tblsales[[#This Row],[Invoice Value USD]]-tblsales[[#This Row],[Collected Amount USD]])</f>
        <v>2188821.1699999995</v>
      </c>
      <c r="BB471" s="21">
        <f>IF(OR(tblsales[[#This Row],[Contract Value USD]]="",tblsales[[#This Row],[Cost Estimate USD]]=""),"",tblsales[[#This Row],[Contract Value USD]]-tblsales[[#This Row],[Cost Estimate USD]])</f>
        <v>1262319.7000000011</v>
      </c>
      <c r="BC471" s="21">
        <f>IF(OR(tblsales[[#This Row],[Contract Value USD]]="",tblsales[[#This Row],[Cost Estimate USD]]=""),"",tblsales[[#This Row],[Contract Value USD]]-tblsales[[#This Row],[Cost Estimate USD]])</f>
        <v>1262319.7000000011</v>
      </c>
      <c r="BD471" s="23">
        <f>IF(tblsales[[#This Row],[Invoice Value USD]]="","",tblsales[[#This Row],[Collected Amount USD]]/tblsales[[#This Row],[Invoice Value USD]])</f>
        <v>0.52047410937515237</v>
      </c>
      <c r="BE471" s="11">
        <f>IF(tblsales[[#This Row],[SalesStage]]="Won",1,0)</f>
        <v>0</v>
      </c>
      <c r="BF471" s="21" t="str">
        <f>IF(tblsales[[#This Row],[Win Flag]]=1,"Won","Lost")</f>
        <v>Lost</v>
      </c>
      <c r="BG471" s="8"/>
    </row>
    <row r="472" spans="1:59" x14ac:dyDescent="0.3">
      <c r="A472" s="10" t="s">
        <v>1728</v>
      </c>
      <c r="B472" s="9">
        <v>46050</v>
      </c>
      <c r="C472" s="10" t="s">
        <v>243</v>
      </c>
      <c r="D472" s="10" t="s">
        <v>202</v>
      </c>
      <c r="E472" s="10" t="s">
        <v>20</v>
      </c>
      <c r="F472" s="10" t="s">
        <v>35</v>
      </c>
      <c r="G472" s="10" t="s">
        <v>46</v>
      </c>
      <c r="H472" s="10" t="s">
        <v>182</v>
      </c>
      <c r="I472" s="10" t="s">
        <v>240</v>
      </c>
      <c r="J472" s="10" t="s">
        <v>136</v>
      </c>
      <c r="K472" s="10" t="s">
        <v>223</v>
      </c>
      <c r="L472" s="10" t="s">
        <v>1729</v>
      </c>
      <c r="M472" s="9">
        <v>46021</v>
      </c>
      <c r="N472" s="9">
        <v>46084</v>
      </c>
      <c r="O472" s="9">
        <v>46360</v>
      </c>
      <c r="P472" s="11">
        <v>46</v>
      </c>
      <c r="Q472" s="12">
        <v>19509663</v>
      </c>
      <c r="R472">
        <v>19509663</v>
      </c>
      <c r="S472" s="22">
        <v>0.22</v>
      </c>
      <c r="T472" s="22">
        <v>0.02</v>
      </c>
      <c r="U472" s="12">
        <v>15521887.880000001</v>
      </c>
      <c r="V472" s="24">
        <v>15521887.880000001</v>
      </c>
      <c r="W472" s="8">
        <v>12972059.35</v>
      </c>
      <c r="X472" s="24">
        <v>12972059.35</v>
      </c>
      <c r="Y472" s="22">
        <v>0.22</v>
      </c>
      <c r="Z472" s="22">
        <v>0.14000000000000001</v>
      </c>
      <c r="AA472" s="8" t="s">
        <v>1730</v>
      </c>
      <c r="AB472" s="8">
        <v>9526255.5999999996</v>
      </c>
      <c r="AC472" s="24">
        <v>9526255.5999999996</v>
      </c>
      <c r="AD472" s="8">
        <v>9096790.6400000006</v>
      </c>
      <c r="AE472" s="24">
        <v>9096790.6400000006</v>
      </c>
      <c r="AF472" s="8">
        <v>60</v>
      </c>
      <c r="AG472" s="8">
        <v>178</v>
      </c>
      <c r="AH472" s="8" t="s">
        <v>342</v>
      </c>
      <c r="AI472" s="8" t="s">
        <v>354</v>
      </c>
      <c r="AJ472" s="22">
        <v>0.55000000000000004</v>
      </c>
      <c r="AK472" s="8" t="s">
        <v>152</v>
      </c>
      <c r="AL472" s="22">
        <v>0.05</v>
      </c>
      <c r="AM472" s="22">
        <v>0.03</v>
      </c>
      <c r="AN472" s="8">
        <v>11</v>
      </c>
      <c r="AO472" s="8">
        <v>1282</v>
      </c>
      <c r="AP472" s="8">
        <v>3558985.2</v>
      </c>
      <c r="AQ472" s="24">
        <v>3558985.2</v>
      </c>
      <c r="AR472" s="8">
        <v>3181933.73</v>
      </c>
      <c r="AS472" s="37">
        <v>3181933.73</v>
      </c>
      <c r="AT472" s="8" t="s">
        <v>391</v>
      </c>
      <c r="AU472" s="8" t="s">
        <v>332</v>
      </c>
      <c r="AV472" s="8">
        <v>96.4</v>
      </c>
      <c r="AW472" s="8">
        <v>24</v>
      </c>
      <c r="AX472" s="8" t="s">
        <v>332</v>
      </c>
      <c r="AY472" s="8" t="s">
        <v>192</v>
      </c>
      <c r="AZ472" s="8" t="s">
        <v>188</v>
      </c>
      <c r="BA472" s="21">
        <f>IF(OR(tblsales[[#This Row],[Invoice Value USD]]="",tblsales[[#This Row],[Collected Amount USD]]=""),"",tblsales[[#This Row],[Invoice Value USD]]-tblsales[[#This Row],[Collected Amount USD]])</f>
        <v>429464.95999999903</v>
      </c>
      <c r="BB472" s="21">
        <f>IF(OR(tblsales[[#This Row],[Contract Value USD]]="",tblsales[[#This Row],[Cost Estimate USD]]=""),"",tblsales[[#This Row],[Contract Value USD]]-tblsales[[#This Row],[Cost Estimate USD]])</f>
        <v>2549828.5300000012</v>
      </c>
      <c r="BC472" s="21">
        <f>IF(OR(tblsales[[#This Row],[Contract Value USD]]="",tblsales[[#This Row],[Cost Estimate USD]]=""),"",tblsales[[#This Row],[Contract Value USD]]-tblsales[[#This Row],[Cost Estimate USD]])</f>
        <v>2549828.5300000012</v>
      </c>
      <c r="BD472" s="23">
        <f>IF(tblsales[[#This Row],[Invoice Value USD]]="","",tblsales[[#This Row],[Collected Amount USD]]/tblsales[[#This Row],[Invoice Value USD]])</f>
        <v>0.9549177580328625</v>
      </c>
      <c r="BE472" s="11">
        <f>IF(tblsales[[#This Row],[SalesStage]]="Won",1,0)</f>
        <v>0</v>
      </c>
      <c r="BF472" s="21" t="str">
        <f>IF(tblsales[[#This Row],[Win Flag]]=1,"Won","Lost")</f>
        <v>Lost</v>
      </c>
      <c r="BG472" s="8"/>
    </row>
    <row r="473" spans="1:59" x14ac:dyDescent="0.3">
      <c r="A473" s="10" t="s">
        <v>1731</v>
      </c>
      <c r="B473" s="9">
        <v>45722</v>
      </c>
      <c r="C473" s="10" t="s">
        <v>280</v>
      </c>
      <c r="D473" s="10" t="s">
        <v>190</v>
      </c>
      <c r="E473" s="10" t="s">
        <v>52</v>
      </c>
      <c r="F473" s="10" t="s">
        <v>75</v>
      </c>
      <c r="G473" s="10" t="s">
        <v>70</v>
      </c>
      <c r="H473" s="10" t="s">
        <v>332</v>
      </c>
      <c r="I473" s="10" t="s">
        <v>240</v>
      </c>
      <c r="J473" s="10" t="s">
        <v>133</v>
      </c>
      <c r="K473" s="10" t="s">
        <v>199</v>
      </c>
      <c r="L473" s="10" t="s">
        <v>1732</v>
      </c>
      <c r="M473" s="9">
        <v>45842</v>
      </c>
      <c r="N473" s="9"/>
      <c r="O473" s="9">
        <v>45865</v>
      </c>
      <c r="P473" s="11">
        <v>7</v>
      </c>
      <c r="Q473" s="12">
        <v>1424259</v>
      </c>
      <c r="R473">
        <v>1424259</v>
      </c>
      <c r="S473" s="22">
        <v>0.17</v>
      </c>
      <c r="T473" s="22">
        <v>0.01</v>
      </c>
      <c r="U473" s="12">
        <v>1193956.32</v>
      </c>
      <c r="V473" s="24">
        <v>1193956.32</v>
      </c>
      <c r="W473" s="8">
        <v>936936.21</v>
      </c>
      <c r="X473" s="24">
        <v>936936.21</v>
      </c>
      <c r="Y473" s="22"/>
      <c r="Z473" s="22">
        <v>0.18</v>
      </c>
      <c r="AA473" s="8" t="s">
        <v>1733</v>
      </c>
      <c r="AB473" s="8">
        <v>878553.9</v>
      </c>
      <c r="AC473" s="24">
        <v>878553.9</v>
      </c>
      <c r="AD473" s="8">
        <v>964364.93</v>
      </c>
      <c r="AE473" s="24">
        <v>964364.93</v>
      </c>
      <c r="AF473" s="8">
        <v>90</v>
      </c>
      <c r="AG473" s="8">
        <v>163</v>
      </c>
      <c r="AH473" s="8" t="s">
        <v>353</v>
      </c>
      <c r="AI473" s="8" t="s">
        <v>381</v>
      </c>
      <c r="AJ473" s="22">
        <v>0.72</v>
      </c>
      <c r="AK473" s="8" t="s">
        <v>152</v>
      </c>
      <c r="AL473" s="22">
        <v>0.1</v>
      </c>
      <c r="AM473" s="22">
        <v>0.08</v>
      </c>
      <c r="AN473" s="8">
        <v>15</v>
      </c>
      <c r="AO473" s="8">
        <v>2219</v>
      </c>
      <c r="AP473" s="8">
        <v>158130.76999999999</v>
      </c>
      <c r="AQ473" s="24">
        <v>158130.76999999999</v>
      </c>
      <c r="AR473" s="8">
        <v>404695.05</v>
      </c>
      <c r="AS473" s="37">
        <v>404695.05</v>
      </c>
      <c r="AT473" s="8" t="s">
        <v>73</v>
      </c>
      <c r="AU473" s="8" t="s">
        <v>332</v>
      </c>
      <c r="AV473" s="8">
        <v>87.5</v>
      </c>
      <c r="AW473" s="8">
        <v>36</v>
      </c>
      <c r="AX473" s="8" t="s">
        <v>332</v>
      </c>
      <c r="AY473" s="8" t="s">
        <v>186</v>
      </c>
      <c r="AZ473" s="8" t="s">
        <v>357</v>
      </c>
      <c r="BA473" s="21">
        <f>IF(OR(tblsales[[#This Row],[Invoice Value USD]]="",tblsales[[#This Row],[Collected Amount USD]]=""),"",tblsales[[#This Row],[Invoice Value USD]]-tblsales[[#This Row],[Collected Amount USD]])</f>
        <v>-85811.030000000028</v>
      </c>
      <c r="BB473" s="21">
        <f>IF(OR(tblsales[[#This Row],[Contract Value USD]]="",tblsales[[#This Row],[Cost Estimate USD]]=""),"",tblsales[[#This Row],[Contract Value USD]]-tblsales[[#This Row],[Cost Estimate USD]])</f>
        <v>257020.1100000001</v>
      </c>
      <c r="BC473" s="21">
        <f>IF(OR(tblsales[[#This Row],[Contract Value USD]]="",tblsales[[#This Row],[Cost Estimate USD]]=""),"",tblsales[[#This Row],[Contract Value USD]]-tblsales[[#This Row],[Cost Estimate USD]])</f>
        <v>257020.1100000001</v>
      </c>
      <c r="BD473" s="23">
        <f>IF(tblsales[[#This Row],[Invoice Value USD]]="","",tblsales[[#This Row],[Collected Amount USD]]/tblsales[[#This Row],[Invoice Value USD]])</f>
        <v>1.0976730397531671</v>
      </c>
      <c r="BE473" s="11">
        <f>IF(tblsales[[#This Row],[SalesStage]]="Won",1,0)</f>
        <v>0</v>
      </c>
      <c r="BF473" s="21" t="str">
        <f>IF(tblsales[[#This Row],[Win Flag]]=1,"Won","Lost")</f>
        <v>Lost</v>
      </c>
      <c r="BG473" s="8"/>
    </row>
    <row r="474" spans="1:59" x14ac:dyDescent="0.3">
      <c r="A474" s="10" t="s">
        <v>1734</v>
      </c>
      <c r="B474" s="9">
        <v>45954</v>
      </c>
      <c r="C474" s="10" t="s">
        <v>219</v>
      </c>
      <c r="D474" s="10" t="s">
        <v>281</v>
      </c>
      <c r="E474" s="10" t="s">
        <v>36</v>
      </c>
      <c r="F474" s="10" t="s">
        <v>339</v>
      </c>
      <c r="G474" s="10" t="s">
        <v>66</v>
      </c>
      <c r="H474" s="10" t="s">
        <v>332</v>
      </c>
      <c r="I474" s="10" t="s">
        <v>213</v>
      </c>
      <c r="J474" s="10" t="s">
        <v>115</v>
      </c>
      <c r="K474" s="10" t="s">
        <v>223</v>
      </c>
      <c r="L474" s="10" t="s">
        <v>1735</v>
      </c>
      <c r="M474" s="9">
        <v>45931</v>
      </c>
      <c r="N474" s="9">
        <v>45958</v>
      </c>
      <c r="O474" s="9"/>
      <c r="P474" s="11">
        <v>57</v>
      </c>
      <c r="Q474" s="12">
        <v>16061228</v>
      </c>
      <c r="R474">
        <v>16061228</v>
      </c>
      <c r="S474" s="22">
        <v>0.24</v>
      </c>
      <c r="T474" s="22">
        <v>0.14000000000000001</v>
      </c>
      <c r="U474" s="12">
        <v>13915447.939999999</v>
      </c>
      <c r="V474" s="24">
        <v>13915447.939999999</v>
      </c>
      <c r="W474" s="8">
        <v>10405271.609999999</v>
      </c>
      <c r="X474" s="24">
        <v>10405271.609999999</v>
      </c>
      <c r="Y474" s="22">
        <v>0.27</v>
      </c>
      <c r="Z474" s="22">
        <v>0.11</v>
      </c>
      <c r="AA474" s="8" t="s">
        <v>1736</v>
      </c>
      <c r="AB474" s="8">
        <v>11617236.07</v>
      </c>
      <c r="AC474" s="24">
        <v>11617236.07</v>
      </c>
      <c r="AD474" s="8">
        <v>7427786.7000000002</v>
      </c>
      <c r="AE474" s="24">
        <v>7427786.7000000002</v>
      </c>
      <c r="AF474" s="8">
        <v>90</v>
      </c>
      <c r="AG474" s="8">
        <v>174</v>
      </c>
      <c r="AH474" s="8" t="s">
        <v>332</v>
      </c>
      <c r="AI474" s="8" t="s">
        <v>226</v>
      </c>
      <c r="AJ474" s="22">
        <v>0.28000000000000003</v>
      </c>
      <c r="AK474" s="8" t="s">
        <v>152</v>
      </c>
      <c r="AL474" s="22">
        <v>0.05</v>
      </c>
      <c r="AM474" s="22">
        <v>0.08</v>
      </c>
      <c r="AN474" s="8">
        <v>15</v>
      </c>
      <c r="AO474" s="8">
        <v>522</v>
      </c>
      <c r="AP474" s="8">
        <v>1136153.5900000001</v>
      </c>
      <c r="AQ474" s="24">
        <v>1136153.5900000001</v>
      </c>
      <c r="AR474" s="8">
        <v>2482611.71</v>
      </c>
      <c r="AS474" s="37">
        <v>2482611.71</v>
      </c>
      <c r="AT474" s="8" t="s">
        <v>391</v>
      </c>
      <c r="AU474" s="8" t="s">
        <v>332</v>
      </c>
      <c r="AV474" s="8">
        <v>61.3</v>
      </c>
      <c r="AW474" s="8">
        <v>12</v>
      </c>
      <c r="AX474" s="8" t="s">
        <v>332</v>
      </c>
      <c r="AY474" s="8" t="s">
        <v>186</v>
      </c>
      <c r="AZ474" s="8" t="s">
        <v>188</v>
      </c>
      <c r="BA474" s="21">
        <f>IF(OR(tblsales[[#This Row],[Invoice Value USD]]="",tblsales[[#This Row],[Collected Amount USD]]=""),"",tblsales[[#This Row],[Invoice Value USD]]-tblsales[[#This Row],[Collected Amount USD]])</f>
        <v>4189449.37</v>
      </c>
      <c r="BB474" s="21">
        <f>IF(OR(tblsales[[#This Row],[Contract Value USD]]="",tblsales[[#This Row],[Cost Estimate USD]]=""),"",tblsales[[#This Row],[Contract Value USD]]-tblsales[[#This Row],[Cost Estimate USD]])</f>
        <v>3510176.33</v>
      </c>
      <c r="BC474" s="21">
        <f>IF(OR(tblsales[[#This Row],[Contract Value USD]]="",tblsales[[#This Row],[Cost Estimate USD]]=""),"",tblsales[[#This Row],[Contract Value USD]]-tblsales[[#This Row],[Cost Estimate USD]])</f>
        <v>3510176.33</v>
      </c>
      <c r="BD474" s="23">
        <f>IF(tblsales[[#This Row],[Invoice Value USD]]="","",tblsales[[#This Row],[Collected Amount USD]]/tblsales[[#This Row],[Invoice Value USD]])</f>
        <v>0.63937641064050443</v>
      </c>
      <c r="BE474" s="11">
        <f>IF(tblsales[[#This Row],[SalesStage]]="Won",1,0)</f>
        <v>0</v>
      </c>
      <c r="BF474" s="21" t="str">
        <f>IF(tblsales[[#This Row],[Win Flag]]=1,"Won","Lost")</f>
        <v>Lost</v>
      </c>
      <c r="BG474" s="8"/>
    </row>
    <row r="475" spans="1:59" x14ac:dyDescent="0.3">
      <c r="A475" s="10" t="s">
        <v>1737</v>
      </c>
      <c r="B475" s="9">
        <v>46054</v>
      </c>
      <c r="C475" s="10" t="s">
        <v>252</v>
      </c>
      <c r="D475" s="10" t="s">
        <v>253</v>
      </c>
      <c r="E475" s="10" t="s">
        <v>113</v>
      </c>
      <c r="F475" s="10" t="s">
        <v>181</v>
      </c>
      <c r="G475" s="10" t="s">
        <v>66</v>
      </c>
      <c r="H475" s="10" t="s">
        <v>332</v>
      </c>
      <c r="I475" s="10" t="s">
        <v>191</v>
      </c>
      <c r="J475" s="10" t="s">
        <v>111</v>
      </c>
      <c r="K475" s="10" t="s">
        <v>221</v>
      </c>
      <c r="L475" s="10" t="s">
        <v>1738</v>
      </c>
      <c r="M475" s="9">
        <v>46023</v>
      </c>
      <c r="N475" s="9"/>
      <c r="O475" s="9">
        <v>46125</v>
      </c>
      <c r="P475" s="11">
        <v>8</v>
      </c>
      <c r="Q475" s="12">
        <v>42404115</v>
      </c>
      <c r="R475">
        <v>11648410.3905</v>
      </c>
      <c r="S475" s="22">
        <v>0.16</v>
      </c>
      <c r="T475" s="22">
        <v>0.04</v>
      </c>
      <c r="U475" s="12">
        <v>37044234.859999999</v>
      </c>
      <c r="V475" s="24">
        <v>10176051.316042</v>
      </c>
      <c r="W475" s="8">
        <v>28734259.460000001</v>
      </c>
      <c r="X475" s="24">
        <v>7893301.0736619998</v>
      </c>
      <c r="Y475" s="22">
        <v>0.24</v>
      </c>
      <c r="Z475" s="22">
        <v>0.17</v>
      </c>
      <c r="AA475" s="8" t="s">
        <v>432</v>
      </c>
      <c r="AB475" s="8">
        <v>27475534.73</v>
      </c>
      <c r="AC475" s="24">
        <v>7547529.3903310001</v>
      </c>
      <c r="AD475" s="8">
        <v>16811332.489999998</v>
      </c>
      <c r="AE475" s="24">
        <v>4618073.0350029999</v>
      </c>
      <c r="AF475" s="8">
        <v>30</v>
      </c>
      <c r="AG475" s="8">
        <v>132</v>
      </c>
      <c r="AH475" s="8" t="s">
        <v>353</v>
      </c>
      <c r="AI475" s="8" t="s">
        <v>455</v>
      </c>
      <c r="AJ475" s="22">
        <v>0.21</v>
      </c>
      <c r="AK475" s="8" t="s">
        <v>155</v>
      </c>
      <c r="AL475" s="22">
        <v>0.1</v>
      </c>
      <c r="AM475" s="22">
        <v>0.03</v>
      </c>
      <c r="AN475" s="8">
        <v>13</v>
      </c>
      <c r="AO475" s="8">
        <v>3708</v>
      </c>
      <c r="AP475" s="8">
        <v>6101581.8600000003</v>
      </c>
      <c r="AQ475" s="24">
        <v>1676104.536942</v>
      </c>
      <c r="AR475" s="8">
        <v>17258369.02</v>
      </c>
      <c r="AS475" s="37">
        <v>4740873.9697939996</v>
      </c>
      <c r="AT475" s="8" t="s">
        <v>332</v>
      </c>
      <c r="AU475" s="8" t="s">
        <v>322</v>
      </c>
      <c r="AV475" s="8">
        <v>90.5</v>
      </c>
      <c r="AW475" s="8">
        <v>24</v>
      </c>
      <c r="AX475" s="8" t="s">
        <v>337</v>
      </c>
      <c r="AY475" s="8" t="s">
        <v>206</v>
      </c>
      <c r="AZ475" s="8" t="s">
        <v>361</v>
      </c>
      <c r="BA475" s="21">
        <f>IF(OR(tblsales[[#This Row],[Invoice Value USD]]="",tblsales[[#This Row],[Collected Amount USD]]=""),"",tblsales[[#This Row],[Invoice Value USD]]-tblsales[[#This Row],[Collected Amount USD]])</f>
        <v>2929456.3553280002</v>
      </c>
      <c r="BB475" s="21">
        <f>IF(OR(tblsales[[#This Row],[Contract Value USD]]="",tblsales[[#This Row],[Cost Estimate USD]]=""),"",tblsales[[#This Row],[Contract Value USD]]-tblsales[[#This Row],[Cost Estimate USD]])</f>
        <v>2282750.2423800007</v>
      </c>
      <c r="BC475" s="21">
        <f>IF(OR(tblsales[[#This Row],[Contract Value USD]]="",tblsales[[#This Row],[Cost Estimate USD]]=""),"",tblsales[[#This Row],[Contract Value USD]]-tblsales[[#This Row],[Cost Estimate USD]])</f>
        <v>2282750.2423800007</v>
      </c>
      <c r="BD475" s="23">
        <f>IF(tblsales[[#This Row],[Invoice Value USD]]="","",tblsales[[#This Row],[Collected Amount USD]]/tblsales[[#This Row],[Invoice Value USD]])</f>
        <v>0.6118655252828995</v>
      </c>
      <c r="BE475" s="11">
        <f>IF(tblsales[[#This Row],[SalesStage]]="Won",1,0)</f>
        <v>0</v>
      </c>
      <c r="BF475" s="21" t="str">
        <f>IF(tblsales[[#This Row],[Win Flag]]=1,"Won","Lost")</f>
        <v>Lost</v>
      </c>
      <c r="BG475" s="8"/>
    </row>
    <row r="476" spans="1:59" x14ac:dyDescent="0.3">
      <c r="A476" s="10" t="s">
        <v>1739</v>
      </c>
      <c r="B476" s="9">
        <v>45707</v>
      </c>
      <c r="C476" s="10" t="s">
        <v>266</v>
      </c>
      <c r="D476" s="10" t="s">
        <v>248</v>
      </c>
      <c r="E476" s="10" t="s">
        <v>20</v>
      </c>
      <c r="F476" s="10" t="s">
        <v>31</v>
      </c>
      <c r="G476" s="10" t="s">
        <v>16</v>
      </c>
      <c r="H476" s="10" t="s">
        <v>216</v>
      </c>
      <c r="I476" s="10" t="s">
        <v>198</v>
      </c>
      <c r="J476" s="10" t="s">
        <v>136</v>
      </c>
      <c r="K476" s="10" t="s">
        <v>210</v>
      </c>
      <c r="L476" s="10" t="s">
        <v>1740</v>
      </c>
      <c r="M476" s="9">
        <v>45839</v>
      </c>
      <c r="N476" s="9">
        <v>45660</v>
      </c>
      <c r="O476" s="9">
        <v>45770</v>
      </c>
      <c r="P476" s="11">
        <v>23</v>
      </c>
      <c r="Q476" s="12">
        <v>46339528</v>
      </c>
      <c r="R476">
        <v>46339528</v>
      </c>
      <c r="S476" s="22">
        <v>0.19</v>
      </c>
      <c r="T476" s="22">
        <v>0.16</v>
      </c>
      <c r="U476" s="12">
        <v>43540620.509999998</v>
      </c>
      <c r="V476" s="24">
        <v>43540620.509999998</v>
      </c>
      <c r="W476" s="8">
        <v>26903727.949999999</v>
      </c>
      <c r="X476" s="24">
        <v>26903727.949999999</v>
      </c>
      <c r="Y476" s="22">
        <v>0.11</v>
      </c>
      <c r="Z476" s="22">
        <v>0.08</v>
      </c>
      <c r="AA476" s="8" t="s">
        <v>1741</v>
      </c>
      <c r="AB476" s="8">
        <v>35673805.880000003</v>
      </c>
      <c r="AC476" s="24">
        <v>35673805.880000003</v>
      </c>
      <c r="AD476" s="8">
        <v>20479871.399999999</v>
      </c>
      <c r="AE476" s="24">
        <v>20479871.399999999</v>
      </c>
      <c r="AF476" s="8">
        <v>45</v>
      </c>
      <c r="AG476" s="8">
        <v>98</v>
      </c>
      <c r="AH476" s="8" t="s">
        <v>342</v>
      </c>
      <c r="AI476" s="8" t="s">
        <v>336</v>
      </c>
      <c r="AJ476" s="22">
        <v>0.92</v>
      </c>
      <c r="AK476" s="8" t="s">
        <v>152</v>
      </c>
      <c r="AL476" s="22">
        <v>0.05</v>
      </c>
      <c r="AM476" s="22">
        <v>0.06</v>
      </c>
      <c r="AN476" s="8">
        <v>0</v>
      </c>
      <c r="AO476" s="8">
        <v>3244</v>
      </c>
      <c r="AP476" s="8">
        <v>5564663.3099999996</v>
      </c>
      <c r="AQ476" s="24">
        <v>5564663.3099999996</v>
      </c>
      <c r="AR476" s="8">
        <v>17108234.34</v>
      </c>
      <c r="AS476" s="37">
        <v>17108234.34</v>
      </c>
      <c r="AT476" s="8" t="s">
        <v>391</v>
      </c>
      <c r="AU476" s="8" t="s">
        <v>322</v>
      </c>
      <c r="AV476" s="8">
        <v>50.6</v>
      </c>
      <c r="AW476" s="8"/>
      <c r="AX476" s="8" t="s">
        <v>387</v>
      </c>
      <c r="AY476" s="8" t="s">
        <v>229</v>
      </c>
      <c r="AZ476" s="8" t="s">
        <v>332</v>
      </c>
      <c r="BA476" s="21">
        <f>IF(OR(tblsales[[#This Row],[Invoice Value USD]]="",tblsales[[#This Row],[Collected Amount USD]]=""),"",tblsales[[#This Row],[Invoice Value USD]]-tblsales[[#This Row],[Collected Amount USD]])</f>
        <v>15193934.480000004</v>
      </c>
      <c r="BB476" s="21">
        <f>IF(OR(tblsales[[#This Row],[Contract Value USD]]="",tblsales[[#This Row],[Cost Estimate USD]]=""),"",tblsales[[#This Row],[Contract Value USD]]-tblsales[[#This Row],[Cost Estimate USD]])</f>
        <v>16636892.559999999</v>
      </c>
      <c r="BC476" s="21">
        <f>IF(OR(tblsales[[#This Row],[Contract Value USD]]="",tblsales[[#This Row],[Cost Estimate USD]]=""),"",tblsales[[#This Row],[Contract Value USD]]-tblsales[[#This Row],[Cost Estimate USD]])</f>
        <v>16636892.559999999</v>
      </c>
      <c r="BD476" s="23">
        <f>IF(tblsales[[#This Row],[Invoice Value USD]]="","",tblsales[[#This Row],[Collected Amount USD]]/tblsales[[#This Row],[Invoice Value USD]])</f>
        <v>0.57408708980730705</v>
      </c>
      <c r="BE476" s="11">
        <f>IF(tblsales[[#This Row],[SalesStage]]="Won",1,0)</f>
        <v>0</v>
      </c>
      <c r="BF476" s="21" t="str">
        <f>IF(tblsales[[#This Row],[Win Flag]]=1,"Won","Lost")</f>
        <v>Lost</v>
      </c>
      <c r="BG476" s="8"/>
    </row>
    <row r="477" spans="1:59" x14ac:dyDescent="0.3">
      <c r="A477" s="10" t="s">
        <v>1742</v>
      </c>
      <c r="B477" s="9">
        <v>45851</v>
      </c>
      <c r="C477" s="10" t="s">
        <v>270</v>
      </c>
      <c r="D477" s="10" t="s">
        <v>245</v>
      </c>
      <c r="E477" s="10" t="s">
        <v>113</v>
      </c>
      <c r="F477" s="10" t="s">
        <v>181</v>
      </c>
      <c r="G477" s="10" t="s">
        <v>78</v>
      </c>
      <c r="H477" s="10" t="s">
        <v>236</v>
      </c>
      <c r="I477" s="10" t="s">
        <v>233</v>
      </c>
      <c r="J477" s="10" t="s">
        <v>123</v>
      </c>
      <c r="K477" s="10" t="s">
        <v>223</v>
      </c>
      <c r="L477" s="10" t="s">
        <v>1743</v>
      </c>
      <c r="M477" s="9">
        <v>45790</v>
      </c>
      <c r="N477" s="9">
        <v>45969</v>
      </c>
      <c r="O477" s="9"/>
      <c r="P477" s="11">
        <v>28</v>
      </c>
      <c r="Q477" s="12">
        <v>9889259</v>
      </c>
      <c r="R477">
        <v>2692845.2256999998</v>
      </c>
      <c r="S477" s="22">
        <v>0.26</v>
      </c>
      <c r="T477" s="22">
        <v>0.04</v>
      </c>
      <c r="U477" s="12">
        <v>7610773.7300000004</v>
      </c>
      <c r="V477" s="24">
        <v>2072413.686679</v>
      </c>
      <c r="W477" s="8"/>
      <c r="X477" s="24"/>
      <c r="Y477" s="22">
        <v>0.28999999999999998</v>
      </c>
      <c r="Z477" s="22">
        <v>0.08</v>
      </c>
      <c r="AA477" s="8" t="s">
        <v>1744</v>
      </c>
      <c r="AB477" s="8">
        <v>3506324.73</v>
      </c>
      <c r="AC477" s="24">
        <v>954772.223979</v>
      </c>
      <c r="AD477" s="8">
        <v>2886983.49</v>
      </c>
      <c r="AE477" s="24">
        <v>786125.60432699998</v>
      </c>
      <c r="AF477" s="8">
        <v>30</v>
      </c>
      <c r="AG477" s="8">
        <v>163</v>
      </c>
      <c r="AH477" s="8" t="s">
        <v>342</v>
      </c>
      <c r="AI477" s="8" t="s">
        <v>320</v>
      </c>
      <c r="AJ477" s="22">
        <v>0.44</v>
      </c>
      <c r="AK477" s="8" t="s">
        <v>153</v>
      </c>
      <c r="AL477" s="22">
        <v>0.05</v>
      </c>
      <c r="AM477" s="22">
        <v>0.05</v>
      </c>
      <c r="AN477" s="8">
        <v>1</v>
      </c>
      <c r="AO477" s="8">
        <v>3995</v>
      </c>
      <c r="AP477" s="8">
        <v>553894.25</v>
      </c>
      <c r="AQ477" s="24">
        <v>150825.40427499998</v>
      </c>
      <c r="AR477" s="8">
        <v>3240213.03</v>
      </c>
      <c r="AS477" s="37">
        <v>882310.00806899986</v>
      </c>
      <c r="AT477" s="8" t="s">
        <v>321</v>
      </c>
      <c r="AU477" s="8" t="s">
        <v>356</v>
      </c>
      <c r="AV477" s="8"/>
      <c r="AW477" s="8">
        <v>60</v>
      </c>
      <c r="AX477" s="8" t="s">
        <v>332</v>
      </c>
      <c r="AY477" s="8" t="s">
        <v>206</v>
      </c>
      <c r="AZ477" s="8" t="s">
        <v>332</v>
      </c>
      <c r="BA477" s="21">
        <f>IF(OR(tblsales[[#This Row],[Invoice Value USD]]="",tblsales[[#This Row],[Collected Amount USD]]=""),"",tblsales[[#This Row],[Invoice Value USD]]-tblsales[[#This Row],[Collected Amount USD]])</f>
        <v>168646.61965200002</v>
      </c>
      <c r="BB477" s="21" t="str">
        <f>IF(OR(tblsales[[#This Row],[Contract Value USD]]="",tblsales[[#This Row],[Cost Estimate USD]]=""),"",tblsales[[#This Row],[Contract Value USD]]-tblsales[[#This Row],[Cost Estimate USD]])</f>
        <v/>
      </c>
      <c r="BC477" s="21" t="str">
        <f>IF(OR(tblsales[[#This Row],[Contract Value USD]]="",tblsales[[#This Row],[Cost Estimate USD]]=""),"",tblsales[[#This Row],[Contract Value USD]]-tblsales[[#This Row],[Cost Estimate USD]])</f>
        <v/>
      </c>
      <c r="BD477" s="23">
        <f>IF(tblsales[[#This Row],[Invoice Value USD]]="","",tblsales[[#This Row],[Collected Amount USD]]/tblsales[[#This Row],[Invoice Value USD]])</f>
        <v>0.82336455186225721</v>
      </c>
      <c r="BE477" s="11">
        <f>IF(tblsales[[#This Row],[SalesStage]]="Won",1,0)</f>
        <v>1</v>
      </c>
      <c r="BF477" s="21" t="str">
        <f>IF(tblsales[[#This Row],[Win Flag]]=1,"Won","Lost")</f>
        <v>Won</v>
      </c>
      <c r="BG477" s="8"/>
    </row>
    <row r="478" spans="1:59" x14ac:dyDescent="0.3">
      <c r="A478" s="10" t="s">
        <v>1745</v>
      </c>
      <c r="B478" s="9">
        <v>45709</v>
      </c>
      <c r="C478" s="10" t="s">
        <v>219</v>
      </c>
      <c r="D478" s="10" t="s">
        <v>265</v>
      </c>
      <c r="E478" s="10" t="s">
        <v>36</v>
      </c>
      <c r="F478" s="10" t="s">
        <v>19</v>
      </c>
      <c r="G478" s="10" t="s">
        <v>66</v>
      </c>
      <c r="H478" s="10" t="s">
        <v>182</v>
      </c>
      <c r="I478" s="10" t="s">
        <v>183</v>
      </c>
      <c r="J478" s="10" t="s">
        <v>115</v>
      </c>
      <c r="K478" s="10" t="s">
        <v>333</v>
      </c>
      <c r="L478" s="10" t="s">
        <v>1746</v>
      </c>
      <c r="M478" s="9">
        <v>45653</v>
      </c>
      <c r="N478" s="9">
        <v>45718</v>
      </c>
      <c r="O478" s="9"/>
      <c r="P478" s="11">
        <v>37</v>
      </c>
      <c r="Q478" s="12">
        <v>12804937</v>
      </c>
      <c r="R478">
        <v>14866531.857000001</v>
      </c>
      <c r="S478" s="22">
        <v>0.15</v>
      </c>
      <c r="T478" s="22">
        <v>0.09</v>
      </c>
      <c r="U478" s="12">
        <v>11863774.130000001</v>
      </c>
      <c r="V478" s="24">
        <v>13773841.764930001</v>
      </c>
      <c r="W478" s="8">
        <v>8910236.2200000007</v>
      </c>
      <c r="X478" s="24">
        <v>10344784.251420001</v>
      </c>
      <c r="Y478" s="22">
        <v>0.28999999999999998</v>
      </c>
      <c r="Z478" s="22">
        <v>0.14000000000000001</v>
      </c>
      <c r="AA478" s="8"/>
      <c r="AB478" s="8">
        <v>6437765.4800000004</v>
      </c>
      <c r="AC478" s="24">
        <v>7474245.7222800003</v>
      </c>
      <c r="AD478" s="8">
        <v>4323844.71</v>
      </c>
      <c r="AE478" s="24">
        <v>5019983.7083099997</v>
      </c>
      <c r="AF478" s="8">
        <v>30</v>
      </c>
      <c r="AG478" s="8">
        <v>119</v>
      </c>
      <c r="AH478" s="8" t="s">
        <v>347</v>
      </c>
      <c r="AI478" s="8" t="s">
        <v>406</v>
      </c>
      <c r="AJ478" s="22">
        <v>0.31</v>
      </c>
      <c r="AK478" s="8" t="s">
        <v>159</v>
      </c>
      <c r="AL478" s="22">
        <v>0.05</v>
      </c>
      <c r="AM478" s="22">
        <v>0.1</v>
      </c>
      <c r="AN478" s="8">
        <v>7</v>
      </c>
      <c r="AO478" s="8">
        <v>2682</v>
      </c>
      <c r="AP478" s="8">
        <v>1547085.2</v>
      </c>
      <c r="AQ478" s="24">
        <v>1796165.9172</v>
      </c>
      <c r="AR478" s="8">
        <v>2390413.58</v>
      </c>
      <c r="AS478" s="37">
        <v>2775270.1663800003</v>
      </c>
      <c r="AT478" s="8" t="s">
        <v>343</v>
      </c>
      <c r="AU478" s="8" t="s">
        <v>321</v>
      </c>
      <c r="AV478" s="8"/>
      <c r="AW478" s="8">
        <v>36</v>
      </c>
      <c r="AX478" s="8" t="s">
        <v>392</v>
      </c>
      <c r="AY478" s="8" t="s">
        <v>192</v>
      </c>
      <c r="AZ478" s="8" t="s">
        <v>188</v>
      </c>
      <c r="BA478" s="21">
        <f>IF(OR(tblsales[[#This Row],[Invoice Value USD]]="",tblsales[[#This Row],[Collected Amount USD]]=""),"",tblsales[[#This Row],[Invoice Value USD]]-tblsales[[#This Row],[Collected Amount USD]])</f>
        <v>2454262.0139700007</v>
      </c>
      <c r="BB478" s="21">
        <f>IF(OR(tblsales[[#This Row],[Contract Value USD]]="",tblsales[[#This Row],[Cost Estimate USD]]=""),"",tblsales[[#This Row],[Contract Value USD]]-tblsales[[#This Row],[Cost Estimate USD]])</f>
        <v>3429057.51351</v>
      </c>
      <c r="BC478" s="21">
        <f>IF(OR(tblsales[[#This Row],[Contract Value USD]]="",tblsales[[#This Row],[Cost Estimate USD]]=""),"",tblsales[[#This Row],[Contract Value USD]]-tblsales[[#This Row],[Cost Estimate USD]])</f>
        <v>3429057.51351</v>
      </c>
      <c r="BD478" s="23">
        <f>IF(tblsales[[#This Row],[Invoice Value USD]]="","",tblsales[[#This Row],[Collected Amount USD]]/tblsales[[#This Row],[Invoice Value USD]])</f>
        <v>0.67163749960024943</v>
      </c>
      <c r="BE478" s="11">
        <f>IF(tblsales[[#This Row],[SalesStage]]="Won",1,0)</f>
        <v>0</v>
      </c>
      <c r="BF478" s="21" t="str">
        <f>IF(tblsales[[#This Row],[Win Flag]]=1,"Won","Lost")</f>
        <v>Lost</v>
      </c>
      <c r="BG478" s="8"/>
    </row>
    <row r="479" spans="1:59" x14ac:dyDescent="0.3">
      <c r="A479" s="10" t="s">
        <v>1747</v>
      </c>
      <c r="B479" s="9">
        <v>46071</v>
      </c>
      <c r="C479" s="10" t="s">
        <v>279</v>
      </c>
      <c r="D479" s="10" t="s">
        <v>202</v>
      </c>
      <c r="E479" s="10" t="s">
        <v>113</v>
      </c>
      <c r="F479" s="10" t="s">
        <v>181</v>
      </c>
      <c r="G479" s="10" t="s">
        <v>73</v>
      </c>
      <c r="H479" s="10" t="s">
        <v>212</v>
      </c>
      <c r="I479" s="10" t="s">
        <v>191</v>
      </c>
      <c r="J479" s="10" t="s">
        <v>127</v>
      </c>
      <c r="K479" s="10" t="s">
        <v>199</v>
      </c>
      <c r="L479" s="10" t="s">
        <v>1748</v>
      </c>
      <c r="M479" s="9">
        <v>46052</v>
      </c>
      <c r="N479" s="9"/>
      <c r="O479" s="9">
        <v>46208</v>
      </c>
      <c r="P479" s="11">
        <v>28</v>
      </c>
      <c r="Q479" s="12">
        <v>6134244</v>
      </c>
      <c r="R479">
        <v>7121857.284</v>
      </c>
      <c r="S479" s="22">
        <v>0.06</v>
      </c>
      <c r="T479" s="22">
        <v>0.09</v>
      </c>
      <c r="U479" s="12">
        <v>6285146.4000000004</v>
      </c>
      <c r="V479" s="24">
        <v>7297054.9704000009</v>
      </c>
      <c r="W479" s="8">
        <v>5296778.28</v>
      </c>
      <c r="X479" s="24">
        <v>6149559.5830800002</v>
      </c>
      <c r="Y479" s="22">
        <v>0.27</v>
      </c>
      <c r="Z479" s="22">
        <v>0.14000000000000001</v>
      </c>
      <c r="AA479" s="8" t="s">
        <v>1749</v>
      </c>
      <c r="AB479" s="8">
        <v>1326094.18</v>
      </c>
      <c r="AC479" s="24">
        <v>1539595.34298</v>
      </c>
      <c r="AD479" s="8">
        <v>1003966.59</v>
      </c>
      <c r="AE479" s="24">
        <v>1165605.2109900001</v>
      </c>
      <c r="AF479" s="8">
        <v>60</v>
      </c>
      <c r="AG479" s="8">
        <v>132</v>
      </c>
      <c r="AH479" s="8" t="s">
        <v>353</v>
      </c>
      <c r="AI479" s="8" t="s">
        <v>381</v>
      </c>
      <c r="AJ479" s="22">
        <v>0.94</v>
      </c>
      <c r="AK479" s="8" t="s">
        <v>159</v>
      </c>
      <c r="AL479" s="22">
        <v>0.15</v>
      </c>
      <c r="AM479" s="22">
        <v>7.0000000000000007E-2</v>
      </c>
      <c r="AN479" s="8">
        <v>0</v>
      </c>
      <c r="AO479" s="8">
        <v>3317</v>
      </c>
      <c r="AP479" s="8">
        <v>1377100.48</v>
      </c>
      <c r="AQ479" s="24">
        <v>1598813.6572799999</v>
      </c>
      <c r="AR479" s="8">
        <v>780969.7</v>
      </c>
      <c r="AS479" s="37">
        <v>906705.82169999997</v>
      </c>
      <c r="AT479" s="8" t="s">
        <v>332</v>
      </c>
      <c r="AU479" s="8" t="s">
        <v>322</v>
      </c>
      <c r="AV479" s="8">
        <v>69.3</v>
      </c>
      <c r="AW479" s="8">
        <v>24</v>
      </c>
      <c r="AX479" s="8" t="s">
        <v>332</v>
      </c>
      <c r="AY479" s="8" t="s">
        <v>224</v>
      </c>
      <c r="AZ479" s="8" t="s">
        <v>324</v>
      </c>
      <c r="BA479" s="21">
        <f>IF(OR(tblsales[[#This Row],[Invoice Value USD]]="",tblsales[[#This Row],[Collected Amount USD]]=""),"",tblsales[[#This Row],[Invoice Value USD]]-tblsales[[#This Row],[Collected Amount USD]])</f>
        <v>373990.13198999991</v>
      </c>
      <c r="BB479" s="21">
        <f>IF(OR(tblsales[[#This Row],[Contract Value USD]]="",tblsales[[#This Row],[Cost Estimate USD]]=""),"",tblsales[[#This Row],[Contract Value USD]]-tblsales[[#This Row],[Cost Estimate USD]])</f>
        <v>1147495.3873200007</v>
      </c>
      <c r="BC479" s="21">
        <f>IF(OR(tblsales[[#This Row],[Contract Value USD]]="",tblsales[[#This Row],[Cost Estimate USD]]=""),"",tblsales[[#This Row],[Contract Value USD]]-tblsales[[#This Row],[Cost Estimate USD]])</f>
        <v>1147495.3873200007</v>
      </c>
      <c r="BD479" s="23">
        <f>IF(tblsales[[#This Row],[Invoice Value USD]]="","",tblsales[[#This Row],[Collected Amount USD]]/tblsales[[#This Row],[Invoice Value USD]])</f>
        <v>0.75708543566641706</v>
      </c>
      <c r="BE479" s="11">
        <f>IF(tblsales[[#This Row],[SalesStage]]="Won",1,0)</f>
        <v>0</v>
      </c>
      <c r="BF479" s="21" t="str">
        <f>IF(tblsales[[#This Row],[Win Flag]]=1,"Won","Lost")</f>
        <v>Lost</v>
      </c>
      <c r="BG479" s="8"/>
    </row>
    <row r="480" spans="1:59" x14ac:dyDescent="0.3">
      <c r="A480" s="10" t="s">
        <v>1750</v>
      </c>
      <c r="B480" s="9">
        <v>45698</v>
      </c>
      <c r="C480" s="10" t="s">
        <v>268</v>
      </c>
      <c r="D480" s="10" t="s">
        <v>180</v>
      </c>
      <c r="E480" s="10" t="s">
        <v>20</v>
      </c>
      <c r="F480" s="10" t="s">
        <v>35</v>
      </c>
      <c r="G480" s="10" t="s">
        <v>66</v>
      </c>
      <c r="H480" s="10" t="s">
        <v>212</v>
      </c>
      <c r="I480" s="10" t="s">
        <v>332</v>
      </c>
      <c r="J480" s="10" t="s">
        <v>136</v>
      </c>
      <c r="K480" s="10" t="s">
        <v>221</v>
      </c>
      <c r="L480" s="10" t="s">
        <v>1751</v>
      </c>
      <c r="M480" s="9">
        <v>45674</v>
      </c>
      <c r="N480" s="9">
        <v>45811</v>
      </c>
      <c r="O480" s="9">
        <v>45765</v>
      </c>
      <c r="P480" s="11">
        <v>32</v>
      </c>
      <c r="Q480" s="12">
        <v>43086104</v>
      </c>
      <c r="R480">
        <v>11732346.119199999</v>
      </c>
      <c r="S480" s="22">
        <v>0.27</v>
      </c>
      <c r="T480" s="22">
        <v>0.14000000000000001</v>
      </c>
      <c r="U480" s="12">
        <v>35856255.75</v>
      </c>
      <c r="V480" s="24">
        <v>9763658.4407249987</v>
      </c>
      <c r="W480" s="8">
        <v>30643222.510000002</v>
      </c>
      <c r="X480" s="24">
        <v>8344149.4894730002</v>
      </c>
      <c r="Y480" s="22">
        <v>0.18</v>
      </c>
      <c r="Z480" s="22">
        <v>0.14000000000000001</v>
      </c>
      <c r="AA480" s="8" t="s">
        <v>1752</v>
      </c>
      <c r="AB480" s="8">
        <v>3152342.93</v>
      </c>
      <c r="AC480" s="24">
        <v>858382.97983900004</v>
      </c>
      <c r="AD480" s="8">
        <v>1515137.77</v>
      </c>
      <c r="AE480" s="24">
        <v>412572.01477099996</v>
      </c>
      <c r="AF480" s="8">
        <v>60</v>
      </c>
      <c r="AG480" s="8">
        <v>149</v>
      </c>
      <c r="AH480" s="8" t="s">
        <v>353</v>
      </c>
      <c r="AI480" s="8" t="s">
        <v>336</v>
      </c>
      <c r="AJ480" s="22">
        <v>0.79</v>
      </c>
      <c r="AK480" s="8" t="s">
        <v>153</v>
      </c>
      <c r="AL480" s="22">
        <v>0.15</v>
      </c>
      <c r="AM480" s="22">
        <v>0.08</v>
      </c>
      <c r="AN480" s="8">
        <v>14</v>
      </c>
      <c r="AO480" s="8">
        <v>4729</v>
      </c>
      <c r="AP480" s="8">
        <v>3246242.06</v>
      </c>
      <c r="AQ480" s="24">
        <v>883951.71293799998</v>
      </c>
      <c r="AR480" s="8">
        <v>7743947.3499999996</v>
      </c>
      <c r="AS480" s="37">
        <v>2108676.863405</v>
      </c>
      <c r="AT480" s="8" t="s">
        <v>321</v>
      </c>
      <c r="AU480" s="8" t="s">
        <v>386</v>
      </c>
      <c r="AV480" s="8">
        <v>70.7</v>
      </c>
      <c r="AW480" s="8">
        <v>48</v>
      </c>
      <c r="AX480" s="8" t="s">
        <v>332</v>
      </c>
      <c r="AY480" s="8" t="s">
        <v>224</v>
      </c>
      <c r="AZ480" s="8" t="s">
        <v>332</v>
      </c>
      <c r="BA480" s="21">
        <f>IF(OR(tblsales[[#This Row],[Invoice Value USD]]="",tblsales[[#This Row],[Collected Amount USD]]=""),"",tblsales[[#This Row],[Invoice Value USD]]-tblsales[[#This Row],[Collected Amount USD]])</f>
        <v>445810.96506800008</v>
      </c>
      <c r="BB480" s="21">
        <f>IF(OR(tblsales[[#This Row],[Contract Value USD]]="",tblsales[[#This Row],[Cost Estimate USD]]=""),"",tblsales[[#This Row],[Contract Value USD]]-tblsales[[#This Row],[Cost Estimate USD]])</f>
        <v>1419508.9512519985</v>
      </c>
      <c r="BC480" s="21">
        <f>IF(OR(tblsales[[#This Row],[Contract Value USD]]="",tblsales[[#This Row],[Cost Estimate USD]]=""),"",tblsales[[#This Row],[Contract Value USD]]-tblsales[[#This Row],[Cost Estimate USD]])</f>
        <v>1419508.9512519985</v>
      </c>
      <c r="BD480" s="23">
        <f>IF(tblsales[[#This Row],[Invoice Value USD]]="","",tblsales[[#This Row],[Collected Amount USD]]/tblsales[[#This Row],[Invoice Value USD]])</f>
        <v>0.48063862455472123</v>
      </c>
      <c r="BE480" s="11">
        <f>IF(tblsales[[#This Row],[SalesStage]]="Won",1,0)</f>
        <v>0</v>
      </c>
      <c r="BF480" s="21" t="str">
        <f>IF(tblsales[[#This Row],[Win Flag]]=1,"Won","Lost")</f>
        <v>Lost</v>
      </c>
      <c r="BG480" s="8"/>
    </row>
    <row r="481" spans="1:59" x14ac:dyDescent="0.3">
      <c r="A481" s="10" t="s">
        <v>1753</v>
      </c>
      <c r="B481" s="9">
        <v>45856</v>
      </c>
      <c r="C481" s="10" t="s">
        <v>276</v>
      </c>
      <c r="D481" s="10" t="s">
        <v>209</v>
      </c>
      <c r="E481" s="10" t="s">
        <v>113</v>
      </c>
      <c r="F481" s="10" t="s">
        <v>332</v>
      </c>
      <c r="G481" s="10" t="s">
        <v>70</v>
      </c>
      <c r="H481" s="10" t="s">
        <v>182</v>
      </c>
      <c r="I481" s="10" t="s">
        <v>198</v>
      </c>
      <c r="J481" s="10" t="s">
        <v>127</v>
      </c>
      <c r="K481" s="10" t="s">
        <v>333</v>
      </c>
      <c r="L481" s="10" t="s">
        <v>1754</v>
      </c>
      <c r="M481" s="9">
        <v>45754</v>
      </c>
      <c r="N481" s="9">
        <v>46000</v>
      </c>
      <c r="O481" s="9">
        <v>45726</v>
      </c>
      <c r="P481" s="11"/>
      <c r="Q481" s="12">
        <v>46043640</v>
      </c>
      <c r="R481">
        <v>46043640</v>
      </c>
      <c r="S481" s="22">
        <v>0.21</v>
      </c>
      <c r="T481" s="22">
        <v>0.02</v>
      </c>
      <c r="U481" s="12">
        <v>37101965.109999999</v>
      </c>
      <c r="V481" s="24">
        <v>37101965.109999999</v>
      </c>
      <c r="W481" s="8">
        <v>28600084.010000002</v>
      </c>
      <c r="X481" s="24">
        <v>28600084.010000002</v>
      </c>
      <c r="Y481" s="22">
        <v>0.19</v>
      </c>
      <c r="Z481" s="22">
        <v>0.11</v>
      </c>
      <c r="AA481" s="8" t="s">
        <v>1755</v>
      </c>
      <c r="AB481" s="8">
        <v>12509868.029999999</v>
      </c>
      <c r="AC481" s="24">
        <v>12509868.029999999</v>
      </c>
      <c r="AD481" s="8">
        <v>13193140.289999999</v>
      </c>
      <c r="AE481" s="24">
        <v>13193140.289999999</v>
      </c>
      <c r="AF481" s="8">
        <v>30</v>
      </c>
      <c r="AG481" s="8">
        <v>53</v>
      </c>
      <c r="AH481" s="8" t="s">
        <v>376</v>
      </c>
      <c r="AI481" s="8" t="s">
        <v>354</v>
      </c>
      <c r="AJ481" s="22">
        <v>0.6</v>
      </c>
      <c r="AK481" s="8" t="s">
        <v>152</v>
      </c>
      <c r="AL481" s="22">
        <v>0.15</v>
      </c>
      <c r="AM481" s="22">
        <v>0.06</v>
      </c>
      <c r="AN481" s="8">
        <v>12</v>
      </c>
      <c r="AO481" s="8">
        <v>709</v>
      </c>
      <c r="AP481" s="8"/>
      <c r="AQ481" s="24"/>
      <c r="AR481" s="8">
        <v>7247689.0999999996</v>
      </c>
      <c r="AS481" s="37">
        <v>7247689.0999999996</v>
      </c>
      <c r="AT481" s="8" t="s">
        <v>321</v>
      </c>
      <c r="AU481" s="8" t="s">
        <v>330</v>
      </c>
      <c r="AV481" s="8">
        <v>59.2</v>
      </c>
      <c r="AW481" s="8">
        <v>24</v>
      </c>
      <c r="AX481" s="8" t="s">
        <v>392</v>
      </c>
      <c r="AY481" s="8" t="s">
        <v>206</v>
      </c>
      <c r="AZ481" s="8" t="s">
        <v>188</v>
      </c>
      <c r="BA481" s="21">
        <f>IF(OR(tblsales[[#This Row],[Invoice Value USD]]="",tblsales[[#This Row],[Collected Amount USD]]=""),"",tblsales[[#This Row],[Invoice Value USD]]-tblsales[[#This Row],[Collected Amount USD]])</f>
        <v>-683272.25999999978</v>
      </c>
      <c r="BB481" s="21">
        <f>IF(OR(tblsales[[#This Row],[Contract Value USD]]="",tblsales[[#This Row],[Cost Estimate USD]]=""),"",tblsales[[#This Row],[Contract Value USD]]-tblsales[[#This Row],[Cost Estimate USD]])</f>
        <v>8501881.0999999978</v>
      </c>
      <c r="BC481" s="21">
        <f>IF(OR(tblsales[[#This Row],[Contract Value USD]]="",tblsales[[#This Row],[Cost Estimate USD]]=""),"",tblsales[[#This Row],[Contract Value USD]]-tblsales[[#This Row],[Cost Estimate USD]])</f>
        <v>8501881.0999999978</v>
      </c>
      <c r="BD481" s="23">
        <f>IF(tblsales[[#This Row],[Invoice Value USD]]="","",tblsales[[#This Row],[Collected Amount USD]]/tblsales[[#This Row],[Invoice Value USD]])</f>
        <v>1.0546186625119818</v>
      </c>
      <c r="BE481" s="11">
        <f>IF(tblsales[[#This Row],[SalesStage]]="Won",1,0)</f>
        <v>0</v>
      </c>
      <c r="BF481" s="21" t="str">
        <f>IF(tblsales[[#This Row],[Win Flag]]=1,"Won","Lost")</f>
        <v>Lost</v>
      </c>
      <c r="BG481" s="8"/>
    </row>
    <row r="482" spans="1:59" x14ac:dyDescent="0.3">
      <c r="A482" s="10" t="s">
        <v>1756</v>
      </c>
      <c r="B482" s="9">
        <v>45992</v>
      </c>
      <c r="C482" s="10" t="s">
        <v>270</v>
      </c>
      <c r="D482" s="10" t="s">
        <v>245</v>
      </c>
      <c r="E482" s="10" t="s">
        <v>41</v>
      </c>
      <c r="F482" s="10" t="s">
        <v>363</v>
      </c>
      <c r="G482" s="10" t="s">
        <v>16</v>
      </c>
      <c r="H482" s="10" t="s">
        <v>332</v>
      </c>
      <c r="I482" s="10" t="s">
        <v>233</v>
      </c>
      <c r="J482" s="10" t="s">
        <v>130</v>
      </c>
      <c r="K482" s="10" t="s">
        <v>223</v>
      </c>
      <c r="L482" s="10" t="s">
        <v>1757</v>
      </c>
      <c r="M482" s="9">
        <v>45966</v>
      </c>
      <c r="N482" s="9">
        <v>46113</v>
      </c>
      <c r="O482" s="9">
        <v>46039</v>
      </c>
      <c r="P482" s="11"/>
      <c r="Q482" s="12">
        <v>11469267</v>
      </c>
      <c r="R482">
        <v>11469267</v>
      </c>
      <c r="S482" s="22">
        <v>0.11</v>
      </c>
      <c r="T482" s="22">
        <v>-0.01</v>
      </c>
      <c r="U482" s="12">
        <v>10105571.15</v>
      </c>
      <c r="V482" s="24">
        <v>10105571.15</v>
      </c>
      <c r="W482" s="8">
        <v>6798341.4000000004</v>
      </c>
      <c r="X482" s="24">
        <v>6798341.4000000004</v>
      </c>
      <c r="Y482" s="22">
        <v>7.0000000000000007E-2</v>
      </c>
      <c r="Z482" s="22">
        <v>0.17</v>
      </c>
      <c r="AA482" s="8" t="s">
        <v>1758</v>
      </c>
      <c r="AB482" s="8">
        <v>2159596.0299999998</v>
      </c>
      <c r="AC482" s="24">
        <v>2159596.0299999998</v>
      </c>
      <c r="AD482" s="8">
        <v>2274729.71</v>
      </c>
      <c r="AE482" s="24">
        <v>2274729.71</v>
      </c>
      <c r="AF482" s="8">
        <v>45</v>
      </c>
      <c r="AG482" s="8">
        <v>14</v>
      </c>
      <c r="AH482" s="8" t="s">
        <v>353</v>
      </c>
      <c r="AI482" s="8" t="s">
        <v>226</v>
      </c>
      <c r="AJ482" s="22">
        <v>0.79</v>
      </c>
      <c r="AK482" s="8" t="s">
        <v>152</v>
      </c>
      <c r="AL482" s="22">
        <v>0.05</v>
      </c>
      <c r="AM482" s="22">
        <v>7.0000000000000007E-2</v>
      </c>
      <c r="AN482" s="8">
        <v>7</v>
      </c>
      <c r="AO482" s="8">
        <v>2800</v>
      </c>
      <c r="AP482" s="8">
        <v>472769.13</v>
      </c>
      <c r="AQ482" s="24">
        <v>472769.13</v>
      </c>
      <c r="AR482" s="8">
        <v>4056147.66</v>
      </c>
      <c r="AS482" s="37">
        <v>4056147.66</v>
      </c>
      <c r="AT482" s="8" t="s">
        <v>355</v>
      </c>
      <c r="AU482" s="8" t="s">
        <v>332</v>
      </c>
      <c r="AV482" s="8">
        <v>62.7</v>
      </c>
      <c r="AW482" s="8">
        <v>12</v>
      </c>
      <c r="AX482" s="8" t="s">
        <v>337</v>
      </c>
      <c r="AY482" s="8" t="s">
        <v>192</v>
      </c>
      <c r="AZ482" s="8" t="s">
        <v>357</v>
      </c>
      <c r="BA482" s="21">
        <f>IF(OR(tblsales[[#This Row],[Invoice Value USD]]="",tblsales[[#This Row],[Collected Amount USD]]=""),"",tblsales[[#This Row],[Invoice Value USD]]-tblsales[[#This Row],[Collected Amount USD]])</f>
        <v>-115133.68000000017</v>
      </c>
      <c r="BB482" s="21">
        <f>IF(OR(tblsales[[#This Row],[Contract Value USD]]="",tblsales[[#This Row],[Cost Estimate USD]]=""),"",tblsales[[#This Row],[Contract Value USD]]-tblsales[[#This Row],[Cost Estimate USD]])</f>
        <v>3307229.75</v>
      </c>
      <c r="BC482" s="21">
        <f>IF(OR(tblsales[[#This Row],[Contract Value USD]]="",tblsales[[#This Row],[Cost Estimate USD]]=""),"",tblsales[[#This Row],[Contract Value USD]]-tblsales[[#This Row],[Cost Estimate USD]])</f>
        <v>3307229.75</v>
      </c>
      <c r="BD482" s="23">
        <f>IF(tblsales[[#This Row],[Invoice Value USD]]="","",tblsales[[#This Row],[Collected Amount USD]]/tblsales[[#This Row],[Invoice Value USD]])</f>
        <v>1.0533126003199775</v>
      </c>
      <c r="BE482" s="11">
        <f>IF(tblsales[[#This Row],[SalesStage]]="Won",1,0)</f>
        <v>0</v>
      </c>
      <c r="BF482" s="21" t="str">
        <f>IF(tblsales[[#This Row],[Win Flag]]=1,"Won","Lost")</f>
        <v>Lost</v>
      </c>
      <c r="BG482" s="8"/>
    </row>
    <row r="483" spans="1:59" x14ac:dyDescent="0.3">
      <c r="A483" s="10" t="s">
        <v>1759</v>
      </c>
      <c r="B483" s="9">
        <v>45823</v>
      </c>
      <c r="C483" s="10" t="s">
        <v>225</v>
      </c>
      <c r="D483" s="10" t="s">
        <v>281</v>
      </c>
      <c r="E483" s="10" t="s">
        <v>20</v>
      </c>
      <c r="F483" s="10" t="s">
        <v>196</v>
      </c>
      <c r="G483" s="10" t="s">
        <v>66</v>
      </c>
      <c r="H483" s="10" t="s">
        <v>236</v>
      </c>
      <c r="I483" s="10" t="s">
        <v>233</v>
      </c>
      <c r="J483" s="10" t="s">
        <v>136</v>
      </c>
      <c r="K483" s="10" t="s">
        <v>223</v>
      </c>
      <c r="L483" s="10" t="s">
        <v>1760</v>
      </c>
      <c r="M483" s="9">
        <v>45742</v>
      </c>
      <c r="N483" s="9">
        <v>45882</v>
      </c>
      <c r="O483" s="9">
        <v>45926</v>
      </c>
      <c r="P483" s="11">
        <v>33</v>
      </c>
      <c r="Q483" s="12">
        <v>16814898</v>
      </c>
      <c r="R483">
        <v>4578696.7253999999</v>
      </c>
      <c r="S483" s="22">
        <v>0.34</v>
      </c>
      <c r="T483" s="22">
        <v>0.05</v>
      </c>
      <c r="U483" s="12">
        <v>11652724.310000001</v>
      </c>
      <c r="V483" s="24">
        <v>3173036.8296130002</v>
      </c>
      <c r="W483" s="8">
        <v>9706962.5199999996</v>
      </c>
      <c r="X483" s="24">
        <v>2643205.894196</v>
      </c>
      <c r="Y483" s="22">
        <v>0.36</v>
      </c>
      <c r="Z483" s="22">
        <v>0.12</v>
      </c>
      <c r="AA483" s="8" t="s">
        <v>1761</v>
      </c>
      <c r="AB483" s="8">
        <v>10421662.949999999</v>
      </c>
      <c r="AC483" s="24">
        <v>2837818.8212849996</v>
      </c>
      <c r="AD483" s="8">
        <v>11218903.26</v>
      </c>
      <c r="AE483" s="24">
        <v>3054907.3576979996</v>
      </c>
      <c r="AF483" s="8">
        <v>60</v>
      </c>
      <c r="AG483" s="8">
        <v>86</v>
      </c>
      <c r="AH483" s="8" t="s">
        <v>347</v>
      </c>
      <c r="AI483" s="8" t="s">
        <v>320</v>
      </c>
      <c r="AJ483" s="22">
        <v>0.8</v>
      </c>
      <c r="AK483" s="8" t="s">
        <v>153</v>
      </c>
      <c r="AL483" s="22">
        <v>0.1</v>
      </c>
      <c r="AM483" s="22">
        <v>0.06</v>
      </c>
      <c r="AN483" s="8">
        <v>13</v>
      </c>
      <c r="AO483" s="8">
        <v>3358</v>
      </c>
      <c r="AP483" s="8">
        <v>2423881.48</v>
      </c>
      <c r="AQ483" s="24">
        <v>660022.92700399994</v>
      </c>
      <c r="AR483" s="8">
        <v>4272042.6399999997</v>
      </c>
      <c r="AS483" s="37">
        <v>1163277.2108719999</v>
      </c>
      <c r="AT483" s="8" t="s">
        <v>73</v>
      </c>
      <c r="AU483" s="8" t="s">
        <v>332</v>
      </c>
      <c r="AV483" s="8">
        <v>53.8</v>
      </c>
      <c r="AW483" s="8">
        <v>36</v>
      </c>
      <c r="AX483" s="8" t="s">
        <v>392</v>
      </c>
      <c r="AY483" s="8" t="s">
        <v>206</v>
      </c>
      <c r="AZ483" s="8" t="s">
        <v>332</v>
      </c>
      <c r="BA483" s="21">
        <f>IF(OR(tblsales[[#This Row],[Invoice Value USD]]="",tblsales[[#This Row],[Collected Amount USD]]=""),"",tblsales[[#This Row],[Invoice Value USD]]-tblsales[[#This Row],[Collected Amount USD]])</f>
        <v>-217088.53641299997</v>
      </c>
      <c r="BB483" s="21">
        <f>IF(OR(tblsales[[#This Row],[Contract Value USD]]="",tblsales[[#This Row],[Cost Estimate USD]]=""),"",tblsales[[#This Row],[Contract Value USD]]-tblsales[[#This Row],[Cost Estimate USD]])</f>
        <v>529830.9354170002</v>
      </c>
      <c r="BC483" s="21">
        <f>IF(OR(tblsales[[#This Row],[Contract Value USD]]="",tblsales[[#This Row],[Cost Estimate USD]]=""),"",tblsales[[#This Row],[Contract Value USD]]-tblsales[[#This Row],[Cost Estimate USD]])</f>
        <v>529830.9354170002</v>
      </c>
      <c r="BD483" s="23">
        <f>IF(tblsales[[#This Row],[Invoice Value USD]]="","",tblsales[[#This Row],[Collected Amount USD]]/tblsales[[#This Row],[Invoice Value USD]])</f>
        <v>1.0764983778332613</v>
      </c>
      <c r="BE483" s="11">
        <f>IF(tblsales[[#This Row],[SalesStage]]="Won",1,0)</f>
        <v>1</v>
      </c>
      <c r="BF483" s="21" t="str">
        <f>IF(tblsales[[#This Row],[Win Flag]]=1,"Won","Lost")</f>
        <v>Won</v>
      </c>
      <c r="BG483" s="8"/>
    </row>
    <row r="484" spans="1:59" x14ac:dyDescent="0.3">
      <c r="A484" s="10" t="s">
        <v>1762</v>
      </c>
      <c r="B484" s="9">
        <v>45917</v>
      </c>
      <c r="C484" s="10" t="s">
        <v>251</v>
      </c>
      <c r="D484" s="10" t="s">
        <v>232</v>
      </c>
      <c r="E484" s="10" t="s">
        <v>41</v>
      </c>
      <c r="F484" s="10" t="s">
        <v>363</v>
      </c>
      <c r="G484" s="10" t="s">
        <v>70</v>
      </c>
      <c r="H484" s="10" t="s">
        <v>332</v>
      </c>
      <c r="I484" s="10" t="s">
        <v>203</v>
      </c>
      <c r="J484" s="10" t="s">
        <v>130</v>
      </c>
      <c r="K484" s="10" t="s">
        <v>210</v>
      </c>
      <c r="L484" s="10" t="s">
        <v>1763</v>
      </c>
      <c r="M484" s="9">
        <v>45900</v>
      </c>
      <c r="N484" s="9" t="s">
        <v>1764</v>
      </c>
      <c r="O484" s="9">
        <v>45949</v>
      </c>
      <c r="P484" s="11">
        <v>28</v>
      </c>
      <c r="Q484" s="12">
        <v>644880</v>
      </c>
      <c r="R484">
        <v>175600.82399999999</v>
      </c>
      <c r="S484" s="22">
        <v>0.17</v>
      </c>
      <c r="T484" s="22">
        <v>-0.05</v>
      </c>
      <c r="U484" s="12">
        <v>508487.88</v>
      </c>
      <c r="V484" s="24">
        <v>138461.24972399999</v>
      </c>
      <c r="W484" s="8">
        <v>392219.93</v>
      </c>
      <c r="X484" s="24">
        <v>106801.48693899999</v>
      </c>
      <c r="Y484" s="22">
        <v>0.11</v>
      </c>
      <c r="Z484" s="22">
        <v>0.06</v>
      </c>
      <c r="AA484" s="8" t="s">
        <v>1765</v>
      </c>
      <c r="AB484" s="8">
        <v>59388.21</v>
      </c>
      <c r="AC484" s="24">
        <v>16171.409582999999</v>
      </c>
      <c r="AD484" s="8">
        <v>19779.95</v>
      </c>
      <c r="AE484" s="24">
        <v>5386.0803850000002</v>
      </c>
      <c r="AF484" s="8">
        <v>120</v>
      </c>
      <c r="AG484" s="8">
        <v>125</v>
      </c>
      <c r="AH484" s="8" t="s">
        <v>332</v>
      </c>
      <c r="AI484" s="8" t="s">
        <v>354</v>
      </c>
      <c r="AJ484" s="22">
        <v>0.34</v>
      </c>
      <c r="AK484" s="8" t="s">
        <v>153</v>
      </c>
      <c r="AL484" s="22">
        <v>0.15</v>
      </c>
      <c r="AM484" s="22">
        <v>0.02</v>
      </c>
      <c r="AN484" s="8">
        <v>0</v>
      </c>
      <c r="AO484" s="8">
        <v>1555</v>
      </c>
      <c r="AP484" s="8">
        <v>77167.570000000007</v>
      </c>
      <c r="AQ484" s="24">
        <v>21012.729310999999</v>
      </c>
      <c r="AR484" s="8">
        <v>244551.59</v>
      </c>
      <c r="AS484" s="37">
        <v>66591.397956999994</v>
      </c>
      <c r="AT484" s="8" t="s">
        <v>355</v>
      </c>
      <c r="AU484" s="8" t="s">
        <v>332</v>
      </c>
      <c r="AV484" s="8">
        <v>52.8</v>
      </c>
      <c r="AW484" s="8">
        <v>24</v>
      </c>
      <c r="AX484" s="8" t="s">
        <v>332</v>
      </c>
      <c r="AY484" s="8" t="s">
        <v>192</v>
      </c>
      <c r="AZ484" s="8" t="s">
        <v>188</v>
      </c>
      <c r="BA484" s="21">
        <f>IF(OR(tblsales[[#This Row],[Invoice Value USD]]="",tblsales[[#This Row],[Collected Amount USD]]=""),"",tblsales[[#This Row],[Invoice Value USD]]-tblsales[[#This Row],[Collected Amount USD]])</f>
        <v>10785.329197999999</v>
      </c>
      <c r="BB484" s="21">
        <f>IF(OR(tblsales[[#This Row],[Contract Value USD]]="",tblsales[[#This Row],[Cost Estimate USD]]=""),"",tblsales[[#This Row],[Contract Value USD]]-tblsales[[#This Row],[Cost Estimate USD]])</f>
        <v>31659.762784999999</v>
      </c>
      <c r="BC484" s="21">
        <f>IF(OR(tblsales[[#This Row],[Contract Value USD]]="",tblsales[[#This Row],[Cost Estimate USD]]=""),"",tblsales[[#This Row],[Contract Value USD]]-tblsales[[#This Row],[Cost Estimate USD]])</f>
        <v>31659.762784999999</v>
      </c>
      <c r="BD484" s="23">
        <f>IF(tblsales[[#This Row],[Invoice Value USD]]="","",tblsales[[#This Row],[Collected Amount USD]]/tblsales[[#This Row],[Invoice Value USD]])</f>
        <v>0.33306189898634769</v>
      </c>
      <c r="BE484" s="11">
        <f>IF(tblsales[[#This Row],[SalesStage]]="Won",1,0)</f>
        <v>0</v>
      </c>
      <c r="BF484" s="21" t="str">
        <f>IF(tblsales[[#This Row],[Win Flag]]=1,"Won","Lost")</f>
        <v>Lost</v>
      </c>
      <c r="BG484" s="8"/>
    </row>
    <row r="485" spans="1:59" x14ac:dyDescent="0.3">
      <c r="A485" s="10" t="s">
        <v>1766</v>
      </c>
      <c r="B485" s="9">
        <v>46065</v>
      </c>
      <c r="C485" s="10" t="s">
        <v>257</v>
      </c>
      <c r="D485" s="10" t="s">
        <v>394</v>
      </c>
      <c r="E485" s="10" t="s">
        <v>113</v>
      </c>
      <c r="F485" s="10" t="s">
        <v>367</v>
      </c>
      <c r="G485" s="10" t="s">
        <v>62</v>
      </c>
      <c r="H485" s="10" t="s">
        <v>216</v>
      </c>
      <c r="I485" s="10" t="s">
        <v>246</v>
      </c>
      <c r="J485" s="10" t="s">
        <v>111</v>
      </c>
      <c r="K485" s="10" t="s">
        <v>204</v>
      </c>
      <c r="L485" s="10" t="s">
        <v>1767</v>
      </c>
      <c r="M485" s="9">
        <v>46011</v>
      </c>
      <c r="N485" s="9">
        <v>46067</v>
      </c>
      <c r="O485" s="9">
        <v>46114</v>
      </c>
      <c r="P485" s="11">
        <v>17</v>
      </c>
      <c r="Q485" s="12">
        <v>6100515</v>
      </c>
      <c r="R485">
        <v>1661170.2345</v>
      </c>
      <c r="S485" s="22">
        <v>0.3</v>
      </c>
      <c r="T485" s="22">
        <v>0.03</v>
      </c>
      <c r="U485" s="12">
        <v>4398471.32</v>
      </c>
      <c r="V485" s="24">
        <v>1197703.7404360001</v>
      </c>
      <c r="W485" s="8">
        <v>3918419.58</v>
      </c>
      <c r="X485" s="24">
        <v>1066985.651634</v>
      </c>
      <c r="Y485" s="22">
        <v>0.05</v>
      </c>
      <c r="Z485" s="22">
        <v>0.09</v>
      </c>
      <c r="AA485" s="8" t="s">
        <v>1768</v>
      </c>
      <c r="AB485" s="8">
        <v>3875711.95</v>
      </c>
      <c r="AC485" s="24">
        <v>1055356.3639849999</v>
      </c>
      <c r="AD485" s="8">
        <v>1638741.43</v>
      </c>
      <c r="AE485" s="24">
        <v>446229.29138899996</v>
      </c>
      <c r="AF485" s="8">
        <v>45</v>
      </c>
      <c r="AG485" s="8">
        <v>103</v>
      </c>
      <c r="AH485" s="8" t="s">
        <v>347</v>
      </c>
      <c r="AI485" s="8" t="s">
        <v>455</v>
      </c>
      <c r="AJ485" s="22">
        <v>0.51</v>
      </c>
      <c r="AK485" s="8" t="s">
        <v>153</v>
      </c>
      <c r="AL485" s="22">
        <v>0.1</v>
      </c>
      <c r="AM485" s="22">
        <v>0.08</v>
      </c>
      <c r="AN485" s="8">
        <v>10</v>
      </c>
      <c r="AO485" s="8">
        <v>854</v>
      </c>
      <c r="AP485" s="8">
        <v>1063872.77</v>
      </c>
      <c r="AQ485" s="24">
        <v>289692.55527100002</v>
      </c>
      <c r="AR485" s="8">
        <v>1094258.77</v>
      </c>
      <c r="AS485" s="37">
        <v>297966.66307100002</v>
      </c>
      <c r="AT485" s="8" t="s">
        <v>73</v>
      </c>
      <c r="AU485" s="8" t="s">
        <v>356</v>
      </c>
      <c r="AV485" s="8">
        <v>87.7</v>
      </c>
      <c r="AW485" s="8">
        <v>12</v>
      </c>
      <c r="AX485" s="8" t="s">
        <v>332</v>
      </c>
      <c r="AY485" s="8" t="s">
        <v>186</v>
      </c>
      <c r="AZ485" s="8" t="s">
        <v>188</v>
      </c>
      <c r="BA485" s="21">
        <f>IF(OR(tblsales[[#This Row],[Invoice Value USD]]="",tblsales[[#This Row],[Collected Amount USD]]=""),"",tblsales[[#This Row],[Invoice Value USD]]-tblsales[[#This Row],[Collected Amount USD]])</f>
        <v>609127.07259600004</v>
      </c>
      <c r="BB485" s="21">
        <f>IF(OR(tblsales[[#This Row],[Contract Value USD]]="",tblsales[[#This Row],[Cost Estimate USD]]=""),"",tblsales[[#This Row],[Contract Value USD]]-tblsales[[#This Row],[Cost Estimate USD]])</f>
        <v>130718.08880200004</v>
      </c>
      <c r="BC485" s="21">
        <f>IF(OR(tblsales[[#This Row],[Contract Value USD]]="",tblsales[[#This Row],[Cost Estimate USD]]=""),"",tblsales[[#This Row],[Contract Value USD]]-tblsales[[#This Row],[Cost Estimate USD]])</f>
        <v>130718.08880200004</v>
      </c>
      <c r="BD485" s="23">
        <f>IF(tblsales[[#This Row],[Invoice Value USD]]="","",tblsales[[#This Row],[Collected Amount USD]]/tblsales[[#This Row],[Invoice Value USD]])</f>
        <v>0.42282332927244504</v>
      </c>
      <c r="BE485" s="11">
        <f>IF(tblsales[[#This Row],[SalesStage]]="Won",1,0)</f>
        <v>0</v>
      </c>
      <c r="BF485" s="21" t="str">
        <f>IF(tblsales[[#This Row],[Win Flag]]=1,"Won","Lost")</f>
        <v>Lost</v>
      </c>
      <c r="BG485" s="8"/>
    </row>
    <row r="486" spans="1:59" x14ac:dyDescent="0.3">
      <c r="A486" s="10" t="s">
        <v>1769</v>
      </c>
      <c r="B486" s="9">
        <v>45965</v>
      </c>
      <c r="C486" s="10" t="s">
        <v>211</v>
      </c>
      <c r="D486" s="10" t="s">
        <v>250</v>
      </c>
      <c r="E486" s="10" t="s">
        <v>36</v>
      </c>
      <c r="F486" s="10" t="s">
        <v>339</v>
      </c>
      <c r="G486" s="10" t="s">
        <v>73</v>
      </c>
      <c r="H486" s="10" t="s">
        <v>182</v>
      </c>
      <c r="I486" s="10" t="s">
        <v>332</v>
      </c>
      <c r="J486" s="10" t="s">
        <v>115</v>
      </c>
      <c r="K486" s="10" t="s">
        <v>333</v>
      </c>
      <c r="L486" s="10" t="s">
        <v>1770</v>
      </c>
      <c r="M486" s="9">
        <v>45898</v>
      </c>
      <c r="N486" s="9">
        <v>46006</v>
      </c>
      <c r="O486" s="9">
        <v>46024</v>
      </c>
      <c r="P486" s="11">
        <v>51</v>
      </c>
      <c r="Q486" s="12">
        <v>11264485</v>
      </c>
      <c r="R486">
        <v>3004238.1494999998</v>
      </c>
      <c r="S486" s="22">
        <v>0.34</v>
      </c>
      <c r="T486" s="22">
        <v>0.18</v>
      </c>
      <c r="U486" s="12">
        <v>8772780.9199999999</v>
      </c>
      <c r="V486" s="24">
        <v>2339700.6713640001</v>
      </c>
      <c r="W486" s="8">
        <v>5767057.7800000003</v>
      </c>
      <c r="X486" s="24">
        <v>1538074.309926</v>
      </c>
      <c r="Y486" s="22">
        <v>0.27</v>
      </c>
      <c r="Z486" s="22">
        <v>0.1</v>
      </c>
      <c r="AA486" s="8" t="s">
        <v>1771</v>
      </c>
      <c r="AB486" s="8">
        <v>3918351.17</v>
      </c>
      <c r="AC486" s="24">
        <v>1045024.2570389999</v>
      </c>
      <c r="AD486" s="8">
        <v>3778826.36</v>
      </c>
      <c r="AE486" s="24">
        <v>1007812.990212</v>
      </c>
      <c r="AF486" s="8">
        <v>90</v>
      </c>
      <c r="AG486" s="8">
        <v>78</v>
      </c>
      <c r="AH486" s="8" t="s">
        <v>376</v>
      </c>
      <c r="AI486" s="8" t="s">
        <v>320</v>
      </c>
      <c r="AJ486" s="22">
        <v>0.7</v>
      </c>
      <c r="AK486" s="8" t="s">
        <v>162</v>
      </c>
      <c r="AL486" s="22">
        <v>0.05</v>
      </c>
      <c r="AM486" s="22">
        <v>0.1</v>
      </c>
      <c r="AN486" s="8">
        <v>9</v>
      </c>
      <c r="AO486" s="8">
        <v>3093</v>
      </c>
      <c r="AP486" s="8">
        <v>398047.9</v>
      </c>
      <c r="AQ486" s="24">
        <v>106159.37493000001</v>
      </c>
      <c r="AR486" s="8">
        <v>3518528.51</v>
      </c>
      <c r="AS486" s="37">
        <v>938391.55361699988</v>
      </c>
      <c r="AT486" s="8" t="s">
        <v>73</v>
      </c>
      <c r="AU486" s="8" t="s">
        <v>386</v>
      </c>
      <c r="AV486" s="8">
        <v>73.099999999999994</v>
      </c>
      <c r="AW486" s="8">
        <v>24</v>
      </c>
      <c r="AX486" s="8" t="s">
        <v>323</v>
      </c>
      <c r="AY486" s="8" t="s">
        <v>206</v>
      </c>
      <c r="AZ486" s="8" t="s">
        <v>332</v>
      </c>
      <c r="BA486" s="21">
        <f>IF(OR(tblsales[[#This Row],[Invoice Value USD]]="",tblsales[[#This Row],[Collected Amount USD]]=""),"",tblsales[[#This Row],[Invoice Value USD]]-tblsales[[#This Row],[Collected Amount USD]])</f>
        <v>37211.266826999956</v>
      </c>
      <c r="BB486" s="21">
        <f>IF(OR(tblsales[[#This Row],[Contract Value USD]]="",tblsales[[#This Row],[Cost Estimate USD]]=""),"",tblsales[[#This Row],[Contract Value USD]]-tblsales[[#This Row],[Cost Estimate USD]])</f>
        <v>801626.36143800011</v>
      </c>
      <c r="BC486" s="21">
        <f>IF(OR(tblsales[[#This Row],[Contract Value USD]]="",tblsales[[#This Row],[Cost Estimate USD]]=""),"",tblsales[[#This Row],[Contract Value USD]]-tblsales[[#This Row],[Cost Estimate USD]])</f>
        <v>801626.36143800011</v>
      </c>
      <c r="BD486" s="23">
        <f>IF(tblsales[[#This Row],[Invoice Value USD]]="","",tblsales[[#This Row],[Collected Amount USD]]/tblsales[[#This Row],[Invoice Value USD]])</f>
        <v>0.96439195877382278</v>
      </c>
      <c r="BE486" s="11">
        <f>IF(tblsales[[#This Row],[SalesStage]]="Won",1,0)</f>
        <v>1</v>
      </c>
      <c r="BF486" s="21" t="str">
        <f>IF(tblsales[[#This Row],[Win Flag]]=1,"Won","Lost")</f>
        <v>Won</v>
      </c>
      <c r="BG486" s="8"/>
    </row>
    <row r="487" spans="1:59" x14ac:dyDescent="0.3">
      <c r="A487" s="10" t="s">
        <v>1772</v>
      </c>
      <c r="B487" s="9">
        <v>45682</v>
      </c>
      <c r="C487" s="10" t="s">
        <v>261</v>
      </c>
      <c r="D487" s="10" t="s">
        <v>274</v>
      </c>
      <c r="E487" s="10" t="s">
        <v>20</v>
      </c>
      <c r="F487" s="10" t="s">
        <v>31</v>
      </c>
      <c r="G487" s="10" t="s">
        <v>332</v>
      </c>
      <c r="H487" s="10" t="s">
        <v>212</v>
      </c>
      <c r="I487" s="10" t="s">
        <v>198</v>
      </c>
      <c r="J487" s="10" t="s">
        <v>136</v>
      </c>
      <c r="K487" s="10" t="s">
        <v>204</v>
      </c>
      <c r="L487" s="10" t="s">
        <v>1773</v>
      </c>
      <c r="M487" s="9">
        <v>45656</v>
      </c>
      <c r="N487" s="9"/>
      <c r="O487" s="9"/>
      <c r="P487" s="11"/>
      <c r="Q487" s="12">
        <v>15393072</v>
      </c>
      <c r="R487">
        <v>4191533.5055999998</v>
      </c>
      <c r="S487" s="22">
        <v>0.1</v>
      </c>
      <c r="T487" s="22">
        <v>0.08</v>
      </c>
      <c r="U487" s="12">
        <v>14962065.98</v>
      </c>
      <c r="V487" s="24">
        <v>4074170.566354</v>
      </c>
      <c r="W487" s="8">
        <v>11668595.17</v>
      </c>
      <c r="X487" s="24">
        <v>3177358.4647909999</v>
      </c>
      <c r="Y487" s="22">
        <v>0.32</v>
      </c>
      <c r="Z487" s="22">
        <v>0.16</v>
      </c>
      <c r="AA487" s="8" t="s">
        <v>1774</v>
      </c>
      <c r="AB487" s="8">
        <v>986724.32</v>
      </c>
      <c r="AC487" s="24">
        <v>268685.03233599995</v>
      </c>
      <c r="AD487" s="8">
        <v>530327.98</v>
      </c>
      <c r="AE487" s="24">
        <v>144408.30895399998</v>
      </c>
      <c r="AF487" s="8">
        <v>60</v>
      </c>
      <c r="AG487" s="8">
        <v>121</v>
      </c>
      <c r="AH487" s="8" t="s">
        <v>353</v>
      </c>
      <c r="AI487" s="8" t="s">
        <v>354</v>
      </c>
      <c r="AJ487" s="22">
        <v>0.6</v>
      </c>
      <c r="AK487" s="8" t="s">
        <v>153</v>
      </c>
      <c r="AL487" s="22">
        <v>0.1</v>
      </c>
      <c r="AM487" s="22">
        <v>0.1</v>
      </c>
      <c r="AN487" s="8">
        <v>0</v>
      </c>
      <c r="AO487" s="8">
        <v>3833</v>
      </c>
      <c r="AP487" s="8">
        <v>3548571.56</v>
      </c>
      <c r="AQ487" s="24">
        <v>966276.03578799998</v>
      </c>
      <c r="AR487" s="8">
        <v>4249913.9400000004</v>
      </c>
      <c r="AS487" s="37">
        <v>1157251.565862</v>
      </c>
      <c r="AT487" s="8" t="s">
        <v>385</v>
      </c>
      <c r="AU487" s="8" t="s">
        <v>386</v>
      </c>
      <c r="AV487" s="8">
        <v>81.5</v>
      </c>
      <c r="AW487" s="8">
        <v>48</v>
      </c>
      <c r="AX487" s="8" t="s">
        <v>387</v>
      </c>
      <c r="AY487" s="8" t="s">
        <v>206</v>
      </c>
      <c r="AZ487" s="8" t="s">
        <v>332</v>
      </c>
      <c r="BA487" s="21">
        <f>IF(OR(tblsales[[#This Row],[Invoice Value USD]]="",tblsales[[#This Row],[Collected Amount USD]]=""),"",tblsales[[#This Row],[Invoice Value USD]]-tblsales[[#This Row],[Collected Amount USD]])</f>
        <v>124276.72338199997</v>
      </c>
      <c r="BB487" s="21">
        <f>IF(OR(tblsales[[#This Row],[Contract Value USD]]="",tblsales[[#This Row],[Cost Estimate USD]]=""),"",tblsales[[#This Row],[Contract Value USD]]-tblsales[[#This Row],[Cost Estimate USD]])</f>
        <v>896812.10156300012</v>
      </c>
      <c r="BC487" s="21">
        <f>IF(OR(tblsales[[#This Row],[Contract Value USD]]="",tblsales[[#This Row],[Cost Estimate USD]]=""),"",tblsales[[#This Row],[Contract Value USD]]-tblsales[[#This Row],[Cost Estimate USD]])</f>
        <v>896812.10156300012</v>
      </c>
      <c r="BD487" s="23">
        <f>IF(tblsales[[#This Row],[Invoice Value USD]]="","",tblsales[[#This Row],[Collected Amount USD]]/tblsales[[#This Row],[Invoice Value USD]])</f>
        <v>0.53746316904401426</v>
      </c>
      <c r="BE487" s="11">
        <f>IF(tblsales[[#This Row],[SalesStage]]="Won",1,0)</f>
        <v>0</v>
      </c>
      <c r="BF487" s="21" t="str">
        <f>IF(tblsales[[#This Row],[Win Flag]]=1,"Won","Lost")</f>
        <v>Lost</v>
      </c>
      <c r="BG487" s="8"/>
    </row>
    <row r="488" spans="1:59" x14ac:dyDescent="0.3">
      <c r="A488" s="10" t="s">
        <v>1775</v>
      </c>
      <c r="B488" s="9">
        <v>46236</v>
      </c>
      <c r="C488" s="10" t="s">
        <v>273</v>
      </c>
      <c r="D488" s="10" t="s">
        <v>215</v>
      </c>
      <c r="E488" s="10" t="s">
        <v>20</v>
      </c>
      <c r="F488" s="10" t="s">
        <v>31</v>
      </c>
      <c r="G488" s="10" t="s">
        <v>28</v>
      </c>
      <c r="H488" s="10" t="s">
        <v>236</v>
      </c>
      <c r="I488" s="10" t="s">
        <v>191</v>
      </c>
      <c r="J488" s="10" t="s">
        <v>136</v>
      </c>
      <c r="K488" s="10" t="s">
        <v>210</v>
      </c>
      <c r="L488" s="10" t="s">
        <v>1776</v>
      </c>
      <c r="M488" s="9">
        <v>46006</v>
      </c>
      <c r="N488" s="9">
        <v>46267</v>
      </c>
      <c r="O488" s="9"/>
      <c r="P488" s="11">
        <v>13</v>
      </c>
      <c r="Q488" s="12">
        <v>1055519</v>
      </c>
      <c r="R488">
        <v>287417.82370000001</v>
      </c>
      <c r="S488" s="22">
        <v>0.31</v>
      </c>
      <c r="T488" s="22">
        <v>0.11</v>
      </c>
      <c r="U488" s="12">
        <v>808422</v>
      </c>
      <c r="V488" s="24">
        <v>220133.3106</v>
      </c>
      <c r="W488" s="8">
        <v>597821.6</v>
      </c>
      <c r="X488" s="24">
        <v>162786.82167999999</v>
      </c>
      <c r="Y488" s="22">
        <v>0.19</v>
      </c>
      <c r="Z488" s="22">
        <v>0.05</v>
      </c>
      <c r="AA488" s="8" t="s">
        <v>1777</v>
      </c>
      <c r="AB488" s="8">
        <v>398914.1</v>
      </c>
      <c r="AC488" s="24">
        <v>108624.30942999999</v>
      </c>
      <c r="AD488" s="8">
        <v>159844.47</v>
      </c>
      <c r="AE488" s="24">
        <v>43525.649181000001</v>
      </c>
      <c r="AF488" s="8">
        <v>120</v>
      </c>
      <c r="AG488" s="8">
        <v>58</v>
      </c>
      <c r="AH488" s="8" t="s">
        <v>329</v>
      </c>
      <c r="AI488" s="8" t="s">
        <v>406</v>
      </c>
      <c r="AJ488" s="22">
        <v>0.25</v>
      </c>
      <c r="AK488" s="8" t="s">
        <v>153</v>
      </c>
      <c r="AL488" s="22">
        <v>0.1</v>
      </c>
      <c r="AM488" s="22">
        <v>0.06</v>
      </c>
      <c r="AN488" s="8">
        <v>8</v>
      </c>
      <c r="AO488" s="8">
        <v>465</v>
      </c>
      <c r="AP488" s="8">
        <v>172806.82</v>
      </c>
      <c r="AQ488" s="24">
        <v>47055.297085999999</v>
      </c>
      <c r="AR488" s="8">
        <v>360447.97</v>
      </c>
      <c r="AS488" s="37">
        <v>98149.982230999987</v>
      </c>
      <c r="AT488" s="8" t="s">
        <v>321</v>
      </c>
      <c r="AU488" s="8" t="s">
        <v>356</v>
      </c>
      <c r="AV488" s="8">
        <v>80.3</v>
      </c>
      <c r="AW488" s="8">
        <v>36</v>
      </c>
      <c r="AX488" s="8" t="s">
        <v>392</v>
      </c>
      <c r="AY488" s="8" t="s">
        <v>186</v>
      </c>
      <c r="AZ488" s="8" t="s">
        <v>332</v>
      </c>
      <c r="BA488" s="21">
        <f>IF(OR(tblsales[[#This Row],[Invoice Value USD]]="",tblsales[[#This Row],[Collected Amount USD]]=""),"",tblsales[[#This Row],[Invoice Value USD]]-tblsales[[#This Row],[Collected Amount USD]])</f>
        <v>65098.660248999993</v>
      </c>
      <c r="BB488" s="21">
        <f>IF(OR(tblsales[[#This Row],[Contract Value USD]]="",tblsales[[#This Row],[Cost Estimate USD]]=""),"",tblsales[[#This Row],[Contract Value USD]]-tblsales[[#This Row],[Cost Estimate USD]])</f>
        <v>57346.488920000003</v>
      </c>
      <c r="BC488" s="21">
        <f>IF(OR(tblsales[[#This Row],[Contract Value USD]]="",tblsales[[#This Row],[Cost Estimate USD]]=""),"",tblsales[[#This Row],[Contract Value USD]]-tblsales[[#This Row],[Cost Estimate USD]])</f>
        <v>57346.488920000003</v>
      </c>
      <c r="BD488" s="23">
        <f>IF(tblsales[[#This Row],[Invoice Value USD]]="","",tblsales[[#This Row],[Collected Amount USD]]/tblsales[[#This Row],[Invoice Value USD]])</f>
        <v>0.40069897253569131</v>
      </c>
      <c r="BE488" s="11">
        <f>IF(tblsales[[#This Row],[SalesStage]]="Won",1,0)</f>
        <v>0</v>
      </c>
      <c r="BF488" s="21" t="str">
        <f>IF(tblsales[[#This Row],[Win Flag]]=1,"Won","Lost")</f>
        <v>Lost</v>
      </c>
      <c r="BG488" s="8"/>
    </row>
    <row r="489" spans="1:59" x14ac:dyDescent="0.3">
      <c r="A489" s="10" t="s">
        <v>1778</v>
      </c>
      <c r="B489" s="9">
        <v>45759</v>
      </c>
      <c r="C489" s="10" t="s">
        <v>278</v>
      </c>
      <c r="D489" s="10" t="s">
        <v>274</v>
      </c>
      <c r="E489" s="10" t="s">
        <v>41</v>
      </c>
      <c r="F489" s="10" t="s">
        <v>350</v>
      </c>
      <c r="G489" s="10" t="s">
        <v>46</v>
      </c>
      <c r="H489" s="10" t="s">
        <v>332</v>
      </c>
      <c r="I489" s="10" t="s">
        <v>332</v>
      </c>
      <c r="J489" s="10" t="s">
        <v>105</v>
      </c>
      <c r="K489" s="10" t="s">
        <v>204</v>
      </c>
      <c r="L489" s="10" t="s">
        <v>1779</v>
      </c>
      <c r="M489" s="9">
        <v>45971</v>
      </c>
      <c r="N489" s="9">
        <v>46030</v>
      </c>
      <c r="O489" s="9">
        <v>46050</v>
      </c>
      <c r="P489" s="11">
        <v>55</v>
      </c>
      <c r="Q489" s="12">
        <v>3723046</v>
      </c>
      <c r="R489">
        <v>1022720.7362</v>
      </c>
      <c r="S489" s="22">
        <v>0.25</v>
      </c>
      <c r="T489" s="22">
        <v>0.02</v>
      </c>
      <c r="U489" s="12">
        <v>2848130.19</v>
      </c>
      <c r="V489" s="24">
        <v>782381.36319299997</v>
      </c>
      <c r="W489" s="8">
        <v>2470983.64</v>
      </c>
      <c r="X489" s="24">
        <v>678779.205908</v>
      </c>
      <c r="Y489" s="22">
        <v>0.38</v>
      </c>
      <c r="Z489" s="22">
        <v>0.08</v>
      </c>
      <c r="AA489" s="8" t="s">
        <v>1780</v>
      </c>
      <c r="AB489" s="8">
        <v>1694930.8</v>
      </c>
      <c r="AC489" s="24">
        <v>465597.49076000002</v>
      </c>
      <c r="AD489" s="8">
        <v>677892.24</v>
      </c>
      <c r="AE489" s="24">
        <v>186216.99832799999</v>
      </c>
      <c r="AF489" s="8">
        <v>120</v>
      </c>
      <c r="AG489" s="8">
        <v>127</v>
      </c>
      <c r="AH489" s="8" t="s">
        <v>347</v>
      </c>
      <c r="AI489" s="8" t="s">
        <v>336</v>
      </c>
      <c r="AJ489" s="22">
        <v>0.61</v>
      </c>
      <c r="AK489" s="8" t="s">
        <v>155</v>
      </c>
      <c r="AL489" s="22">
        <v>0.15</v>
      </c>
      <c r="AM489" s="22">
        <v>7.0000000000000007E-2</v>
      </c>
      <c r="AN489" s="8">
        <v>1</v>
      </c>
      <c r="AO489" s="8">
        <v>1894</v>
      </c>
      <c r="AP489" s="8">
        <v>123433.12</v>
      </c>
      <c r="AQ489" s="24">
        <v>33907.078064000001</v>
      </c>
      <c r="AR489" s="8">
        <v>618750.89</v>
      </c>
      <c r="AS489" s="37">
        <v>169970.86948300002</v>
      </c>
      <c r="AT489" s="8" t="s">
        <v>321</v>
      </c>
      <c r="AU489" s="8" t="s">
        <v>386</v>
      </c>
      <c r="AV489" s="8">
        <v>94.9</v>
      </c>
      <c r="AW489" s="8">
        <v>36</v>
      </c>
      <c r="AX489" s="8" t="s">
        <v>337</v>
      </c>
      <c r="AY489" s="8" t="s">
        <v>192</v>
      </c>
      <c r="AZ489" s="8" t="s">
        <v>357</v>
      </c>
      <c r="BA489" s="21">
        <f>IF(OR(tblsales[[#This Row],[Invoice Value USD]]="",tblsales[[#This Row],[Collected Amount USD]]=""),"",tblsales[[#This Row],[Invoice Value USD]]-tblsales[[#This Row],[Collected Amount USD]])</f>
        <v>279380.492432</v>
      </c>
      <c r="BB489" s="21">
        <f>IF(OR(tblsales[[#This Row],[Contract Value USD]]="",tblsales[[#This Row],[Cost Estimate USD]]=""),"",tblsales[[#This Row],[Contract Value USD]]-tblsales[[#This Row],[Cost Estimate USD]])</f>
        <v>103602.15728499996</v>
      </c>
      <c r="BC489" s="21">
        <f>IF(OR(tblsales[[#This Row],[Contract Value USD]]="",tblsales[[#This Row],[Cost Estimate USD]]=""),"",tblsales[[#This Row],[Contract Value USD]]-tblsales[[#This Row],[Cost Estimate USD]])</f>
        <v>103602.15728499996</v>
      </c>
      <c r="BD489" s="23">
        <f>IF(tblsales[[#This Row],[Invoice Value USD]]="","",tblsales[[#This Row],[Collected Amount USD]]/tblsales[[#This Row],[Invoice Value USD]])</f>
        <v>0.39995275323334728</v>
      </c>
      <c r="BE489" s="11">
        <f>IF(tblsales[[#This Row],[SalesStage]]="Won",1,0)</f>
        <v>0</v>
      </c>
      <c r="BF489" s="21" t="str">
        <f>IF(tblsales[[#This Row],[Win Flag]]=1,"Won","Lost")</f>
        <v>Lost</v>
      </c>
      <c r="BG489" s="8"/>
    </row>
    <row r="490" spans="1:59" x14ac:dyDescent="0.3">
      <c r="A490" s="10" t="s">
        <v>1781</v>
      </c>
      <c r="B490" s="9">
        <v>45781</v>
      </c>
      <c r="C490" s="10" t="s">
        <v>275</v>
      </c>
      <c r="D490" s="10" t="s">
        <v>180</v>
      </c>
      <c r="E490" s="10" t="s">
        <v>52</v>
      </c>
      <c r="F490" s="10" t="s">
        <v>332</v>
      </c>
      <c r="G490" s="10" t="s">
        <v>46</v>
      </c>
      <c r="H490" s="10" t="s">
        <v>236</v>
      </c>
      <c r="I490" s="10" t="s">
        <v>332</v>
      </c>
      <c r="J490" s="10" t="s">
        <v>119</v>
      </c>
      <c r="K490" s="10" t="s">
        <v>199</v>
      </c>
      <c r="L490" s="10" t="s">
        <v>1782</v>
      </c>
      <c r="M490" s="9">
        <v>45994</v>
      </c>
      <c r="N490" s="9">
        <v>45905</v>
      </c>
      <c r="O490" s="9">
        <v>45858</v>
      </c>
      <c r="P490" s="11">
        <v>17</v>
      </c>
      <c r="Q490" s="12">
        <v>15645205</v>
      </c>
      <c r="R490">
        <v>18164083.004999999</v>
      </c>
      <c r="S490" s="22">
        <v>0.13</v>
      </c>
      <c r="T490" s="22">
        <v>0.03</v>
      </c>
      <c r="U490" s="12">
        <v>14019668.199999999</v>
      </c>
      <c r="V490" s="24">
        <v>16276834.780199999</v>
      </c>
      <c r="W490" s="8">
        <v>11829774.17</v>
      </c>
      <c r="X490" s="24">
        <v>13734367.81137</v>
      </c>
      <c r="Y490" s="22">
        <v>0.32</v>
      </c>
      <c r="Z490" s="22">
        <v>0.06</v>
      </c>
      <c r="AA490" s="8" t="s">
        <v>1783</v>
      </c>
      <c r="AB490" s="8">
        <v>1566410.18</v>
      </c>
      <c r="AC490" s="24">
        <v>1818602.2189799999</v>
      </c>
      <c r="AD490" s="8">
        <v>530321.02</v>
      </c>
      <c r="AE490" s="24">
        <v>615702.70422000007</v>
      </c>
      <c r="AF490" s="8">
        <v>45</v>
      </c>
      <c r="AG490" s="8">
        <v>34</v>
      </c>
      <c r="AH490" s="8" t="s">
        <v>332</v>
      </c>
      <c r="AI490" s="8" t="s">
        <v>226</v>
      </c>
      <c r="AJ490" s="22">
        <v>0.36</v>
      </c>
      <c r="AK490" s="8" t="s">
        <v>159</v>
      </c>
      <c r="AL490" s="22">
        <v>0.05</v>
      </c>
      <c r="AM490" s="22">
        <v>0.05</v>
      </c>
      <c r="AN490" s="8">
        <v>2</v>
      </c>
      <c r="AO490" s="8">
        <v>1838</v>
      </c>
      <c r="AP490" s="8">
        <v>1280190.3999999999</v>
      </c>
      <c r="AQ490" s="24">
        <v>1486301.0544</v>
      </c>
      <c r="AR490" s="8">
        <v>6626259.3399999999</v>
      </c>
      <c r="AS490" s="37">
        <v>7693087.0937400004</v>
      </c>
      <c r="AT490" s="8" t="s">
        <v>321</v>
      </c>
      <c r="AU490" s="8" t="s">
        <v>321</v>
      </c>
      <c r="AV490" s="8">
        <v>91.1</v>
      </c>
      <c r="AW490" s="8">
        <v>60</v>
      </c>
      <c r="AX490" s="8" t="s">
        <v>337</v>
      </c>
      <c r="AY490" s="8" t="s">
        <v>186</v>
      </c>
      <c r="AZ490" s="8" t="s">
        <v>188</v>
      </c>
      <c r="BA490" s="21">
        <f>IF(OR(tblsales[[#This Row],[Invoice Value USD]]="",tblsales[[#This Row],[Collected Amount USD]]=""),"",tblsales[[#This Row],[Invoice Value USD]]-tblsales[[#This Row],[Collected Amount USD]])</f>
        <v>1202899.5147599997</v>
      </c>
      <c r="BB490" s="21">
        <f>IF(OR(tblsales[[#This Row],[Contract Value USD]]="",tblsales[[#This Row],[Cost Estimate USD]]=""),"",tblsales[[#This Row],[Contract Value USD]]-tblsales[[#This Row],[Cost Estimate USD]])</f>
        <v>2542466.9688299987</v>
      </c>
      <c r="BC490" s="21">
        <f>IF(OR(tblsales[[#This Row],[Contract Value USD]]="",tblsales[[#This Row],[Cost Estimate USD]]=""),"",tblsales[[#This Row],[Contract Value USD]]-tblsales[[#This Row],[Cost Estimate USD]])</f>
        <v>2542466.9688299987</v>
      </c>
      <c r="BD490" s="23">
        <f>IF(tblsales[[#This Row],[Invoice Value USD]]="","",tblsales[[#This Row],[Collected Amount USD]]/tblsales[[#This Row],[Invoice Value USD]])</f>
        <v>0.33855820574404089</v>
      </c>
      <c r="BE490" s="11">
        <f>IF(tblsales[[#This Row],[SalesStage]]="Won",1,0)</f>
        <v>0</v>
      </c>
      <c r="BF490" s="21" t="str">
        <f>IF(tblsales[[#This Row],[Win Flag]]=1,"Won","Lost")</f>
        <v>Lost</v>
      </c>
      <c r="BG490" s="8"/>
    </row>
    <row r="491" spans="1:59" x14ac:dyDescent="0.3">
      <c r="A491" s="10" t="s">
        <v>1784</v>
      </c>
      <c r="B491" s="9">
        <v>45841</v>
      </c>
      <c r="C491" s="10" t="s">
        <v>277</v>
      </c>
      <c r="D491" s="10" t="s">
        <v>262</v>
      </c>
      <c r="E491" s="10" t="s">
        <v>36</v>
      </c>
      <c r="F491" s="10" t="s">
        <v>332</v>
      </c>
      <c r="G491" s="10" t="s">
        <v>332</v>
      </c>
      <c r="H491" s="10" t="s">
        <v>332</v>
      </c>
      <c r="I491" s="10" t="s">
        <v>233</v>
      </c>
      <c r="J491" s="10" t="s">
        <v>115</v>
      </c>
      <c r="K491" s="10" t="s">
        <v>184</v>
      </c>
      <c r="L491" s="10" t="s">
        <v>1785</v>
      </c>
      <c r="M491" s="9">
        <v>45773</v>
      </c>
      <c r="N491" s="9">
        <v>45861</v>
      </c>
      <c r="O491" s="9">
        <v>45878</v>
      </c>
      <c r="P491" s="11">
        <v>45</v>
      </c>
      <c r="Q491" s="12">
        <v>33497918</v>
      </c>
      <c r="R491">
        <v>33497918</v>
      </c>
      <c r="S491" s="22">
        <v>0.33</v>
      </c>
      <c r="T491" s="22">
        <v>0.17</v>
      </c>
      <c r="U491" s="12">
        <v>26259017.920000002</v>
      </c>
      <c r="V491" s="24">
        <v>26259017.920000002</v>
      </c>
      <c r="W491" s="8">
        <v>22125919.559999999</v>
      </c>
      <c r="X491" s="24">
        <v>22125919.559999999</v>
      </c>
      <c r="Y491" s="22">
        <v>0.2</v>
      </c>
      <c r="Z491" s="22">
        <v>0.12</v>
      </c>
      <c r="AA491" s="8" t="s">
        <v>1786</v>
      </c>
      <c r="AB491" s="8">
        <v>10069863.1</v>
      </c>
      <c r="AC491" s="24">
        <v>10069863.1</v>
      </c>
      <c r="AD491" s="8">
        <v>9445868.6799999997</v>
      </c>
      <c r="AE491" s="24">
        <v>9445868.6799999997</v>
      </c>
      <c r="AF491" s="8">
        <v>45</v>
      </c>
      <c r="AG491" s="8">
        <v>132</v>
      </c>
      <c r="AH491" s="8" t="s">
        <v>353</v>
      </c>
      <c r="AI491" s="8" t="s">
        <v>381</v>
      </c>
      <c r="AJ491" s="22"/>
      <c r="AK491" s="8" t="s">
        <v>152</v>
      </c>
      <c r="AL491" s="22">
        <v>0.05</v>
      </c>
      <c r="AM491" s="22">
        <v>0.1</v>
      </c>
      <c r="AN491" s="8">
        <v>13</v>
      </c>
      <c r="AO491" s="8">
        <v>4148</v>
      </c>
      <c r="AP491" s="8"/>
      <c r="AQ491" s="24"/>
      <c r="AR491" s="8">
        <v>3024429.74</v>
      </c>
      <c r="AS491" s="37">
        <v>3024429.74</v>
      </c>
      <c r="AT491" s="8" t="s">
        <v>321</v>
      </c>
      <c r="AU491" s="8" t="s">
        <v>321</v>
      </c>
      <c r="AV491" s="8">
        <v>84.3</v>
      </c>
      <c r="AW491" s="8"/>
      <c r="AX491" s="8" t="s">
        <v>332</v>
      </c>
      <c r="AY491" s="8" t="s">
        <v>224</v>
      </c>
      <c r="AZ491" s="8" t="s">
        <v>332</v>
      </c>
      <c r="BA491" s="21">
        <f>IF(OR(tblsales[[#This Row],[Invoice Value USD]]="",tblsales[[#This Row],[Collected Amount USD]]=""),"",tblsales[[#This Row],[Invoice Value USD]]-tblsales[[#This Row],[Collected Amount USD]])</f>
        <v>623994.41999999993</v>
      </c>
      <c r="BB491" s="21">
        <f>IF(OR(tblsales[[#This Row],[Contract Value USD]]="",tblsales[[#This Row],[Cost Estimate USD]]=""),"",tblsales[[#This Row],[Contract Value USD]]-tblsales[[#This Row],[Cost Estimate USD]])</f>
        <v>4133098.3600000031</v>
      </c>
      <c r="BC491" s="21">
        <f>IF(OR(tblsales[[#This Row],[Contract Value USD]]="",tblsales[[#This Row],[Cost Estimate USD]]=""),"",tblsales[[#This Row],[Contract Value USD]]-tblsales[[#This Row],[Cost Estimate USD]])</f>
        <v>4133098.3600000031</v>
      </c>
      <c r="BD491" s="23">
        <f>IF(tblsales[[#This Row],[Invoice Value USD]]="","",tblsales[[#This Row],[Collected Amount USD]]/tblsales[[#This Row],[Invoice Value USD]])</f>
        <v>0.93803347535082182</v>
      </c>
      <c r="BE491" s="11">
        <f>IF(tblsales[[#This Row],[SalesStage]]="Won",1,0)</f>
        <v>0</v>
      </c>
      <c r="BF491" s="21" t="str">
        <f>IF(tblsales[[#This Row],[Win Flag]]=1,"Won","Lost")</f>
        <v>Lost</v>
      </c>
      <c r="BG491" s="8"/>
    </row>
    <row r="492" spans="1:59" x14ac:dyDescent="0.3">
      <c r="A492" s="10" t="s">
        <v>1787</v>
      </c>
      <c r="B492" s="9">
        <v>45758</v>
      </c>
      <c r="C492" s="10" t="s">
        <v>256</v>
      </c>
      <c r="D492" s="10" t="s">
        <v>190</v>
      </c>
      <c r="E492" s="10" t="s">
        <v>20</v>
      </c>
      <c r="F492" s="10" t="s">
        <v>196</v>
      </c>
      <c r="G492" s="10" t="s">
        <v>23</v>
      </c>
      <c r="H492" s="10" t="s">
        <v>182</v>
      </c>
      <c r="I492" s="10" t="s">
        <v>198</v>
      </c>
      <c r="J492" s="10" t="s">
        <v>136</v>
      </c>
      <c r="K492" s="10" t="s">
        <v>223</v>
      </c>
      <c r="L492" s="10" t="s">
        <v>1788</v>
      </c>
      <c r="M492" s="9">
        <v>45756</v>
      </c>
      <c r="N492" s="9">
        <v>45976</v>
      </c>
      <c r="O492" s="9"/>
      <c r="P492" s="11">
        <v>48</v>
      </c>
      <c r="Q492" s="12">
        <v>10185763</v>
      </c>
      <c r="R492">
        <v>11825670.843</v>
      </c>
      <c r="S492" s="22">
        <v>0.18</v>
      </c>
      <c r="T492" s="22">
        <v>0.08</v>
      </c>
      <c r="U492" s="12">
        <v>9020511.7100000009</v>
      </c>
      <c r="V492" s="24">
        <v>10472814.095310001</v>
      </c>
      <c r="W492" s="8">
        <v>7642507.6600000001</v>
      </c>
      <c r="X492" s="24">
        <v>8872951.3932600003</v>
      </c>
      <c r="Y492" s="22">
        <v>0.39</v>
      </c>
      <c r="Z492" s="22">
        <v>7.0000000000000007E-2</v>
      </c>
      <c r="AA492" s="8" t="s">
        <v>1789</v>
      </c>
      <c r="AB492" s="8">
        <v>4291157.6399999997</v>
      </c>
      <c r="AC492" s="24">
        <v>4982034.0200399999</v>
      </c>
      <c r="AD492" s="8">
        <v>1624334.3</v>
      </c>
      <c r="AE492" s="24">
        <v>1885852.1223000002</v>
      </c>
      <c r="AF492" s="8">
        <v>120</v>
      </c>
      <c r="AG492" s="8">
        <v>54</v>
      </c>
      <c r="AH492" s="8" t="s">
        <v>376</v>
      </c>
      <c r="AI492" s="8" t="s">
        <v>226</v>
      </c>
      <c r="AJ492" s="22">
        <v>0.09</v>
      </c>
      <c r="AK492" s="8" t="s">
        <v>159</v>
      </c>
      <c r="AL492" s="22">
        <v>0.1</v>
      </c>
      <c r="AM492" s="22">
        <v>7.0000000000000007E-2</v>
      </c>
      <c r="AN492" s="8">
        <v>12</v>
      </c>
      <c r="AO492" s="8">
        <v>2891</v>
      </c>
      <c r="AP492" s="8">
        <v>217221.15</v>
      </c>
      <c r="AQ492" s="24">
        <v>252193.75515000001</v>
      </c>
      <c r="AR492" s="8">
        <v>3525763.49</v>
      </c>
      <c r="AS492" s="37">
        <v>4093411.4118900006</v>
      </c>
      <c r="AT492" s="8" t="s">
        <v>343</v>
      </c>
      <c r="AU492" s="8" t="s">
        <v>356</v>
      </c>
      <c r="AV492" s="8">
        <v>64.5</v>
      </c>
      <c r="AW492" s="8">
        <v>12</v>
      </c>
      <c r="AX492" s="8" t="s">
        <v>332</v>
      </c>
      <c r="AY492" s="8" t="s">
        <v>206</v>
      </c>
      <c r="AZ492" s="8" t="s">
        <v>377</v>
      </c>
      <c r="BA492" s="21">
        <f>IF(OR(tblsales[[#This Row],[Invoice Value USD]]="",tblsales[[#This Row],[Collected Amount USD]]=""),"",tblsales[[#This Row],[Invoice Value USD]]-tblsales[[#This Row],[Collected Amount USD]])</f>
        <v>3096181.8977399999</v>
      </c>
      <c r="BB492" s="21">
        <f>IF(OR(tblsales[[#This Row],[Contract Value USD]]="",tblsales[[#This Row],[Cost Estimate USD]]=""),"",tblsales[[#This Row],[Contract Value USD]]-tblsales[[#This Row],[Cost Estimate USD]])</f>
        <v>1599862.7020500004</v>
      </c>
      <c r="BC492" s="21">
        <f>IF(OR(tblsales[[#This Row],[Contract Value USD]]="",tblsales[[#This Row],[Cost Estimate USD]]=""),"",tblsales[[#This Row],[Contract Value USD]]-tblsales[[#This Row],[Cost Estimate USD]])</f>
        <v>1599862.7020500004</v>
      </c>
      <c r="BD492" s="23">
        <f>IF(tblsales[[#This Row],[Invoice Value USD]]="","",tblsales[[#This Row],[Collected Amount USD]]/tblsales[[#This Row],[Invoice Value USD]])</f>
        <v>0.37853055894725884</v>
      </c>
      <c r="BE492" s="11">
        <f>IF(tblsales[[#This Row],[SalesStage]]="Won",1,0)</f>
        <v>0</v>
      </c>
      <c r="BF492" s="21" t="str">
        <f>IF(tblsales[[#This Row],[Win Flag]]=1,"Won","Lost")</f>
        <v>Lost</v>
      </c>
      <c r="BG492" s="8"/>
    </row>
    <row r="493" spans="1:59" x14ac:dyDescent="0.3">
      <c r="A493" s="10" t="s">
        <v>1790</v>
      </c>
      <c r="B493" s="9">
        <v>45957</v>
      </c>
      <c r="C493" s="10" t="s">
        <v>251</v>
      </c>
      <c r="D493" s="10" t="s">
        <v>242</v>
      </c>
      <c r="E493" s="10" t="s">
        <v>20</v>
      </c>
      <c r="F493" s="10" t="s">
        <v>332</v>
      </c>
      <c r="G493" s="10" t="s">
        <v>38</v>
      </c>
      <c r="H493" s="10" t="s">
        <v>263</v>
      </c>
      <c r="I493" s="10" t="s">
        <v>198</v>
      </c>
      <c r="J493" s="10" t="s">
        <v>136</v>
      </c>
      <c r="K493" s="10" t="s">
        <v>199</v>
      </c>
      <c r="L493" s="10" t="s">
        <v>1791</v>
      </c>
      <c r="M493" s="9">
        <v>45697</v>
      </c>
      <c r="N493" s="9"/>
      <c r="O493" s="9">
        <v>46327</v>
      </c>
      <c r="P493" s="11">
        <v>22</v>
      </c>
      <c r="Q493" s="12">
        <v>42398783</v>
      </c>
      <c r="R493">
        <v>42398783</v>
      </c>
      <c r="S493" s="22">
        <v>0.35</v>
      </c>
      <c r="T493" s="22">
        <v>0.04</v>
      </c>
      <c r="U493" s="12">
        <v>28661577.309999999</v>
      </c>
      <c r="V493" s="24">
        <v>28661577.309999999</v>
      </c>
      <c r="W493" s="8">
        <v>23650049.469999999</v>
      </c>
      <c r="X493" s="24">
        <v>23650049.469999999</v>
      </c>
      <c r="Y493" s="22">
        <v>0.37</v>
      </c>
      <c r="Z493" s="22">
        <v>0.15</v>
      </c>
      <c r="AA493" s="8"/>
      <c r="AB493" s="8">
        <v>17062573.710000001</v>
      </c>
      <c r="AC493" s="24">
        <v>17062573.710000001</v>
      </c>
      <c r="AD493" s="8">
        <v>9850967.0299999993</v>
      </c>
      <c r="AE493" s="24">
        <v>9850967.0299999993</v>
      </c>
      <c r="AF493" s="8">
        <v>60</v>
      </c>
      <c r="AG493" s="8">
        <v>156</v>
      </c>
      <c r="AH493" s="8" t="s">
        <v>329</v>
      </c>
      <c r="AI493" s="8" t="s">
        <v>354</v>
      </c>
      <c r="AJ493" s="22">
        <v>0.56999999999999995</v>
      </c>
      <c r="AK493" s="8" t="s">
        <v>152</v>
      </c>
      <c r="AL493" s="22">
        <v>0.1</v>
      </c>
      <c r="AM493" s="22">
        <v>0.05</v>
      </c>
      <c r="AN493" s="8">
        <v>2</v>
      </c>
      <c r="AO493" s="8">
        <v>2845</v>
      </c>
      <c r="AP493" s="8">
        <v>5572871.1100000003</v>
      </c>
      <c r="AQ493" s="24">
        <v>5572871.1100000003</v>
      </c>
      <c r="AR493" s="8">
        <v>11700004.029999999</v>
      </c>
      <c r="AS493" s="37">
        <v>11700004.029999999</v>
      </c>
      <c r="AT493" s="8" t="s">
        <v>343</v>
      </c>
      <c r="AU493" s="8" t="s">
        <v>322</v>
      </c>
      <c r="AV493" s="8">
        <v>57.3</v>
      </c>
      <c r="AW493" s="8">
        <v>48</v>
      </c>
      <c r="AX493" s="8" t="s">
        <v>392</v>
      </c>
      <c r="AY493" s="8" t="s">
        <v>206</v>
      </c>
      <c r="AZ493" s="8" t="s">
        <v>332</v>
      </c>
      <c r="BA493" s="21">
        <f>IF(OR(tblsales[[#This Row],[Invoice Value USD]]="",tblsales[[#This Row],[Collected Amount USD]]=""),"",tblsales[[#This Row],[Invoice Value USD]]-tblsales[[#This Row],[Collected Amount USD]])</f>
        <v>7211606.6800000016</v>
      </c>
      <c r="BB493" s="21">
        <f>IF(OR(tblsales[[#This Row],[Contract Value USD]]="",tblsales[[#This Row],[Cost Estimate USD]]=""),"",tblsales[[#This Row],[Contract Value USD]]-tblsales[[#This Row],[Cost Estimate USD]])</f>
        <v>5011527.84</v>
      </c>
      <c r="BC493" s="21">
        <f>IF(OR(tblsales[[#This Row],[Contract Value USD]]="",tblsales[[#This Row],[Cost Estimate USD]]=""),"",tblsales[[#This Row],[Contract Value USD]]-tblsales[[#This Row],[Cost Estimate USD]])</f>
        <v>5011527.84</v>
      </c>
      <c r="BD493" s="23">
        <f>IF(tblsales[[#This Row],[Invoice Value USD]]="","",tblsales[[#This Row],[Collected Amount USD]]/tblsales[[#This Row],[Invoice Value USD]])</f>
        <v>0.57734355891611844</v>
      </c>
      <c r="BE493" s="11">
        <f>IF(tblsales[[#This Row],[SalesStage]]="Won",1,0)</f>
        <v>0</v>
      </c>
      <c r="BF493" s="21" t="str">
        <f>IF(tblsales[[#This Row],[Win Flag]]=1,"Won","Lost")</f>
        <v>Lost</v>
      </c>
      <c r="BG493" s="8"/>
    </row>
    <row r="494" spans="1:59" x14ac:dyDescent="0.3">
      <c r="A494" s="10" t="s">
        <v>1792</v>
      </c>
      <c r="B494" s="9">
        <v>45756</v>
      </c>
      <c r="C494" s="10" t="s">
        <v>241</v>
      </c>
      <c r="D494" s="10" t="s">
        <v>215</v>
      </c>
      <c r="E494" s="10" t="s">
        <v>20</v>
      </c>
      <c r="F494" s="10" t="s">
        <v>31</v>
      </c>
      <c r="G494" s="10" t="s">
        <v>28</v>
      </c>
      <c r="H494" s="10" t="s">
        <v>197</v>
      </c>
      <c r="I494" s="10" t="s">
        <v>332</v>
      </c>
      <c r="J494" s="10" t="s">
        <v>136</v>
      </c>
      <c r="K494" s="10" t="s">
        <v>221</v>
      </c>
      <c r="L494" s="10" t="s">
        <v>1793</v>
      </c>
      <c r="M494" s="9">
        <v>45822</v>
      </c>
      <c r="N494" s="9">
        <v>45933</v>
      </c>
      <c r="O494" s="9">
        <v>45759</v>
      </c>
      <c r="P494" s="11">
        <v>9</v>
      </c>
      <c r="Q494" s="12">
        <v>7465566</v>
      </c>
      <c r="R494">
        <v>2050790.9802000001</v>
      </c>
      <c r="S494" s="22">
        <v>0.21</v>
      </c>
      <c r="T494" s="22">
        <v>-0.01</v>
      </c>
      <c r="U494" s="12">
        <v>5838819.1699999999</v>
      </c>
      <c r="V494" s="24">
        <v>1603923.6259989999</v>
      </c>
      <c r="W494" s="8">
        <v>3526395</v>
      </c>
      <c r="X494" s="24">
        <v>968700.70649999997</v>
      </c>
      <c r="Y494" s="22">
        <v>0.32</v>
      </c>
      <c r="Z494" s="22">
        <v>0.09</v>
      </c>
      <c r="AA494" s="8" t="s">
        <v>1794</v>
      </c>
      <c r="AB494" s="8">
        <v>2354976.23</v>
      </c>
      <c r="AC494" s="24">
        <v>646911.97038099996</v>
      </c>
      <c r="AD494" s="8">
        <v>1405782.63</v>
      </c>
      <c r="AE494" s="24">
        <v>386168.48846099997</v>
      </c>
      <c r="AF494" s="8">
        <v>120</v>
      </c>
      <c r="AG494" s="8">
        <v>124</v>
      </c>
      <c r="AH494" s="8" t="s">
        <v>347</v>
      </c>
      <c r="AI494" s="8" t="s">
        <v>406</v>
      </c>
      <c r="AJ494" s="22">
        <v>0.68</v>
      </c>
      <c r="AK494" s="8" t="s">
        <v>155</v>
      </c>
      <c r="AL494" s="22">
        <v>0.05</v>
      </c>
      <c r="AM494" s="22">
        <v>0.09</v>
      </c>
      <c r="AN494" s="8">
        <v>4</v>
      </c>
      <c r="AO494" s="8">
        <v>2573</v>
      </c>
      <c r="AP494" s="8">
        <v>529341.99</v>
      </c>
      <c r="AQ494" s="24">
        <v>145410.244653</v>
      </c>
      <c r="AR494" s="8">
        <v>2886515.57</v>
      </c>
      <c r="AS494" s="37">
        <v>792925.82707899995</v>
      </c>
      <c r="AT494" s="8" t="s">
        <v>321</v>
      </c>
      <c r="AU494" s="8" t="s">
        <v>322</v>
      </c>
      <c r="AV494" s="8">
        <v>53</v>
      </c>
      <c r="AW494" s="8">
        <v>36</v>
      </c>
      <c r="AX494" s="8" t="s">
        <v>332</v>
      </c>
      <c r="AY494" s="8" t="s">
        <v>186</v>
      </c>
      <c r="AZ494" s="8" t="s">
        <v>188</v>
      </c>
      <c r="BA494" s="21">
        <f>IF(OR(tblsales[[#This Row],[Invoice Value USD]]="",tblsales[[#This Row],[Collected Amount USD]]=""),"",tblsales[[#This Row],[Invoice Value USD]]-tblsales[[#This Row],[Collected Amount USD]])</f>
        <v>260743.48191999999</v>
      </c>
      <c r="BB494" s="21">
        <f>IF(OR(tblsales[[#This Row],[Contract Value USD]]="",tblsales[[#This Row],[Cost Estimate USD]]=""),"",tblsales[[#This Row],[Contract Value USD]]-tblsales[[#This Row],[Cost Estimate USD]])</f>
        <v>635222.91949899995</v>
      </c>
      <c r="BC494" s="21">
        <f>IF(OR(tblsales[[#This Row],[Contract Value USD]]="",tblsales[[#This Row],[Cost Estimate USD]]=""),"",tblsales[[#This Row],[Contract Value USD]]-tblsales[[#This Row],[Cost Estimate USD]])</f>
        <v>635222.91949899995</v>
      </c>
      <c r="BD494" s="23">
        <f>IF(tblsales[[#This Row],[Invoice Value USD]]="","",tblsales[[#This Row],[Collected Amount USD]]/tblsales[[#This Row],[Invoice Value USD]])</f>
        <v>0.59694132454152204</v>
      </c>
      <c r="BE494" s="11">
        <f>IF(tblsales[[#This Row],[SalesStage]]="Won",1,0)</f>
        <v>0</v>
      </c>
      <c r="BF494" s="21" t="str">
        <f>IF(tblsales[[#This Row],[Win Flag]]=1,"Won","Lost")</f>
        <v>Lost</v>
      </c>
      <c r="BG494" s="8"/>
    </row>
    <row r="495" spans="1:59" x14ac:dyDescent="0.3">
      <c r="A495" s="10" t="s">
        <v>1795</v>
      </c>
      <c r="B495" s="9">
        <v>45869</v>
      </c>
      <c r="C495" s="10" t="s">
        <v>234</v>
      </c>
      <c r="D495" s="10" t="s">
        <v>332</v>
      </c>
      <c r="E495" s="10" t="s">
        <v>52</v>
      </c>
      <c r="F495" s="10" t="s">
        <v>75</v>
      </c>
      <c r="G495" s="10" t="s">
        <v>66</v>
      </c>
      <c r="H495" s="10" t="s">
        <v>182</v>
      </c>
      <c r="I495" s="10" t="s">
        <v>198</v>
      </c>
      <c r="J495" s="10" t="s">
        <v>133</v>
      </c>
      <c r="K495" s="10" t="s">
        <v>210</v>
      </c>
      <c r="L495" s="10" t="s">
        <v>1796</v>
      </c>
      <c r="M495" s="9">
        <v>45836</v>
      </c>
      <c r="N495" s="9"/>
      <c r="O495" s="9">
        <v>45941</v>
      </c>
      <c r="P495" s="11">
        <v>9</v>
      </c>
      <c r="Q495" s="12">
        <v>26203741</v>
      </c>
      <c r="R495">
        <v>7135278.6743000001</v>
      </c>
      <c r="S495" s="22">
        <v>0.06</v>
      </c>
      <c r="T495" s="22">
        <v>0.1</v>
      </c>
      <c r="U495" s="12">
        <v>27094668.190000001</v>
      </c>
      <c r="V495" s="24">
        <v>7377878.1481370004</v>
      </c>
      <c r="W495" s="8">
        <v>23172774.120000001</v>
      </c>
      <c r="X495" s="24">
        <v>6309946.3928760001</v>
      </c>
      <c r="Y495" s="22">
        <v>0.35</v>
      </c>
      <c r="Z495" s="22">
        <v>0.18</v>
      </c>
      <c r="AA495" s="8" t="s">
        <v>1797</v>
      </c>
      <c r="AB495" s="8">
        <v>17319155.260000002</v>
      </c>
      <c r="AC495" s="24">
        <v>4716005.9772979999</v>
      </c>
      <c r="AD495" s="8">
        <v>10172943.35</v>
      </c>
      <c r="AE495" s="24">
        <v>2770092.4742049999</v>
      </c>
      <c r="AF495" s="8">
        <v>120</v>
      </c>
      <c r="AG495" s="8">
        <v>156</v>
      </c>
      <c r="AH495" s="8" t="s">
        <v>342</v>
      </c>
      <c r="AI495" s="8" t="s">
        <v>226</v>
      </c>
      <c r="AJ495" s="22">
        <v>0.8</v>
      </c>
      <c r="AK495" s="8" t="s">
        <v>153</v>
      </c>
      <c r="AL495" s="22">
        <v>0.05</v>
      </c>
      <c r="AM495" s="22">
        <v>0.02</v>
      </c>
      <c r="AN495" s="8">
        <v>4</v>
      </c>
      <c r="AO495" s="8">
        <v>950</v>
      </c>
      <c r="AP495" s="8">
        <v>1897365.74</v>
      </c>
      <c r="AQ495" s="24">
        <v>516652.69100199995</v>
      </c>
      <c r="AR495" s="8">
        <v>8423238.1199999992</v>
      </c>
      <c r="AS495" s="37">
        <v>2293647.7400759999</v>
      </c>
      <c r="AT495" s="8" t="s">
        <v>385</v>
      </c>
      <c r="AU495" s="8" t="s">
        <v>321</v>
      </c>
      <c r="AV495" s="8">
        <v>70.599999999999994</v>
      </c>
      <c r="AW495" s="8">
        <v>36</v>
      </c>
      <c r="AX495" s="8" t="s">
        <v>332</v>
      </c>
      <c r="AY495" s="8" t="s">
        <v>224</v>
      </c>
      <c r="AZ495" s="8" t="s">
        <v>324</v>
      </c>
      <c r="BA495" s="21">
        <f>IF(OR(tblsales[[#This Row],[Invoice Value USD]]="",tblsales[[#This Row],[Collected Amount USD]]=""),"",tblsales[[#This Row],[Invoice Value USD]]-tblsales[[#This Row],[Collected Amount USD]])</f>
        <v>1945913.503093</v>
      </c>
      <c r="BB495" s="21">
        <f>IF(OR(tblsales[[#This Row],[Contract Value USD]]="",tblsales[[#This Row],[Cost Estimate USD]]=""),"",tblsales[[#This Row],[Contract Value USD]]-tblsales[[#This Row],[Cost Estimate USD]])</f>
        <v>1067931.7552610002</v>
      </c>
      <c r="BC495" s="21">
        <f>IF(OR(tblsales[[#This Row],[Contract Value USD]]="",tblsales[[#This Row],[Cost Estimate USD]]=""),"",tblsales[[#This Row],[Contract Value USD]]-tblsales[[#This Row],[Cost Estimate USD]])</f>
        <v>1067931.7552610002</v>
      </c>
      <c r="BD495" s="23">
        <f>IF(tblsales[[#This Row],[Invoice Value USD]]="","",tblsales[[#This Row],[Collected Amount USD]]/tblsales[[#This Row],[Invoice Value USD]])</f>
        <v>0.58738103546512122</v>
      </c>
      <c r="BE495" s="11">
        <f>IF(tblsales[[#This Row],[SalesStage]]="Won",1,0)</f>
        <v>0</v>
      </c>
      <c r="BF495" s="21" t="str">
        <f>IF(tblsales[[#This Row],[Win Flag]]=1,"Won","Lost")</f>
        <v>Lost</v>
      </c>
      <c r="BG495" s="8"/>
    </row>
    <row r="496" spans="1:59" x14ac:dyDescent="0.3">
      <c r="A496" s="10" t="s">
        <v>1798</v>
      </c>
      <c r="B496" s="9">
        <v>45696</v>
      </c>
      <c r="C496" s="10" t="s">
        <v>235</v>
      </c>
      <c r="D496" s="10" t="s">
        <v>242</v>
      </c>
      <c r="E496" s="10" t="s">
        <v>41</v>
      </c>
      <c r="F496" s="10" t="s">
        <v>363</v>
      </c>
      <c r="G496" s="10" t="s">
        <v>38</v>
      </c>
      <c r="H496" s="10" t="s">
        <v>236</v>
      </c>
      <c r="I496" s="10" t="s">
        <v>198</v>
      </c>
      <c r="J496" s="10" t="s">
        <v>105</v>
      </c>
      <c r="K496" s="10" t="s">
        <v>210</v>
      </c>
      <c r="L496" s="10" t="s">
        <v>1799</v>
      </c>
      <c r="M496" s="9">
        <v>45793</v>
      </c>
      <c r="N496" s="9">
        <v>45895</v>
      </c>
      <c r="O496" s="9">
        <v>45916</v>
      </c>
      <c r="P496" s="11">
        <v>41</v>
      </c>
      <c r="Q496" s="12">
        <v>5763164</v>
      </c>
      <c r="R496">
        <v>5763164</v>
      </c>
      <c r="S496" s="22">
        <v>0.12</v>
      </c>
      <c r="T496" s="22">
        <v>7.0000000000000007E-2</v>
      </c>
      <c r="U496" s="12">
        <v>5426595.2199999997</v>
      </c>
      <c r="V496" s="24">
        <v>5426595.2199999997</v>
      </c>
      <c r="W496" s="8">
        <v>4345947.67</v>
      </c>
      <c r="X496" s="24">
        <v>4345947.67</v>
      </c>
      <c r="Y496" s="22">
        <v>0.18</v>
      </c>
      <c r="Z496" s="22">
        <v>0.05</v>
      </c>
      <c r="AA496" s="8" t="s">
        <v>1800</v>
      </c>
      <c r="AB496" s="8">
        <v>3091933.26</v>
      </c>
      <c r="AC496" s="24">
        <v>3091933.26</v>
      </c>
      <c r="AD496" s="8">
        <v>2978466.2</v>
      </c>
      <c r="AE496" s="24">
        <v>2978466.2</v>
      </c>
      <c r="AF496" s="8">
        <v>60</v>
      </c>
      <c r="AG496" s="8">
        <v>78</v>
      </c>
      <c r="AH496" s="8" t="s">
        <v>332</v>
      </c>
      <c r="AI496" s="8" t="s">
        <v>354</v>
      </c>
      <c r="AJ496" s="22">
        <v>0.33</v>
      </c>
      <c r="AK496" s="8" t="s">
        <v>152</v>
      </c>
      <c r="AL496" s="22">
        <v>0.05</v>
      </c>
      <c r="AM496" s="22">
        <v>0.02</v>
      </c>
      <c r="AN496" s="8">
        <v>8</v>
      </c>
      <c r="AO496" s="8">
        <v>845</v>
      </c>
      <c r="AP496" s="8">
        <v>1112314.24</v>
      </c>
      <c r="AQ496" s="24">
        <v>1112314.24</v>
      </c>
      <c r="AR496" s="8">
        <v>2135121.44</v>
      </c>
      <c r="AS496" s="37">
        <v>2135121.44</v>
      </c>
      <c r="AT496" s="8" t="s">
        <v>332</v>
      </c>
      <c r="AU496" s="8" t="s">
        <v>330</v>
      </c>
      <c r="AV496" s="8">
        <v>89.4</v>
      </c>
      <c r="AW496" s="8">
        <v>48</v>
      </c>
      <c r="AX496" s="8" t="s">
        <v>337</v>
      </c>
      <c r="AY496" s="8" t="s">
        <v>206</v>
      </c>
      <c r="AZ496" s="8" t="s">
        <v>188</v>
      </c>
      <c r="BA496" s="21">
        <f>IF(OR(tblsales[[#This Row],[Invoice Value USD]]="",tblsales[[#This Row],[Collected Amount USD]]=""),"",tblsales[[#This Row],[Invoice Value USD]]-tblsales[[#This Row],[Collected Amount USD]])</f>
        <v>113467.05999999959</v>
      </c>
      <c r="BB496" s="21">
        <f>IF(OR(tblsales[[#This Row],[Contract Value USD]]="",tblsales[[#This Row],[Cost Estimate USD]]=""),"",tblsales[[#This Row],[Contract Value USD]]-tblsales[[#This Row],[Cost Estimate USD]])</f>
        <v>1080647.5499999998</v>
      </c>
      <c r="BC496" s="21">
        <f>IF(OR(tblsales[[#This Row],[Contract Value USD]]="",tblsales[[#This Row],[Cost Estimate USD]]=""),"",tblsales[[#This Row],[Contract Value USD]]-tblsales[[#This Row],[Cost Estimate USD]])</f>
        <v>1080647.5499999998</v>
      </c>
      <c r="BD496" s="23">
        <f>IF(tblsales[[#This Row],[Invoice Value USD]]="","",tblsales[[#This Row],[Collected Amount USD]]/tblsales[[#This Row],[Invoice Value USD]])</f>
        <v>0.96330222858691339</v>
      </c>
      <c r="BE496" s="11">
        <f>IF(tblsales[[#This Row],[SalesStage]]="Won",1,0)</f>
        <v>0</v>
      </c>
      <c r="BF496" s="21" t="str">
        <f>IF(tblsales[[#This Row],[Win Flag]]=1,"Won","Lost")</f>
        <v>Lost</v>
      </c>
      <c r="BG496" s="8"/>
    </row>
    <row r="497" spans="1:59" x14ac:dyDescent="0.3">
      <c r="A497" s="10" t="s">
        <v>1801</v>
      </c>
      <c r="B497" s="9">
        <v>45940</v>
      </c>
      <c r="C497" s="10" t="s">
        <v>279</v>
      </c>
      <c r="D497" s="10" t="s">
        <v>238</v>
      </c>
      <c r="E497" s="10" t="s">
        <v>332</v>
      </c>
      <c r="F497" s="10" t="s">
        <v>35</v>
      </c>
      <c r="G497" s="10" t="s">
        <v>57</v>
      </c>
      <c r="H497" s="10" t="s">
        <v>216</v>
      </c>
      <c r="I497" s="10" t="s">
        <v>203</v>
      </c>
      <c r="J497" s="10" t="s">
        <v>130</v>
      </c>
      <c r="K497" s="10" t="s">
        <v>184</v>
      </c>
      <c r="L497" s="10" t="s">
        <v>1802</v>
      </c>
      <c r="M497" s="9">
        <v>45891</v>
      </c>
      <c r="N497" s="9">
        <v>45972</v>
      </c>
      <c r="O497" s="9">
        <v>46043</v>
      </c>
      <c r="P497" s="11">
        <v>54</v>
      </c>
      <c r="Q497" s="12">
        <v>45101244</v>
      </c>
      <c r="R497">
        <v>12389311.7268</v>
      </c>
      <c r="S497" s="22">
        <v>0.27</v>
      </c>
      <c r="T497" s="22">
        <v>0.02</v>
      </c>
      <c r="U497" s="12">
        <v>33582386.280000001</v>
      </c>
      <c r="V497" s="24">
        <v>9225081.5111159999</v>
      </c>
      <c r="W497" s="8">
        <v>24042220.789999999</v>
      </c>
      <c r="X497" s="24">
        <v>6604398.0510129994</v>
      </c>
      <c r="Y497" s="22">
        <v>0.28000000000000003</v>
      </c>
      <c r="Z497" s="22">
        <v>0.13</v>
      </c>
      <c r="AA497" s="8" t="s">
        <v>1803</v>
      </c>
      <c r="AB497" s="8">
        <v>29334181.899999999</v>
      </c>
      <c r="AC497" s="24">
        <v>8058099.7679299992</v>
      </c>
      <c r="AD497" s="8">
        <v>13973500.65</v>
      </c>
      <c r="AE497" s="24">
        <v>3838520.6285550003</v>
      </c>
      <c r="AF497" s="8">
        <v>30</v>
      </c>
      <c r="AG497" s="8">
        <v>72</v>
      </c>
      <c r="AH497" s="8" t="s">
        <v>376</v>
      </c>
      <c r="AI497" s="8" t="s">
        <v>455</v>
      </c>
      <c r="AJ497" s="22">
        <v>0.14000000000000001</v>
      </c>
      <c r="AK497" s="8" t="s">
        <v>155</v>
      </c>
      <c r="AL497" s="22">
        <v>0.05</v>
      </c>
      <c r="AM497" s="22">
        <v>0.06</v>
      </c>
      <c r="AN497" s="8">
        <v>3</v>
      </c>
      <c r="AO497" s="8">
        <v>3202</v>
      </c>
      <c r="AP497" s="8">
        <v>4331264.3899999997</v>
      </c>
      <c r="AQ497" s="24">
        <v>1189798.3279329999</v>
      </c>
      <c r="AR497" s="8">
        <v>5406310.0099999998</v>
      </c>
      <c r="AS497" s="37">
        <v>1485113.359747</v>
      </c>
      <c r="AT497" s="8" t="s">
        <v>332</v>
      </c>
      <c r="AU497" s="8" t="s">
        <v>348</v>
      </c>
      <c r="AV497" s="8">
        <v>51.1</v>
      </c>
      <c r="AW497" s="8">
        <v>48</v>
      </c>
      <c r="AX497" s="8" t="s">
        <v>387</v>
      </c>
      <c r="AY497" s="8" t="s">
        <v>224</v>
      </c>
      <c r="AZ497" s="8" t="s">
        <v>188</v>
      </c>
      <c r="BA497" s="21">
        <f>IF(OR(tblsales[[#This Row],[Invoice Value USD]]="",tblsales[[#This Row],[Collected Amount USD]]=""),"",tblsales[[#This Row],[Invoice Value USD]]-tblsales[[#This Row],[Collected Amount USD]])</f>
        <v>4219579.1393749993</v>
      </c>
      <c r="BB497" s="21">
        <f>IF(OR(tblsales[[#This Row],[Contract Value USD]]="",tblsales[[#This Row],[Cost Estimate USD]]=""),"",tblsales[[#This Row],[Contract Value USD]]-tblsales[[#This Row],[Cost Estimate USD]])</f>
        <v>2620683.4601030005</v>
      </c>
      <c r="BC497" s="21">
        <f>IF(OR(tblsales[[#This Row],[Contract Value USD]]="",tblsales[[#This Row],[Cost Estimate USD]]=""),"",tblsales[[#This Row],[Contract Value USD]]-tblsales[[#This Row],[Cost Estimate USD]])</f>
        <v>2620683.4601030005</v>
      </c>
      <c r="BD497" s="23">
        <f>IF(tblsales[[#This Row],[Invoice Value USD]]="","",tblsales[[#This Row],[Collected Amount USD]]/tblsales[[#This Row],[Invoice Value USD]])</f>
        <v>0.47635556013239294</v>
      </c>
      <c r="BE497" s="11">
        <f>IF(tblsales[[#This Row],[SalesStage]]="Won",1,0)</f>
        <v>0</v>
      </c>
      <c r="BF497" s="21" t="str">
        <f>IF(tblsales[[#This Row],[Win Flag]]=1,"Won","Lost")</f>
        <v>Lost</v>
      </c>
      <c r="BG497" s="8"/>
    </row>
    <row r="498" spans="1:59" x14ac:dyDescent="0.3">
      <c r="A498" s="10" t="s">
        <v>1804</v>
      </c>
      <c r="B498" s="9">
        <v>45767</v>
      </c>
      <c r="C498" s="10" t="s">
        <v>208</v>
      </c>
      <c r="D498" s="10" t="s">
        <v>232</v>
      </c>
      <c r="E498" s="10" t="s">
        <v>36</v>
      </c>
      <c r="F498" s="10" t="s">
        <v>19</v>
      </c>
      <c r="G498" s="10" t="s">
        <v>70</v>
      </c>
      <c r="H498" s="10" t="s">
        <v>263</v>
      </c>
      <c r="I498" s="10" t="s">
        <v>240</v>
      </c>
      <c r="J498" s="10" t="s">
        <v>115</v>
      </c>
      <c r="K498" s="10" t="s">
        <v>223</v>
      </c>
      <c r="L498" s="10" t="s">
        <v>1805</v>
      </c>
      <c r="M498" s="9">
        <v>45994</v>
      </c>
      <c r="N498" s="9">
        <v>45802</v>
      </c>
      <c r="O498" s="9">
        <v>45847</v>
      </c>
      <c r="P498" s="11"/>
      <c r="Q498" s="12"/>
      <c r="S498" s="22">
        <v>0.1</v>
      </c>
      <c r="T498" s="22">
        <v>0.1</v>
      </c>
      <c r="U498" s="12">
        <v>30077299.890000001</v>
      </c>
      <c r="V498" s="24">
        <v>30077299.890000001</v>
      </c>
      <c r="W498" s="8">
        <v>18779191</v>
      </c>
      <c r="X498" s="24">
        <v>18779191</v>
      </c>
      <c r="Y498" s="22">
        <v>0.26</v>
      </c>
      <c r="Z498" s="22">
        <v>0.15</v>
      </c>
      <c r="AA498" s="8" t="s">
        <v>1806</v>
      </c>
      <c r="AB498" s="8">
        <v>16347938.369999999</v>
      </c>
      <c r="AC498" s="24">
        <v>16347938.369999999</v>
      </c>
      <c r="AD498" s="8">
        <v>16950943.850000001</v>
      </c>
      <c r="AE498" s="24">
        <v>16950943.850000001</v>
      </c>
      <c r="AF498" s="8">
        <v>120</v>
      </c>
      <c r="AG498" s="8">
        <v>116</v>
      </c>
      <c r="AH498" s="8" t="s">
        <v>376</v>
      </c>
      <c r="AI498" s="8" t="s">
        <v>226</v>
      </c>
      <c r="AJ498" s="22">
        <v>0.05</v>
      </c>
      <c r="AK498" s="8" t="s">
        <v>152</v>
      </c>
      <c r="AL498" s="22">
        <v>0.05</v>
      </c>
      <c r="AM498" s="22">
        <v>0.03</v>
      </c>
      <c r="AN498" s="8">
        <v>3</v>
      </c>
      <c r="AO498" s="8"/>
      <c r="AP498" s="8">
        <v>749021.4</v>
      </c>
      <c r="AQ498" s="24">
        <v>749021.4</v>
      </c>
      <c r="AR498" s="8">
        <v>6503832.0700000003</v>
      </c>
      <c r="AS498" s="37">
        <v>6503832.0700000003</v>
      </c>
      <c r="AT498" s="8" t="s">
        <v>391</v>
      </c>
      <c r="AU498" s="8" t="s">
        <v>386</v>
      </c>
      <c r="AV498" s="8">
        <v>54.7</v>
      </c>
      <c r="AW498" s="8">
        <v>48</v>
      </c>
      <c r="AX498" s="8" t="s">
        <v>387</v>
      </c>
      <c r="AY498" s="8" t="s">
        <v>206</v>
      </c>
      <c r="AZ498" s="8" t="s">
        <v>332</v>
      </c>
      <c r="BA498" s="21">
        <f>IF(OR(tblsales[[#This Row],[Invoice Value USD]]="",tblsales[[#This Row],[Collected Amount USD]]=""),"",tblsales[[#This Row],[Invoice Value USD]]-tblsales[[#This Row],[Collected Amount USD]])</f>
        <v>-603005.48000000231</v>
      </c>
      <c r="BB498" s="21">
        <f>IF(OR(tblsales[[#This Row],[Contract Value USD]]="",tblsales[[#This Row],[Cost Estimate USD]]=""),"",tblsales[[#This Row],[Contract Value USD]]-tblsales[[#This Row],[Cost Estimate USD]])</f>
        <v>11298108.890000001</v>
      </c>
      <c r="BC498" s="21">
        <f>IF(OR(tblsales[[#This Row],[Contract Value USD]]="",tblsales[[#This Row],[Cost Estimate USD]]=""),"",tblsales[[#This Row],[Contract Value USD]]-tblsales[[#This Row],[Cost Estimate USD]])</f>
        <v>11298108.890000001</v>
      </c>
      <c r="BD498" s="23">
        <f>IF(tblsales[[#This Row],[Invoice Value USD]]="","",tblsales[[#This Row],[Collected Amount USD]]/tblsales[[#This Row],[Invoice Value USD]])</f>
        <v>1.0368857201655821</v>
      </c>
      <c r="BE498" s="11">
        <f>IF(tblsales[[#This Row],[SalesStage]]="Won",1,0)</f>
        <v>0</v>
      </c>
      <c r="BF498" s="21" t="str">
        <f>IF(tblsales[[#This Row],[Win Flag]]=1,"Won","Lost")</f>
        <v>Lost</v>
      </c>
      <c r="BG498" s="8"/>
    </row>
    <row r="499" spans="1:59" x14ac:dyDescent="0.3">
      <c r="A499" s="10" t="s">
        <v>1807</v>
      </c>
      <c r="B499" s="9">
        <v>45960</v>
      </c>
      <c r="C499" s="10" t="s">
        <v>272</v>
      </c>
      <c r="D499" s="10" t="s">
        <v>232</v>
      </c>
      <c r="E499" s="10" t="s">
        <v>332</v>
      </c>
      <c r="F499" s="10" t="s">
        <v>75</v>
      </c>
      <c r="G499" s="10" t="s">
        <v>73</v>
      </c>
      <c r="H499" s="10" t="s">
        <v>263</v>
      </c>
      <c r="I499" s="10" t="s">
        <v>246</v>
      </c>
      <c r="J499" s="10" t="s">
        <v>130</v>
      </c>
      <c r="K499" s="10" t="s">
        <v>210</v>
      </c>
      <c r="L499" s="10" t="s">
        <v>1808</v>
      </c>
      <c r="M499" s="9">
        <v>45971</v>
      </c>
      <c r="N499" s="9"/>
      <c r="O499" s="9">
        <v>46044</v>
      </c>
      <c r="P499" s="11">
        <v>20</v>
      </c>
      <c r="Q499" s="12">
        <v>18428369</v>
      </c>
      <c r="R499">
        <v>21395336.409000002</v>
      </c>
      <c r="S499" s="22">
        <v>0.18</v>
      </c>
      <c r="T499" s="22">
        <v>0.08</v>
      </c>
      <c r="U499" s="12">
        <v>16320163.59</v>
      </c>
      <c r="V499" s="24">
        <v>18947709.927990001</v>
      </c>
      <c r="W499" s="8">
        <v>10625509.51</v>
      </c>
      <c r="X499" s="24">
        <v>12336216.54111</v>
      </c>
      <c r="Y499" s="22">
        <v>0.15</v>
      </c>
      <c r="Z499" s="22">
        <v>0.06</v>
      </c>
      <c r="AA499" s="8" t="s">
        <v>1809</v>
      </c>
      <c r="AB499" s="8">
        <v>7298418.3200000003</v>
      </c>
      <c r="AC499" s="24">
        <v>8473463.66952</v>
      </c>
      <c r="AD499" s="8">
        <v>7433778.2699999996</v>
      </c>
      <c r="AE499" s="24">
        <v>8630616.5714699998</v>
      </c>
      <c r="AF499" s="8">
        <v>45</v>
      </c>
      <c r="AG499" s="8">
        <v>104</v>
      </c>
      <c r="AH499" s="8" t="s">
        <v>353</v>
      </c>
      <c r="AI499" s="8" t="s">
        <v>226</v>
      </c>
      <c r="AJ499" s="22">
        <v>0.81</v>
      </c>
      <c r="AK499" s="8" t="s">
        <v>159</v>
      </c>
      <c r="AL499" s="22">
        <v>0.05</v>
      </c>
      <c r="AM499" s="22">
        <v>0.1</v>
      </c>
      <c r="AN499" s="8">
        <v>14</v>
      </c>
      <c r="AO499" s="8">
        <v>1921</v>
      </c>
      <c r="AP499" s="8">
        <v>2274476.81</v>
      </c>
      <c r="AQ499" s="24">
        <v>2640667.5764100002</v>
      </c>
      <c r="AR499" s="8">
        <v>6400188.79</v>
      </c>
      <c r="AS499" s="37">
        <v>7430619.1851900006</v>
      </c>
      <c r="AT499" s="8" t="s">
        <v>355</v>
      </c>
      <c r="AU499" s="8" t="s">
        <v>332</v>
      </c>
      <c r="AV499" s="8">
        <v>92.5</v>
      </c>
      <c r="AW499" s="8">
        <v>36</v>
      </c>
      <c r="AX499" s="8" t="s">
        <v>332</v>
      </c>
      <c r="AY499" s="8" t="s">
        <v>192</v>
      </c>
      <c r="AZ499" s="8" t="s">
        <v>332</v>
      </c>
      <c r="BA499" s="21">
        <f>IF(OR(tblsales[[#This Row],[Invoice Value USD]]="",tblsales[[#This Row],[Collected Amount USD]]=""),"",tblsales[[#This Row],[Invoice Value USD]]-tblsales[[#This Row],[Collected Amount USD]])</f>
        <v>-157152.90194999985</v>
      </c>
      <c r="BB499" s="21">
        <f>IF(OR(tblsales[[#This Row],[Contract Value USD]]="",tblsales[[#This Row],[Cost Estimate USD]]=""),"",tblsales[[#This Row],[Contract Value USD]]-tblsales[[#This Row],[Cost Estimate USD]])</f>
        <v>6611493.3868800011</v>
      </c>
      <c r="BC499" s="21">
        <f>IF(OR(tblsales[[#This Row],[Contract Value USD]]="",tblsales[[#This Row],[Cost Estimate USD]]=""),"",tblsales[[#This Row],[Contract Value USD]]-tblsales[[#This Row],[Cost Estimate USD]])</f>
        <v>6611493.3868800011</v>
      </c>
      <c r="BD499" s="23">
        <f>IF(tblsales[[#This Row],[Invoice Value USD]]="","",tblsales[[#This Row],[Collected Amount USD]]/tblsales[[#This Row],[Invoice Value USD]])</f>
        <v>1.0185464773414084</v>
      </c>
      <c r="BE499" s="11">
        <f>IF(tblsales[[#This Row],[SalesStage]]="Won",1,0)</f>
        <v>0</v>
      </c>
      <c r="BF499" s="21" t="str">
        <f>IF(tblsales[[#This Row],[Win Flag]]=1,"Won","Lost")</f>
        <v>Lost</v>
      </c>
      <c r="BG499" s="8"/>
    </row>
    <row r="500" spans="1:59" x14ac:dyDescent="0.3">
      <c r="A500" s="10" t="s">
        <v>1810</v>
      </c>
      <c r="B500" s="9">
        <v>46077</v>
      </c>
      <c r="C500" s="10" t="s">
        <v>235</v>
      </c>
      <c r="D500" s="10" t="s">
        <v>242</v>
      </c>
      <c r="E500" s="10" t="s">
        <v>41</v>
      </c>
      <c r="F500" s="10" t="s">
        <v>350</v>
      </c>
      <c r="G500" s="10" t="s">
        <v>46</v>
      </c>
      <c r="H500" s="10" t="s">
        <v>216</v>
      </c>
      <c r="I500" s="10" t="s">
        <v>183</v>
      </c>
      <c r="J500" s="10" t="s">
        <v>105</v>
      </c>
      <c r="K500" s="10" t="s">
        <v>204</v>
      </c>
      <c r="L500" s="10" t="s">
        <v>1811</v>
      </c>
      <c r="M500" s="9">
        <v>46327</v>
      </c>
      <c r="N500" s="9">
        <v>46086</v>
      </c>
      <c r="O500" s="9">
        <v>46178</v>
      </c>
      <c r="P500" s="11">
        <v>27</v>
      </c>
      <c r="Q500" s="12">
        <v>14367748</v>
      </c>
      <c r="R500">
        <v>14367748</v>
      </c>
      <c r="S500" s="22">
        <v>0.26</v>
      </c>
      <c r="T500" s="22">
        <v>0.04</v>
      </c>
      <c r="U500" s="12">
        <v>11057418.859999999</v>
      </c>
      <c r="V500" s="24">
        <v>11057418.859999999</v>
      </c>
      <c r="W500" s="8">
        <v>9851327.2599999998</v>
      </c>
      <c r="X500" s="24">
        <v>9851327.2599999998</v>
      </c>
      <c r="Y500" s="22">
        <v>0.27</v>
      </c>
      <c r="Z500" s="22">
        <v>0.18</v>
      </c>
      <c r="AA500" s="8" t="s">
        <v>1812</v>
      </c>
      <c r="AB500" s="8">
        <v>9076380.3100000005</v>
      </c>
      <c r="AC500" s="24">
        <v>9076380.3100000005</v>
      </c>
      <c r="AD500" s="8">
        <v>9086793.3100000005</v>
      </c>
      <c r="AE500" s="24">
        <v>9086793.3100000005</v>
      </c>
      <c r="AF500" s="8">
        <v>30</v>
      </c>
      <c r="AG500" s="8">
        <v>80</v>
      </c>
      <c r="AH500" s="8" t="s">
        <v>342</v>
      </c>
      <c r="AI500" s="8" t="s">
        <v>320</v>
      </c>
      <c r="AJ500" s="22">
        <v>0.63</v>
      </c>
      <c r="AK500" s="8" t="s">
        <v>152</v>
      </c>
      <c r="AL500" s="22">
        <v>0.15</v>
      </c>
      <c r="AM500" s="22">
        <v>0.06</v>
      </c>
      <c r="AN500" s="8">
        <v>12</v>
      </c>
      <c r="AO500" s="8">
        <v>1987</v>
      </c>
      <c r="AP500" s="8">
        <v>731717.91</v>
      </c>
      <c r="AQ500" s="24">
        <v>731717.91</v>
      </c>
      <c r="AR500" s="8">
        <v>4489781.53</v>
      </c>
      <c r="AS500" s="37">
        <v>4489781.53</v>
      </c>
      <c r="AT500" s="8" t="s">
        <v>355</v>
      </c>
      <c r="AU500" s="8" t="s">
        <v>356</v>
      </c>
      <c r="AV500" s="8">
        <v>77.7</v>
      </c>
      <c r="AW500" s="8">
        <v>48</v>
      </c>
      <c r="AX500" s="8" t="s">
        <v>323</v>
      </c>
      <c r="AY500" s="8" t="s">
        <v>192</v>
      </c>
      <c r="AZ500" s="8" t="s">
        <v>361</v>
      </c>
      <c r="BA500" s="21">
        <f>IF(OR(tblsales[[#This Row],[Invoice Value USD]]="",tblsales[[#This Row],[Collected Amount USD]]=""),"",tblsales[[#This Row],[Invoice Value USD]]-tblsales[[#This Row],[Collected Amount USD]])</f>
        <v>-10413</v>
      </c>
      <c r="BB500" s="21">
        <f>IF(OR(tblsales[[#This Row],[Contract Value USD]]="",tblsales[[#This Row],[Cost Estimate USD]]=""),"",tblsales[[#This Row],[Contract Value USD]]-tblsales[[#This Row],[Cost Estimate USD]])</f>
        <v>1206091.5999999996</v>
      </c>
      <c r="BC500" s="21">
        <f>IF(OR(tblsales[[#This Row],[Contract Value USD]]="",tblsales[[#This Row],[Cost Estimate USD]]=""),"",tblsales[[#This Row],[Contract Value USD]]-tblsales[[#This Row],[Cost Estimate USD]])</f>
        <v>1206091.5999999996</v>
      </c>
      <c r="BD500" s="23">
        <f>IF(tblsales[[#This Row],[Invoice Value USD]]="","",tblsales[[#This Row],[Collected Amount USD]]/tblsales[[#This Row],[Invoice Value USD]])</f>
        <v>1.0011472635174319</v>
      </c>
      <c r="BE500" s="11">
        <f>IF(tblsales[[#This Row],[SalesStage]]="Won",1,0)</f>
        <v>1</v>
      </c>
      <c r="BF500" s="21" t="str">
        <f>IF(tblsales[[#This Row],[Win Flag]]=1,"Won","Lost")</f>
        <v>Won</v>
      </c>
      <c r="BG500" s="8"/>
    </row>
    <row r="501" spans="1:59" x14ac:dyDescent="0.3">
      <c r="A501" s="10" t="s">
        <v>5788</v>
      </c>
      <c r="B501" s="9">
        <v>45902</v>
      </c>
      <c r="C501" s="10" t="s">
        <v>251</v>
      </c>
      <c r="D501" s="10" t="s">
        <v>215</v>
      </c>
      <c r="E501" s="10" t="s">
        <v>41</v>
      </c>
      <c r="F501" s="10" t="s">
        <v>350</v>
      </c>
      <c r="G501" s="10" t="s">
        <v>50</v>
      </c>
      <c r="H501" s="10" t="s">
        <v>212</v>
      </c>
      <c r="I501" s="10" t="s">
        <v>233</v>
      </c>
      <c r="J501" s="10" t="s">
        <v>105</v>
      </c>
      <c r="K501" s="10" t="s">
        <v>204</v>
      </c>
      <c r="L501" s="10" t="s">
        <v>3991</v>
      </c>
      <c r="M501" s="9">
        <v>45832</v>
      </c>
      <c r="N501" s="9">
        <v>45927</v>
      </c>
      <c r="O501" s="9">
        <v>46006</v>
      </c>
      <c r="P501" s="11">
        <v>11</v>
      </c>
      <c r="Q501" s="12">
        <v>15567627</v>
      </c>
      <c r="R501">
        <v>4151886.1209</v>
      </c>
      <c r="S501" s="22">
        <v>0.28999999999999998</v>
      </c>
      <c r="T501" s="22">
        <v>7.0000000000000007E-2</v>
      </c>
      <c r="U501" s="12">
        <v>11826726.23</v>
      </c>
      <c r="V501" s="24">
        <v>3154187.8855409999</v>
      </c>
      <c r="W501" s="8">
        <v>10119814.83</v>
      </c>
      <c r="X501" s="24">
        <v>2698954.6151609998</v>
      </c>
      <c r="Y501" s="22">
        <v>0.06</v>
      </c>
      <c r="Z501" s="22">
        <v>0.19</v>
      </c>
      <c r="AA501" s="8" t="s">
        <v>3992</v>
      </c>
      <c r="AB501" s="8">
        <v>1850895.49</v>
      </c>
      <c r="AC501" s="24">
        <v>493633.82718299999</v>
      </c>
      <c r="AD501" s="8">
        <v>1859537.43</v>
      </c>
      <c r="AE501" s="24">
        <v>495938.63258099998</v>
      </c>
      <c r="AF501" s="8">
        <v>30</v>
      </c>
      <c r="AG501" s="8">
        <v>100</v>
      </c>
      <c r="AH501" s="8" t="s">
        <v>347</v>
      </c>
      <c r="AI501" s="8" t="s">
        <v>226</v>
      </c>
      <c r="AJ501" s="22">
        <v>0.18</v>
      </c>
      <c r="AK501" s="8" t="s">
        <v>162</v>
      </c>
      <c r="AL501" s="22">
        <v>0.05</v>
      </c>
      <c r="AM501" s="22">
        <v>0.05</v>
      </c>
      <c r="AN501" s="8">
        <v>6</v>
      </c>
      <c r="AO501" s="8">
        <v>920</v>
      </c>
      <c r="AP501" s="8">
        <v>2276225.69</v>
      </c>
      <c r="AQ501" s="24">
        <v>607069.39152299997</v>
      </c>
      <c r="AR501" s="8">
        <v>2728203.15</v>
      </c>
      <c r="AS501" s="37">
        <v>727611.78010500001</v>
      </c>
      <c r="AT501" s="8" t="s">
        <v>332</v>
      </c>
      <c r="AU501" s="8" t="s">
        <v>330</v>
      </c>
      <c r="AV501" s="8">
        <v>50.4</v>
      </c>
      <c r="AW501" s="8"/>
      <c r="AX501" s="8" t="s">
        <v>392</v>
      </c>
      <c r="AY501" s="8" t="s">
        <v>186</v>
      </c>
      <c r="AZ501" s="8" t="s">
        <v>324</v>
      </c>
      <c r="BA501" s="21">
        <f>IF(OR(tblsales[[#This Row],[Invoice Value USD]]="",tblsales[[#This Row],[Collected Amount USD]]=""),"",tblsales[[#This Row],[Invoice Value USD]]-tblsales[[#This Row],[Collected Amount USD]])</f>
        <v>-2304.8053979999968</v>
      </c>
      <c r="BB501" s="21">
        <f>IF(OR(tblsales[[#This Row],[Contract Value USD]]="",tblsales[[#This Row],[Cost Estimate USD]]=""),"",tblsales[[#This Row],[Contract Value USD]]-tblsales[[#This Row],[Cost Estimate USD]])</f>
        <v>455233.27038000012</v>
      </c>
      <c r="BC501" s="21">
        <f>IF(OR(tblsales[[#This Row],[Contract Value USD]]="",tblsales[[#This Row],[Cost Estimate USD]]=""),"",tblsales[[#This Row],[Contract Value USD]]-tblsales[[#This Row],[Cost Estimate USD]])</f>
        <v>455233.27038000012</v>
      </c>
      <c r="BD501" s="23">
        <f>IF(tblsales[[#This Row],[Invoice Value USD]]="","",tblsales[[#This Row],[Collected Amount USD]]/tblsales[[#This Row],[Invoice Value USD]])</f>
        <v>1.0046690588672837</v>
      </c>
      <c r="BE501" s="11">
        <f>IF(tblsales[[#This Row],[SalesStage]]="Won",1,0)</f>
        <v>0</v>
      </c>
      <c r="BF501" s="21" t="str">
        <f>IF(tblsales[[#This Row],[Win Flag]]=1,"Won","Lost")</f>
        <v>Lost</v>
      </c>
      <c r="BG501" s="8"/>
    </row>
    <row r="502" spans="1:59" x14ac:dyDescent="0.3">
      <c r="A502" s="10" t="s">
        <v>1813</v>
      </c>
      <c r="B502" s="9">
        <v>46052</v>
      </c>
      <c r="C502" s="10" t="s">
        <v>254</v>
      </c>
      <c r="D502" s="10" t="s">
        <v>262</v>
      </c>
      <c r="E502" s="10" t="s">
        <v>20</v>
      </c>
      <c r="F502" s="10" t="s">
        <v>196</v>
      </c>
      <c r="G502" s="10" t="s">
        <v>66</v>
      </c>
      <c r="H502" s="10" t="s">
        <v>182</v>
      </c>
      <c r="I502" s="10" t="s">
        <v>332</v>
      </c>
      <c r="J502" s="10" t="s">
        <v>136</v>
      </c>
      <c r="K502" s="10" t="s">
        <v>199</v>
      </c>
      <c r="L502" s="10" t="s">
        <v>1814</v>
      </c>
      <c r="M502" s="9">
        <v>45975</v>
      </c>
      <c r="N502" s="9" t="s">
        <v>1815</v>
      </c>
      <c r="O502" s="9">
        <v>46026</v>
      </c>
      <c r="P502" s="11">
        <v>26</v>
      </c>
      <c r="Q502" s="12">
        <v>42041477</v>
      </c>
      <c r="R502">
        <v>11447894.187099999</v>
      </c>
      <c r="S502" s="22">
        <v>0.22</v>
      </c>
      <c r="T502" s="22">
        <v>-0.03</v>
      </c>
      <c r="U502" s="12">
        <v>31808581.5</v>
      </c>
      <c r="V502" s="24">
        <v>8661476.7424499989</v>
      </c>
      <c r="W502" s="8">
        <v>26000073.719999999</v>
      </c>
      <c r="X502" s="24">
        <v>7079820.0739559997</v>
      </c>
      <c r="Y502" s="22">
        <v>0.1</v>
      </c>
      <c r="Z502" s="22">
        <v>0.2</v>
      </c>
      <c r="AA502" s="8" t="s">
        <v>1816</v>
      </c>
      <c r="AB502" s="8">
        <v>27209855.960000001</v>
      </c>
      <c r="AC502" s="24">
        <v>7409243.7779080002</v>
      </c>
      <c r="AD502" s="8">
        <v>26783547.41</v>
      </c>
      <c r="AE502" s="24">
        <v>7293159.9597429996</v>
      </c>
      <c r="AF502" s="8">
        <v>30</v>
      </c>
      <c r="AG502" s="8">
        <v>13</v>
      </c>
      <c r="AH502" s="8" t="s">
        <v>347</v>
      </c>
      <c r="AI502" s="8" t="s">
        <v>381</v>
      </c>
      <c r="AJ502" s="22">
        <v>0.68</v>
      </c>
      <c r="AK502" s="8" t="s">
        <v>153</v>
      </c>
      <c r="AL502" s="22">
        <v>0.15</v>
      </c>
      <c r="AM502" s="22">
        <v>0.06</v>
      </c>
      <c r="AN502" s="8">
        <v>6</v>
      </c>
      <c r="AO502" s="8">
        <v>678</v>
      </c>
      <c r="AP502" s="8">
        <v>7835450.4199999999</v>
      </c>
      <c r="AQ502" s="24">
        <v>2133593.1493659997</v>
      </c>
      <c r="AR502" s="8">
        <v>4727572.7</v>
      </c>
      <c r="AS502" s="37">
        <v>1287318.0462100001</v>
      </c>
      <c r="AT502" s="8" t="s">
        <v>391</v>
      </c>
      <c r="AU502" s="8" t="s">
        <v>332</v>
      </c>
      <c r="AV502" s="8">
        <v>77.3</v>
      </c>
      <c r="AW502" s="8">
        <v>24</v>
      </c>
      <c r="AX502" s="8" t="s">
        <v>337</v>
      </c>
      <c r="AY502" s="8" t="s">
        <v>229</v>
      </c>
      <c r="AZ502" s="8" t="s">
        <v>332</v>
      </c>
      <c r="BA502" s="21">
        <f>IF(OR(tblsales[[#This Row],[Invoice Value USD]]="",tblsales[[#This Row],[Collected Amount USD]]=""),"",tblsales[[#This Row],[Invoice Value USD]]-tblsales[[#This Row],[Collected Amount USD]])</f>
        <v>116083.81816500053</v>
      </c>
      <c r="BB502" s="21">
        <f>IF(OR(tblsales[[#This Row],[Contract Value USD]]="",tblsales[[#This Row],[Cost Estimate USD]]=""),"",tblsales[[#This Row],[Contract Value USD]]-tblsales[[#This Row],[Cost Estimate USD]])</f>
        <v>1581656.6684939992</v>
      </c>
      <c r="BC502" s="21">
        <f>IF(OR(tblsales[[#This Row],[Contract Value USD]]="",tblsales[[#This Row],[Cost Estimate USD]]=""),"",tblsales[[#This Row],[Contract Value USD]]-tblsales[[#This Row],[Cost Estimate USD]])</f>
        <v>1581656.6684939992</v>
      </c>
      <c r="BD502" s="23">
        <f>IF(tblsales[[#This Row],[Invoice Value USD]]="","",tblsales[[#This Row],[Collected Amount USD]]/tblsales[[#This Row],[Invoice Value USD]])</f>
        <v>0.98433256866090368</v>
      </c>
      <c r="BE502" s="11">
        <f>IF(tblsales[[#This Row],[SalesStage]]="Won",1,0)</f>
        <v>0</v>
      </c>
      <c r="BF502" s="21" t="str">
        <f>IF(tblsales[[#This Row],[Win Flag]]=1,"Won","Lost")</f>
        <v>Lost</v>
      </c>
      <c r="BG502" s="8"/>
    </row>
    <row r="503" spans="1:59" x14ac:dyDescent="0.3">
      <c r="A503" s="10" t="s">
        <v>1817</v>
      </c>
      <c r="B503" s="9">
        <v>45880</v>
      </c>
      <c r="C503" s="10" t="s">
        <v>286</v>
      </c>
      <c r="D503" s="10" t="s">
        <v>281</v>
      </c>
      <c r="E503" s="10" t="s">
        <v>41</v>
      </c>
      <c r="F503" s="10" t="s">
        <v>228</v>
      </c>
      <c r="G503" s="10" t="s">
        <v>62</v>
      </c>
      <c r="H503" s="10" t="s">
        <v>216</v>
      </c>
      <c r="I503" s="10" t="s">
        <v>203</v>
      </c>
      <c r="J503" s="10" t="s">
        <v>105</v>
      </c>
      <c r="K503" s="10" t="s">
        <v>210</v>
      </c>
      <c r="L503" s="10" t="s">
        <v>1818</v>
      </c>
      <c r="M503" s="9">
        <v>45848</v>
      </c>
      <c r="N503" s="9" t="s">
        <v>1819</v>
      </c>
      <c r="O503" s="9">
        <v>46076</v>
      </c>
      <c r="P503" s="11">
        <v>13</v>
      </c>
      <c r="Q503" s="12">
        <v>16221290</v>
      </c>
      <c r="R503">
        <v>16221290</v>
      </c>
      <c r="S503" s="22">
        <v>0.15</v>
      </c>
      <c r="T503" s="22">
        <v>0</v>
      </c>
      <c r="U503" s="12">
        <v>13788096.5</v>
      </c>
      <c r="V503" s="24">
        <v>13788096.5</v>
      </c>
      <c r="W503" s="8">
        <v>9567648.3399999999</v>
      </c>
      <c r="X503" s="24">
        <v>9567648.3399999999</v>
      </c>
      <c r="Y503" s="22">
        <v>0.2</v>
      </c>
      <c r="Z503" s="22">
        <v>0.09</v>
      </c>
      <c r="AA503" s="8"/>
      <c r="AB503" s="8">
        <v>11390370.34</v>
      </c>
      <c r="AC503" s="24">
        <v>11390370.34</v>
      </c>
      <c r="AD503" s="8">
        <v>8970957.3300000001</v>
      </c>
      <c r="AE503" s="24">
        <v>8970957.3300000001</v>
      </c>
      <c r="AF503" s="8">
        <v>30</v>
      </c>
      <c r="AG503" s="8">
        <v>106</v>
      </c>
      <c r="AH503" s="8" t="s">
        <v>329</v>
      </c>
      <c r="AI503" s="8" t="s">
        <v>381</v>
      </c>
      <c r="AJ503" s="22">
        <v>0.85</v>
      </c>
      <c r="AK503" s="8" t="s">
        <v>152</v>
      </c>
      <c r="AL503" s="22">
        <v>0.1</v>
      </c>
      <c r="AM503" s="22">
        <v>0.03</v>
      </c>
      <c r="AN503" s="8">
        <v>7</v>
      </c>
      <c r="AO503" s="8">
        <v>4451</v>
      </c>
      <c r="AP503" s="8">
        <v>634005.53</v>
      </c>
      <c r="AQ503" s="24">
        <v>634005.53</v>
      </c>
      <c r="AR503" s="8">
        <v>2019386.9</v>
      </c>
      <c r="AS503" s="37">
        <v>2019386.9</v>
      </c>
      <c r="AT503" s="8" t="s">
        <v>391</v>
      </c>
      <c r="AU503" s="8" t="s">
        <v>386</v>
      </c>
      <c r="AV503" s="8">
        <v>63.9</v>
      </c>
      <c r="AW503" s="8">
        <v>24</v>
      </c>
      <c r="AX503" s="8" t="s">
        <v>337</v>
      </c>
      <c r="AY503" s="8" t="s">
        <v>206</v>
      </c>
      <c r="AZ503" s="8" t="s">
        <v>332</v>
      </c>
      <c r="BA503" s="21">
        <f>IF(OR(tblsales[[#This Row],[Invoice Value USD]]="",tblsales[[#This Row],[Collected Amount USD]]=""),"",tblsales[[#This Row],[Invoice Value USD]]-tblsales[[#This Row],[Collected Amount USD]])</f>
        <v>2419413.0099999998</v>
      </c>
      <c r="BB503" s="21">
        <f>IF(OR(tblsales[[#This Row],[Contract Value USD]]="",tblsales[[#This Row],[Cost Estimate USD]]=""),"",tblsales[[#This Row],[Contract Value USD]]-tblsales[[#This Row],[Cost Estimate USD]])</f>
        <v>4220448.16</v>
      </c>
      <c r="BC503" s="21">
        <f>IF(OR(tblsales[[#This Row],[Contract Value USD]]="",tblsales[[#This Row],[Cost Estimate USD]]=""),"",tblsales[[#This Row],[Contract Value USD]]-tblsales[[#This Row],[Cost Estimate USD]])</f>
        <v>4220448.16</v>
      </c>
      <c r="BD503" s="23">
        <f>IF(tblsales[[#This Row],[Invoice Value USD]]="","",tblsales[[#This Row],[Collected Amount USD]]/tblsales[[#This Row],[Invoice Value USD]])</f>
        <v>0.78759136553236953</v>
      </c>
      <c r="BE503" s="11">
        <f>IF(tblsales[[#This Row],[SalesStage]]="Won",1,0)</f>
        <v>0</v>
      </c>
      <c r="BF503" s="21" t="str">
        <f>IF(tblsales[[#This Row],[Win Flag]]=1,"Won","Lost")</f>
        <v>Lost</v>
      </c>
      <c r="BG503" s="8"/>
    </row>
    <row r="504" spans="1:59" x14ac:dyDescent="0.3">
      <c r="A504" s="10" t="s">
        <v>1820</v>
      </c>
      <c r="B504" s="9">
        <v>45670</v>
      </c>
      <c r="C504" s="10" t="s">
        <v>279</v>
      </c>
      <c r="D504" s="10" t="s">
        <v>255</v>
      </c>
      <c r="E504" s="10" t="s">
        <v>113</v>
      </c>
      <c r="F504" s="10" t="s">
        <v>367</v>
      </c>
      <c r="G504" s="10" t="s">
        <v>73</v>
      </c>
      <c r="H504" s="10" t="s">
        <v>182</v>
      </c>
      <c r="I504" s="10" t="s">
        <v>198</v>
      </c>
      <c r="J504" s="10" t="s">
        <v>111</v>
      </c>
      <c r="K504" s="10" t="s">
        <v>204</v>
      </c>
      <c r="L504" s="10" t="s">
        <v>1821</v>
      </c>
      <c r="M504" s="9">
        <v>45646</v>
      </c>
      <c r="N504" s="9"/>
      <c r="O504" s="9">
        <v>45720</v>
      </c>
      <c r="P504" s="11">
        <v>16</v>
      </c>
      <c r="Q504" s="12">
        <v>21706684</v>
      </c>
      <c r="R504">
        <v>25201460.124000002</v>
      </c>
      <c r="S504" s="22">
        <v>0.2</v>
      </c>
      <c r="T504" s="22">
        <v>7.0000000000000007E-2</v>
      </c>
      <c r="U504" s="12">
        <v>18580921.5</v>
      </c>
      <c r="V504" s="24">
        <v>21572449.861500002</v>
      </c>
      <c r="W504" s="8">
        <v>12954623.4</v>
      </c>
      <c r="X504" s="24">
        <v>15040317.7674</v>
      </c>
      <c r="Y504" s="22">
        <v>0.24</v>
      </c>
      <c r="Z504" s="22">
        <v>0.05</v>
      </c>
      <c r="AA504" s="8" t="s">
        <v>1822</v>
      </c>
      <c r="AB504" s="8">
        <v>14210214.449999999</v>
      </c>
      <c r="AC504" s="24">
        <v>16498058.97645</v>
      </c>
      <c r="AD504" s="8">
        <v>7869776.21</v>
      </c>
      <c r="AE504" s="24">
        <v>9136810.1798100006</v>
      </c>
      <c r="AF504" s="8">
        <v>60</v>
      </c>
      <c r="AG504" s="8">
        <v>153</v>
      </c>
      <c r="AH504" s="8" t="s">
        <v>376</v>
      </c>
      <c r="AI504" s="8" t="s">
        <v>406</v>
      </c>
      <c r="AJ504" s="22">
        <v>0.68</v>
      </c>
      <c r="AK504" s="8" t="s">
        <v>159</v>
      </c>
      <c r="AL504" s="22">
        <v>0.15</v>
      </c>
      <c r="AM504" s="22">
        <v>0.02</v>
      </c>
      <c r="AN504" s="8">
        <v>12</v>
      </c>
      <c r="AO504" s="8">
        <v>1872</v>
      </c>
      <c r="AP504" s="8">
        <v>4517754.25</v>
      </c>
      <c r="AQ504" s="24">
        <v>5245112.6842499999</v>
      </c>
      <c r="AR504" s="8">
        <v>3311606.01</v>
      </c>
      <c r="AS504" s="37">
        <v>3844774.57761</v>
      </c>
      <c r="AT504" s="8" t="s">
        <v>391</v>
      </c>
      <c r="AU504" s="8" t="s">
        <v>348</v>
      </c>
      <c r="AV504" s="8">
        <v>82.9</v>
      </c>
      <c r="AW504" s="8">
        <v>48</v>
      </c>
      <c r="AX504" s="8" t="s">
        <v>323</v>
      </c>
      <c r="AY504" s="8" t="s">
        <v>229</v>
      </c>
      <c r="AZ504" s="8" t="s">
        <v>324</v>
      </c>
      <c r="BA504" s="21">
        <f>IF(OR(tblsales[[#This Row],[Invoice Value USD]]="",tblsales[[#This Row],[Collected Amount USD]]=""),"",tblsales[[#This Row],[Invoice Value USD]]-tblsales[[#This Row],[Collected Amount USD]])</f>
        <v>7361248.7966399994</v>
      </c>
      <c r="BB504" s="21">
        <f>IF(OR(tblsales[[#This Row],[Contract Value USD]]="",tblsales[[#This Row],[Cost Estimate USD]]=""),"",tblsales[[#This Row],[Contract Value USD]]-tblsales[[#This Row],[Cost Estimate USD]])</f>
        <v>6532132.0941000022</v>
      </c>
      <c r="BC504" s="21">
        <f>IF(OR(tblsales[[#This Row],[Contract Value USD]]="",tblsales[[#This Row],[Cost Estimate USD]]=""),"",tblsales[[#This Row],[Contract Value USD]]-tblsales[[#This Row],[Cost Estimate USD]])</f>
        <v>6532132.0941000022</v>
      </c>
      <c r="BD504" s="23">
        <f>IF(tblsales[[#This Row],[Invoice Value USD]]="","",tblsales[[#This Row],[Collected Amount USD]]/tblsales[[#This Row],[Invoice Value USD]])</f>
        <v>0.55381122063221222</v>
      </c>
      <c r="BE504" s="11">
        <f>IF(tblsales[[#This Row],[SalesStage]]="Won",1,0)</f>
        <v>0</v>
      </c>
      <c r="BF504" s="21" t="str">
        <f>IF(tblsales[[#This Row],[Win Flag]]=1,"Won","Lost")</f>
        <v>Lost</v>
      </c>
      <c r="BG504" s="8"/>
    </row>
    <row r="505" spans="1:59" x14ac:dyDescent="0.3">
      <c r="A505" s="10" t="s">
        <v>1823</v>
      </c>
      <c r="B505" s="9">
        <v>45795</v>
      </c>
      <c r="C505" s="10" t="s">
        <v>282</v>
      </c>
      <c r="D505" s="10" t="s">
        <v>232</v>
      </c>
      <c r="E505" s="10" t="s">
        <v>36</v>
      </c>
      <c r="F505" s="10" t="s">
        <v>339</v>
      </c>
      <c r="G505" s="10" t="s">
        <v>66</v>
      </c>
      <c r="H505" s="10" t="s">
        <v>212</v>
      </c>
      <c r="I505" s="10" t="s">
        <v>233</v>
      </c>
      <c r="J505" s="10" t="s">
        <v>115</v>
      </c>
      <c r="K505" s="10" t="s">
        <v>326</v>
      </c>
      <c r="L505" s="10" t="s">
        <v>1824</v>
      </c>
      <c r="M505" s="9">
        <v>45842</v>
      </c>
      <c r="N505" s="9">
        <v>45827</v>
      </c>
      <c r="O505" s="9">
        <v>45876</v>
      </c>
      <c r="P505" s="11">
        <v>38</v>
      </c>
      <c r="Q505" s="12">
        <v>45980971</v>
      </c>
      <c r="R505">
        <v>45980971</v>
      </c>
      <c r="S505" s="22"/>
      <c r="T505" s="22">
        <v>-0.03</v>
      </c>
      <c r="U505" s="12">
        <v>42817480.200000003</v>
      </c>
      <c r="V505" s="24">
        <v>42817480.200000003</v>
      </c>
      <c r="W505" s="8">
        <v>31680708.989999998</v>
      </c>
      <c r="X505" s="24">
        <v>31680708.989999998</v>
      </c>
      <c r="Y505" s="22">
        <v>0.34</v>
      </c>
      <c r="Z505" s="22">
        <v>0.08</v>
      </c>
      <c r="AA505" s="8" t="s">
        <v>1825</v>
      </c>
      <c r="AB505" s="8">
        <v>26722416.149999999</v>
      </c>
      <c r="AC505" s="24">
        <v>26722416.149999999</v>
      </c>
      <c r="AD505" s="8">
        <v>29130405.25</v>
      </c>
      <c r="AE505" s="24">
        <v>29130405.25</v>
      </c>
      <c r="AF505" s="8">
        <v>90</v>
      </c>
      <c r="AG505" s="8">
        <v>4</v>
      </c>
      <c r="AH505" s="8" t="s">
        <v>376</v>
      </c>
      <c r="AI505" s="8" t="s">
        <v>455</v>
      </c>
      <c r="AJ505" s="22">
        <v>0.26</v>
      </c>
      <c r="AK505" s="8" t="s">
        <v>152</v>
      </c>
      <c r="AL505" s="22">
        <v>0.15</v>
      </c>
      <c r="AM505" s="22">
        <v>0.05</v>
      </c>
      <c r="AN505" s="8">
        <v>11</v>
      </c>
      <c r="AO505" s="8">
        <v>1670</v>
      </c>
      <c r="AP505" s="8">
        <v>7126354.7800000003</v>
      </c>
      <c r="AQ505" s="24">
        <v>7126354.7800000003</v>
      </c>
      <c r="AR505" s="8">
        <v>11590849.039999999</v>
      </c>
      <c r="AS505" s="37">
        <v>11590849.039999999</v>
      </c>
      <c r="AT505" s="8" t="s">
        <v>385</v>
      </c>
      <c r="AU505" s="8" t="s">
        <v>321</v>
      </c>
      <c r="AV505" s="8"/>
      <c r="AW505" s="8">
        <v>36</v>
      </c>
      <c r="AX505" s="8" t="s">
        <v>323</v>
      </c>
      <c r="AY505" s="8" t="s">
        <v>192</v>
      </c>
      <c r="AZ505" s="8" t="s">
        <v>377</v>
      </c>
      <c r="BA505" s="21">
        <f>IF(OR(tblsales[[#This Row],[Invoice Value USD]]="",tblsales[[#This Row],[Collected Amount USD]]=""),"",tblsales[[#This Row],[Invoice Value USD]]-tblsales[[#This Row],[Collected Amount USD]])</f>
        <v>-2407989.1000000015</v>
      </c>
      <c r="BB505" s="21">
        <f>IF(OR(tblsales[[#This Row],[Contract Value USD]]="",tblsales[[#This Row],[Cost Estimate USD]]=""),"",tblsales[[#This Row],[Contract Value USD]]-tblsales[[#This Row],[Cost Estimate USD]])</f>
        <v>11136771.210000005</v>
      </c>
      <c r="BC505" s="21">
        <f>IF(OR(tblsales[[#This Row],[Contract Value USD]]="",tblsales[[#This Row],[Cost Estimate USD]]=""),"",tblsales[[#This Row],[Contract Value USD]]-tblsales[[#This Row],[Cost Estimate USD]])</f>
        <v>11136771.210000005</v>
      </c>
      <c r="BD505" s="23">
        <f>IF(tblsales[[#This Row],[Invoice Value USD]]="","",tblsales[[#This Row],[Collected Amount USD]]/tblsales[[#This Row],[Invoice Value USD]])</f>
        <v>1.0901112042594996</v>
      </c>
      <c r="BE505" s="11">
        <f>IF(tblsales[[#This Row],[SalesStage]]="Won",1,0)</f>
        <v>0</v>
      </c>
      <c r="BF505" s="21" t="str">
        <f>IF(tblsales[[#This Row],[Win Flag]]=1,"Won","Lost")</f>
        <v>Lost</v>
      </c>
      <c r="BG505" s="8"/>
    </row>
    <row r="506" spans="1:59" x14ac:dyDescent="0.3">
      <c r="A506" s="10" t="s">
        <v>1826</v>
      </c>
      <c r="B506" s="9">
        <v>45973</v>
      </c>
      <c r="C506" s="10" t="s">
        <v>247</v>
      </c>
      <c r="D506" s="10" t="s">
        <v>190</v>
      </c>
      <c r="E506" s="10" t="s">
        <v>332</v>
      </c>
      <c r="F506" s="10" t="s">
        <v>350</v>
      </c>
      <c r="G506" s="10" t="s">
        <v>66</v>
      </c>
      <c r="H506" s="10" t="s">
        <v>182</v>
      </c>
      <c r="I506" s="10" t="s">
        <v>213</v>
      </c>
      <c r="J506" s="10" t="s">
        <v>130</v>
      </c>
      <c r="K506" s="10" t="s">
        <v>210</v>
      </c>
      <c r="L506" s="10" t="s">
        <v>1827</v>
      </c>
      <c r="M506" s="9">
        <v>45884</v>
      </c>
      <c r="N506" s="9">
        <v>46022</v>
      </c>
      <c r="O506" s="9">
        <v>46019</v>
      </c>
      <c r="P506" s="11">
        <v>16</v>
      </c>
      <c r="Q506" s="12">
        <v>30344571</v>
      </c>
      <c r="R506">
        <v>30344571</v>
      </c>
      <c r="S506" s="22">
        <v>0.3</v>
      </c>
      <c r="T506" s="22">
        <v>0.09</v>
      </c>
      <c r="U506" s="12">
        <v>23152907.670000002</v>
      </c>
      <c r="V506" s="24">
        <v>23152907.670000002</v>
      </c>
      <c r="W506" s="8">
        <v>13981102.58</v>
      </c>
      <c r="X506" s="24">
        <v>13981102.58</v>
      </c>
      <c r="Y506" s="22">
        <v>0.4</v>
      </c>
      <c r="Z506" s="22">
        <v>7.0000000000000007E-2</v>
      </c>
      <c r="AA506" s="8" t="s">
        <v>1828</v>
      </c>
      <c r="AB506" s="8">
        <v>3868103.77</v>
      </c>
      <c r="AC506" s="24">
        <v>3868103.77</v>
      </c>
      <c r="AD506" s="8"/>
      <c r="AE506" s="24"/>
      <c r="AF506" s="8">
        <v>30</v>
      </c>
      <c r="AG506" s="8">
        <v>112</v>
      </c>
      <c r="AH506" s="8" t="s">
        <v>342</v>
      </c>
      <c r="AI506" s="8" t="s">
        <v>226</v>
      </c>
      <c r="AJ506" s="22">
        <v>0.69</v>
      </c>
      <c r="AK506" s="8" t="s">
        <v>152</v>
      </c>
      <c r="AL506" s="22">
        <v>0.05</v>
      </c>
      <c r="AM506" s="22">
        <v>0.05</v>
      </c>
      <c r="AN506" s="8">
        <v>13</v>
      </c>
      <c r="AO506" s="8"/>
      <c r="AP506" s="8">
        <v>4029140.21</v>
      </c>
      <c r="AQ506" s="24">
        <v>4029140.21</v>
      </c>
      <c r="AR506" s="8">
        <v>10438769.27</v>
      </c>
      <c r="AS506" s="37">
        <v>10438769.27</v>
      </c>
      <c r="AT506" s="8" t="s">
        <v>343</v>
      </c>
      <c r="AU506" s="8" t="s">
        <v>322</v>
      </c>
      <c r="AV506" s="8">
        <v>57.7</v>
      </c>
      <c r="AW506" s="8">
        <v>24</v>
      </c>
      <c r="AX506" s="8" t="s">
        <v>332</v>
      </c>
      <c r="AY506" s="8" t="s">
        <v>206</v>
      </c>
      <c r="AZ506" s="8" t="s">
        <v>332</v>
      </c>
      <c r="BA506" s="21" t="str">
        <f>IF(OR(tblsales[[#This Row],[Invoice Value USD]]="",tblsales[[#This Row],[Collected Amount USD]]=""),"",tblsales[[#This Row],[Invoice Value USD]]-tblsales[[#This Row],[Collected Amount USD]])</f>
        <v/>
      </c>
      <c r="BB506" s="21">
        <f>IF(OR(tblsales[[#This Row],[Contract Value USD]]="",tblsales[[#This Row],[Cost Estimate USD]]=""),"",tblsales[[#This Row],[Contract Value USD]]-tblsales[[#This Row],[Cost Estimate USD]])</f>
        <v>9171805.0900000017</v>
      </c>
      <c r="BC506" s="21">
        <f>IF(OR(tblsales[[#This Row],[Contract Value USD]]="",tblsales[[#This Row],[Cost Estimate USD]]=""),"",tblsales[[#This Row],[Contract Value USD]]-tblsales[[#This Row],[Cost Estimate USD]])</f>
        <v>9171805.0900000017</v>
      </c>
      <c r="BD506" s="23">
        <f>IF(tblsales[[#This Row],[Invoice Value USD]]="","",tblsales[[#This Row],[Collected Amount USD]]/tblsales[[#This Row],[Invoice Value USD]])</f>
        <v>0</v>
      </c>
      <c r="BE506" s="11">
        <f>IF(tblsales[[#This Row],[SalesStage]]="Won",1,0)</f>
        <v>0</v>
      </c>
      <c r="BF506" s="21" t="str">
        <f>IF(tblsales[[#This Row],[Win Flag]]=1,"Won","Lost")</f>
        <v>Lost</v>
      </c>
      <c r="BG506" s="8"/>
    </row>
    <row r="507" spans="1:59" x14ac:dyDescent="0.3">
      <c r="A507" s="10" t="s">
        <v>1829</v>
      </c>
      <c r="B507" s="9">
        <v>45730</v>
      </c>
      <c r="C507" s="10" t="s">
        <v>189</v>
      </c>
      <c r="D507" s="10" t="s">
        <v>238</v>
      </c>
      <c r="E507" s="10" t="s">
        <v>36</v>
      </c>
      <c r="F507" s="10" t="s">
        <v>19</v>
      </c>
      <c r="G507" s="10" t="s">
        <v>16</v>
      </c>
      <c r="H507" s="10" t="s">
        <v>216</v>
      </c>
      <c r="I507" s="10" t="s">
        <v>183</v>
      </c>
      <c r="J507" s="10" t="s">
        <v>115</v>
      </c>
      <c r="K507" s="10" t="s">
        <v>199</v>
      </c>
      <c r="L507" s="10" t="s">
        <v>1830</v>
      </c>
      <c r="M507" s="9">
        <v>45683</v>
      </c>
      <c r="N507" s="9">
        <v>45736</v>
      </c>
      <c r="O507" s="9">
        <v>45772</v>
      </c>
      <c r="P507" s="11">
        <v>12</v>
      </c>
      <c r="Q507" s="12">
        <v>37798033</v>
      </c>
      <c r="R507">
        <v>10292404.3859</v>
      </c>
      <c r="S507" s="22">
        <v>0.02</v>
      </c>
      <c r="T507" s="22">
        <v>0.1</v>
      </c>
      <c r="U507" s="12">
        <v>40746279.57</v>
      </c>
      <c r="V507" s="24">
        <v>11095211.926911</v>
      </c>
      <c r="W507" s="8">
        <v>29494693.539999999</v>
      </c>
      <c r="X507" s="24">
        <v>8031405.0509419991</v>
      </c>
      <c r="Y507" s="22">
        <v>0.23</v>
      </c>
      <c r="Z507" s="22">
        <v>0.14000000000000001</v>
      </c>
      <c r="AA507" s="8" t="s">
        <v>1831</v>
      </c>
      <c r="AB507" s="8">
        <v>32210752.48</v>
      </c>
      <c r="AC507" s="24">
        <v>8770987.900303999</v>
      </c>
      <c r="AD507" s="8">
        <v>27945126.789999999</v>
      </c>
      <c r="AE507" s="24">
        <v>7609458.024916999</v>
      </c>
      <c r="AF507" s="8">
        <v>45</v>
      </c>
      <c r="AG507" s="8">
        <v>32</v>
      </c>
      <c r="AH507" s="8" t="s">
        <v>353</v>
      </c>
      <c r="AI507" s="8" t="s">
        <v>381</v>
      </c>
      <c r="AJ507" s="22">
        <v>0.45</v>
      </c>
      <c r="AK507" s="8" t="s">
        <v>153</v>
      </c>
      <c r="AL507" s="22">
        <v>0.1</v>
      </c>
      <c r="AM507" s="22">
        <v>7.0000000000000007E-2</v>
      </c>
      <c r="AN507" s="8">
        <v>15</v>
      </c>
      <c r="AO507" s="8">
        <v>3351</v>
      </c>
      <c r="AP507" s="8">
        <v>9982501.2699999996</v>
      </c>
      <c r="AQ507" s="24">
        <v>2718235.0958209997</v>
      </c>
      <c r="AR507" s="8">
        <v>15985709.01</v>
      </c>
      <c r="AS507" s="37">
        <v>4352908.5634229993</v>
      </c>
      <c r="AT507" s="8" t="s">
        <v>355</v>
      </c>
      <c r="AU507" s="8" t="s">
        <v>386</v>
      </c>
      <c r="AV507" s="8"/>
      <c r="AW507" s="8">
        <v>12</v>
      </c>
      <c r="AX507" s="8" t="s">
        <v>337</v>
      </c>
      <c r="AY507" s="8" t="s">
        <v>224</v>
      </c>
      <c r="AZ507" s="8" t="s">
        <v>357</v>
      </c>
      <c r="BA507" s="21">
        <f>IF(OR(tblsales[[#This Row],[Invoice Value USD]]="",tblsales[[#This Row],[Collected Amount USD]]=""),"",tblsales[[#This Row],[Invoice Value USD]]-tblsales[[#This Row],[Collected Amount USD]])</f>
        <v>1161529.8753869999</v>
      </c>
      <c r="BB507" s="21">
        <f>IF(OR(tblsales[[#This Row],[Contract Value USD]]="",tblsales[[#This Row],[Cost Estimate USD]]=""),"",tblsales[[#This Row],[Contract Value USD]]-tblsales[[#This Row],[Cost Estimate USD]])</f>
        <v>3063806.8759690011</v>
      </c>
      <c r="BC507" s="21">
        <f>IF(OR(tblsales[[#This Row],[Contract Value USD]]="",tblsales[[#This Row],[Cost Estimate USD]]=""),"",tblsales[[#This Row],[Contract Value USD]]-tblsales[[#This Row],[Cost Estimate USD]])</f>
        <v>3063806.8759690011</v>
      </c>
      <c r="BD507" s="23">
        <f>IF(tblsales[[#This Row],[Invoice Value USD]]="","",tblsales[[#This Row],[Collected Amount USD]]/tblsales[[#This Row],[Invoice Value USD]])</f>
        <v>0.86757137410407992</v>
      </c>
      <c r="BE507" s="11">
        <f>IF(tblsales[[#This Row],[SalesStage]]="Won",1,0)</f>
        <v>0</v>
      </c>
      <c r="BF507" s="21" t="str">
        <f>IF(tblsales[[#This Row],[Win Flag]]=1,"Won","Lost")</f>
        <v>Lost</v>
      </c>
      <c r="BG507" s="8"/>
    </row>
    <row r="508" spans="1:59" x14ac:dyDescent="0.3">
      <c r="A508" s="10" t="s">
        <v>1832</v>
      </c>
      <c r="B508" s="9">
        <v>45726</v>
      </c>
      <c r="C508" s="10" t="s">
        <v>283</v>
      </c>
      <c r="D508" s="10" t="s">
        <v>215</v>
      </c>
      <c r="E508" s="10" t="s">
        <v>41</v>
      </c>
      <c r="F508" s="10" t="s">
        <v>228</v>
      </c>
      <c r="G508" s="10" t="s">
        <v>38</v>
      </c>
      <c r="H508" s="10" t="s">
        <v>332</v>
      </c>
      <c r="I508" s="10" t="s">
        <v>198</v>
      </c>
      <c r="J508" s="10" t="s">
        <v>130</v>
      </c>
      <c r="K508" s="10" t="s">
        <v>223</v>
      </c>
      <c r="L508" s="10" t="s">
        <v>1833</v>
      </c>
      <c r="M508" s="9">
        <v>45696</v>
      </c>
      <c r="N508" s="9">
        <v>45769</v>
      </c>
      <c r="O508" s="9">
        <v>45844</v>
      </c>
      <c r="P508" s="11">
        <v>38</v>
      </c>
      <c r="Q508" s="12">
        <v>44536069</v>
      </c>
      <c r="R508">
        <v>44536069</v>
      </c>
      <c r="S508" s="22">
        <v>0.28000000000000003</v>
      </c>
      <c r="T508" s="22">
        <v>0.09</v>
      </c>
      <c r="U508" s="12">
        <v>34951906.950000003</v>
      </c>
      <c r="V508" s="24">
        <v>34951906.950000003</v>
      </c>
      <c r="W508" s="8">
        <v>25184938.5</v>
      </c>
      <c r="X508" s="24">
        <v>25184938.5</v>
      </c>
      <c r="Y508" s="22">
        <v>0.39</v>
      </c>
      <c r="Z508" s="22">
        <v>0.09</v>
      </c>
      <c r="AA508" s="8" t="s">
        <v>1834</v>
      </c>
      <c r="AB508" s="8">
        <v>3173460.8</v>
      </c>
      <c r="AC508" s="24">
        <v>3173460.8</v>
      </c>
      <c r="AD508" s="8">
        <v>2229583.0099999998</v>
      </c>
      <c r="AE508" s="24">
        <v>2229583.0099999998</v>
      </c>
      <c r="AF508" s="8">
        <v>120</v>
      </c>
      <c r="AG508" s="8">
        <v>50</v>
      </c>
      <c r="AH508" s="8" t="s">
        <v>347</v>
      </c>
      <c r="AI508" s="8" t="s">
        <v>226</v>
      </c>
      <c r="AJ508" s="22">
        <v>0.98</v>
      </c>
      <c r="AK508" s="8" t="s">
        <v>152</v>
      </c>
      <c r="AL508" s="22">
        <v>0.15</v>
      </c>
      <c r="AM508" s="22">
        <v>0.05</v>
      </c>
      <c r="AN508" s="8">
        <v>9</v>
      </c>
      <c r="AO508" s="8">
        <v>2948</v>
      </c>
      <c r="AP508" s="8">
        <v>4988991.6900000004</v>
      </c>
      <c r="AQ508" s="24">
        <v>4988991.6900000004</v>
      </c>
      <c r="AR508" s="8">
        <v>3592959.12</v>
      </c>
      <c r="AS508" s="37">
        <v>3592959.12</v>
      </c>
      <c r="AT508" s="8" t="s">
        <v>355</v>
      </c>
      <c r="AU508" s="8" t="s">
        <v>348</v>
      </c>
      <c r="AV508" s="8"/>
      <c r="AW508" s="8">
        <v>48</v>
      </c>
      <c r="AX508" s="8" t="s">
        <v>323</v>
      </c>
      <c r="AY508" s="8" t="s">
        <v>224</v>
      </c>
      <c r="AZ508" s="8" t="s">
        <v>332</v>
      </c>
      <c r="BA508" s="21">
        <f>IF(OR(tblsales[[#This Row],[Invoice Value USD]]="",tblsales[[#This Row],[Collected Amount USD]]=""),"",tblsales[[#This Row],[Invoice Value USD]]-tblsales[[#This Row],[Collected Amount USD]])</f>
        <v>943877.79</v>
      </c>
      <c r="BB508" s="21">
        <f>IF(OR(tblsales[[#This Row],[Contract Value USD]]="",tblsales[[#This Row],[Cost Estimate USD]]=""),"",tblsales[[#This Row],[Contract Value USD]]-tblsales[[#This Row],[Cost Estimate USD]])</f>
        <v>9766968.450000003</v>
      </c>
      <c r="BC508" s="21">
        <f>IF(OR(tblsales[[#This Row],[Contract Value USD]]="",tblsales[[#This Row],[Cost Estimate USD]]=""),"",tblsales[[#This Row],[Contract Value USD]]-tblsales[[#This Row],[Cost Estimate USD]])</f>
        <v>9766968.450000003</v>
      </c>
      <c r="BD508" s="23">
        <f>IF(tblsales[[#This Row],[Invoice Value USD]]="","",tblsales[[#This Row],[Collected Amount USD]]/tblsales[[#This Row],[Invoice Value USD]])</f>
        <v>0.70257146708728835</v>
      </c>
      <c r="BE508" s="11">
        <f>IF(tblsales[[#This Row],[SalesStage]]="Won",1,0)</f>
        <v>0</v>
      </c>
      <c r="BF508" s="21" t="str">
        <f>IF(tblsales[[#This Row],[Win Flag]]=1,"Won","Lost")</f>
        <v>Lost</v>
      </c>
      <c r="BG508" s="8"/>
    </row>
    <row r="509" spans="1:59" x14ac:dyDescent="0.3">
      <c r="A509" s="10" t="s">
        <v>1835</v>
      </c>
      <c r="B509" s="9">
        <v>45692</v>
      </c>
      <c r="C509" s="10" t="s">
        <v>214</v>
      </c>
      <c r="D509" s="10" t="s">
        <v>238</v>
      </c>
      <c r="E509" s="10" t="s">
        <v>20</v>
      </c>
      <c r="F509" s="10" t="s">
        <v>35</v>
      </c>
      <c r="G509" s="10" t="s">
        <v>46</v>
      </c>
      <c r="H509" s="10" t="s">
        <v>263</v>
      </c>
      <c r="I509" s="10" t="s">
        <v>233</v>
      </c>
      <c r="J509" s="10" t="s">
        <v>136</v>
      </c>
      <c r="K509" s="10" t="s">
        <v>199</v>
      </c>
      <c r="L509" s="10" t="s">
        <v>1836</v>
      </c>
      <c r="M509" s="9">
        <v>45902</v>
      </c>
      <c r="N509" s="9">
        <v>45965</v>
      </c>
      <c r="O509" s="9">
        <v>45997</v>
      </c>
      <c r="P509" s="11"/>
      <c r="Q509" s="12">
        <v>41079512</v>
      </c>
      <c r="R509">
        <v>47693313.432000004</v>
      </c>
      <c r="S509" s="22">
        <v>0.35</v>
      </c>
      <c r="T509" s="22">
        <v>0.01</v>
      </c>
      <c r="U509" s="12">
        <v>26968699.629999999</v>
      </c>
      <c r="V509" s="24">
        <v>31310660.270429999</v>
      </c>
      <c r="W509" s="8">
        <v>20626947.399999999</v>
      </c>
      <c r="X509" s="24">
        <v>23947885.931399997</v>
      </c>
      <c r="Y509" s="22">
        <v>0.35</v>
      </c>
      <c r="Z509" s="22">
        <v>0.2</v>
      </c>
      <c r="AA509" s="8"/>
      <c r="AB509" s="8">
        <v>23292504.170000002</v>
      </c>
      <c r="AC509" s="24">
        <v>27042597.341370001</v>
      </c>
      <c r="AD509" s="8">
        <v>13108588.640000001</v>
      </c>
      <c r="AE509" s="24">
        <v>15219071.411040001</v>
      </c>
      <c r="AF509" s="8">
        <v>60</v>
      </c>
      <c r="AG509" s="8">
        <v>170</v>
      </c>
      <c r="AH509" s="8" t="s">
        <v>347</v>
      </c>
      <c r="AI509" s="8" t="s">
        <v>354</v>
      </c>
      <c r="AJ509" s="22">
        <v>0.74</v>
      </c>
      <c r="AK509" s="8" t="s">
        <v>159</v>
      </c>
      <c r="AL509" s="22">
        <v>0.15</v>
      </c>
      <c r="AM509" s="22">
        <v>0.09</v>
      </c>
      <c r="AN509" s="8">
        <v>1</v>
      </c>
      <c r="AO509" s="8">
        <v>1385</v>
      </c>
      <c r="AP509" s="8">
        <v>5356392.54</v>
      </c>
      <c r="AQ509" s="24">
        <v>6218771.7389400005</v>
      </c>
      <c r="AR509" s="8">
        <v>10348644.18</v>
      </c>
      <c r="AS509" s="37">
        <v>12014775.89298</v>
      </c>
      <c r="AT509" s="8" t="s">
        <v>385</v>
      </c>
      <c r="AU509" s="8" t="s">
        <v>348</v>
      </c>
      <c r="AV509" s="8">
        <v>97.4</v>
      </c>
      <c r="AW509" s="8">
        <v>48</v>
      </c>
      <c r="AX509" s="8" t="s">
        <v>332</v>
      </c>
      <c r="AY509" s="8" t="s">
        <v>229</v>
      </c>
      <c r="AZ509" s="8" t="s">
        <v>357</v>
      </c>
      <c r="BA509" s="21">
        <f>IF(OR(tblsales[[#This Row],[Invoice Value USD]]="",tblsales[[#This Row],[Collected Amount USD]]=""),"",tblsales[[#This Row],[Invoice Value USD]]-tblsales[[#This Row],[Collected Amount USD]])</f>
        <v>11823525.930330001</v>
      </c>
      <c r="BB509" s="21">
        <f>IF(OR(tblsales[[#This Row],[Contract Value USD]]="",tblsales[[#This Row],[Cost Estimate USD]]=""),"",tblsales[[#This Row],[Contract Value USD]]-tblsales[[#This Row],[Cost Estimate USD]])</f>
        <v>7362774.3390300013</v>
      </c>
      <c r="BC509" s="21">
        <f>IF(OR(tblsales[[#This Row],[Contract Value USD]]="",tblsales[[#This Row],[Cost Estimate USD]]=""),"",tblsales[[#This Row],[Contract Value USD]]-tblsales[[#This Row],[Cost Estimate USD]])</f>
        <v>7362774.3390300013</v>
      </c>
      <c r="BD509" s="23">
        <f>IF(tblsales[[#This Row],[Invoice Value USD]]="","",tblsales[[#This Row],[Collected Amount USD]]/tblsales[[#This Row],[Invoice Value USD]])</f>
        <v>0.5627814229130178</v>
      </c>
      <c r="BE509" s="11">
        <f>IF(tblsales[[#This Row],[SalesStage]]="Won",1,0)</f>
        <v>0</v>
      </c>
      <c r="BF509" s="21" t="str">
        <f>IF(tblsales[[#This Row],[Win Flag]]=1,"Won","Lost")</f>
        <v>Lost</v>
      </c>
      <c r="BG509" s="8"/>
    </row>
    <row r="510" spans="1:59" x14ac:dyDescent="0.3">
      <c r="A510" s="10" t="s">
        <v>1837</v>
      </c>
      <c r="B510" s="9">
        <v>46006</v>
      </c>
      <c r="C510" s="10" t="s">
        <v>219</v>
      </c>
      <c r="D510" s="10" t="s">
        <v>250</v>
      </c>
      <c r="E510" s="10" t="s">
        <v>36</v>
      </c>
      <c r="F510" s="10" t="s">
        <v>339</v>
      </c>
      <c r="G510" s="10" t="s">
        <v>33</v>
      </c>
      <c r="H510" s="10" t="s">
        <v>332</v>
      </c>
      <c r="I510" s="10" t="s">
        <v>332</v>
      </c>
      <c r="J510" s="10" t="s">
        <v>115</v>
      </c>
      <c r="K510" s="10" t="s">
        <v>221</v>
      </c>
      <c r="L510" s="10" t="s">
        <v>1838</v>
      </c>
      <c r="M510" s="9">
        <v>45880</v>
      </c>
      <c r="N510" s="9">
        <v>46062</v>
      </c>
      <c r="O510" s="9">
        <v>46054</v>
      </c>
      <c r="P510" s="11">
        <v>38</v>
      </c>
      <c r="Q510" s="12">
        <v>4920972</v>
      </c>
      <c r="R510">
        <v>1339980.6756</v>
      </c>
      <c r="S510" s="22">
        <v>0.05</v>
      </c>
      <c r="T510" s="22">
        <v>0.08</v>
      </c>
      <c r="U510" s="12">
        <v>5048917.2699999996</v>
      </c>
      <c r="V510" s="24">
        <v>1374820.1726209999</v>
      </c>
      <c r="W510" s="8">
        <v>3805018.25</v>
      </c>
      <c r="X510" s="24">
        <v>1036106.4694749999</v>
      </c>
      <c r="Y510" s="22">
        <v>0.09</v>
      </c>
      <c r="Z510" s="22">
        <v>0.17</v>
      </c>
      <c r="AA510" s="8" t="s">
        <v>1839</v>
      </c>
      <c r="AB510" s="8">
        <v>2731979.42</v>
      </c>
      <c r="AC510" s="24">
        <v>743917.99606599996</v>
      </c>
      <c r="AD510" s="8">
        <v>1947824.95</v>
      </c>
      <c r="AE510" s="24">
        <v>530392.73388499999</v>
      </c>
      <c r="AF510" s="8">
        <v>120</v>
      </c>
      <c r="AG510" s="8">
        <v>59</v>
      </c>
      <c r="AH510" s="8" t="s">
        <v>353</v>
      </c>
      <c r="AI510" s="8" t="s">
        <v>226</v>
      </c>
      <c r="AJ510" s="22">
        <v>0.06</v>
      </c>
      <c r="AK510" s="8" t="s">
        <v>153</v>
      </c>
      <c r="AL510" s="22">
        <v>0.1</v>
      </c>
      <c r="AM510" s="22">
        <v>0.04</v>
      </c>
      <c r="AN510" s="8">
        <v>3</v>
      </c>
      <c r="AO510" s="8">
        <v>4666</v>
      </c>
      <c r="AP510" s="8"/>
      <c r="AQ510" s="24"/>
      <c r="AR510" s="8"/>
      <c r="AS510" s="37"/>
      <c r="AT510" s="8" t="s">
        <v>385</v>
      </c>
      <c r="AU510" s="8" t="s">
        <v>386</v>
      </c>
      <c r="AV510" s="8">
        <v>98.5</v>
      </c>
      <c r="AW510" s="8">
        <v>60</v>
      </c>
      <c r="AX510" s="8" t="s">
        <v>332</v>
      </c>
      <c r="AY510" s="8" t="s">
        <v>186</v>
      </c>
      <c r="AZ510" s="8" t="s">
        <v>188</v>
      </c>
      <c r="BA510" s="21">
        <f>IF(OR(tblsales[[#This Row],[Invoice Value USD]]="",tblsales[[#This Row],[Collected Amount USD]]=""),"",tblsales[[#This Row],[Invoice Value USD]]-tblsales[[#This Row],[Collected Amount USD]])</f>
        <v>213525.26218099997</v>
      </c>
      <c r="BB510" s="21">
        <f>IF(OR(tblsales[[#This Row],[Contract Value USD]]="",tblsales[[#This Row],[Cost Estimate USD]]=""),"",tblsales[[#This Row],[Contract Value USD]]-tblsales[[#This Row],[Cost Estimate USD]])</f>
        <v>338713.70314599993</v>
      </c>
      <c r="BC510" s="21">
        <f>IF(OR(tblsales[[#This Row],[Contract Value USD]]="",tblsales[[#This Row],[Cost Estimate USD]]=""),"",tblsales[[#This Row],[Contract Value USD]]-tblsales[[#This Row],[Cost Estimate USD]])</f>
        <v>338713.70314599993</v>
      </c>
      <c r="BD510" s="23">
        <f>IF(tblsales[[#This Row],[Invoice Value USD]]="","",tblsales[[#This Row],[Collected Amount USD]]/tblsales[[#This Row],[Invoice Value USD]])</f>
        <v>0.71297204354489618</v>
      </c>
      <c r="BE510" s="11">
        <f>IF(tblsales[[#This Row],[SalesStage]]="Won",1,0)</f>
        <v>0</v>
      </c>
      <c r="BF510" s="21" t="str">
        <f>IF(tblsales[[#This Row],[Win Flag]]=1,"Won","Lost")</f>
        <v>Lost</v>
      </c>
      <c r="BG510" s="8"/>
    </row>
    <row r="511" spans="1:59" x14ac:dyDescent="0.3">
      <c r="A511" s="10" t="s">
        <v>1840</v>
      </c>
      <c r="B511" s="9">
        <v>45818</v>
      </c>
      <c r="C511" s="10" t="s">
        <v>249</v>
      </c>
      <c r="D511" s="10" t="s">
        <v>242</v>
      </c>
      <c r="E511" s="10" t="s">
        <v>36</v>
      </c>
      <c r="F511" s="10" t="s">
        <v>339</v>
      </c>
      <c r="G511" s="10" t="s">
        <v>50</v>
      </c>
      <c r="H511" s="10" t="s">
        <v>216</v>
      </c>
      <c r="I511" s="10" t="s">
        <v>240</v>
      </c>
      <c r="J511" s="10" t="s">
        <v>115</v>
      </c>
      <c r="K511" s="10" t="s">
        <v>221</v>
      </c>
      <c r="L511" s="10" t="s">
        <v>1841</v>
      </c>
      <c r="M511" s="9">
        <v>45765</v>
      </c>
      <c r="N511" s="9">
        <v>45851</v>
      </c>
      <c r="O511" s="9">
        <v>45929</v>
      </c>
      <c r="P511" s="11">
        <v>41</v>
      </c>
      <c r="Q511" s="12">
        <v>31241527</v>
      </c>
      <c r="R511">
        <v>8507067.802099999</v>
      </c>
      <c r="S511" s="22">
        <v>0.24</v>
      </c>
      <c r="T511" s="22">
        <v>0.11</v>
      </c>
      <c r="U511" s="12">
        <v>26355352.18</v>
      </c>
      <c r="V511" s="24">
        <v>7176562.3986139996</v>
      </c>
      <c r="W511" s="8">
        <v>20338174.989999998</v>
      </c>
      <c r="X511" s="24">
        <v>5538085.0497769993</v>
      </c>
      <c r="Y511" s="22">
        <v>0.23</v>
      </c>
      <c r="Z511" s="22">
        <v>0.1</v>
      </c>
      <c r="AA511" s="8"/>
      <c r="AB511" s="8">
        <v>6977670.0599999996</v>
      </c>
      <c r="AC511" s="24">
        <v>1900019.5573379998</v>
      </c>
      <c r="AD511" s="8">
        <v>6558847.4000000004</v>
      </c>
      <c r="AE511" s="24">
        <v>1785974.14702</v>
      </c>
      <c r="AF511" s="8">
        <v>60</v>
      </c>
      <c r="AG511" s="8">
        <v>29</v>
      </c>
      <c r="AH511" s="8" t="s">
        <v>332</v>
      </c>
      <c r="AI511" s="8" t="s">
        <v>354</v>
      </c>
      <c r="AJ511" s="22">
        <v>0.85</v>
      </c>
      <c r="AK511" s="8" t="s">
        <v>153</v>
      </c>
      <c r="AL511" s="22">
        <v>0.05</v>
      </c>
      <c r="AM511" s="22">
        <v>0.05</v>
      </c>
      <c r="AN511" s="8">
        <v>5</v>
      </c>
      <c r="AO511" s="8">
        <v>4533</v>
      </c>
      <c r="AP511" s="8"/>
      <c r="AQ511" s="24"/>
      <c r="AR511" s="8">
        <v>5897590.2199999997</v>
      </c>
      <c r="AS511" s="37">
        <v>1605913.8169059998</v>
      </c>
      <c r="AT511" s="8" t="s">
        <v>391</v>
      </c>
      <c r="AU511" s="8" t="s">
        <v>348</v>
      </c>
      <c r="AV511" s="8">
        <v>96.1</v>
      </c>
      <c r="AW511" s="8">
        <v>36</v>
      </c>
      <c r="AX511" s="8" t="s">
        <v>332</v>
      </c>
      <c r="AY511" s="8" t="s">
        <v>192</v>
      </c>
      <c r="AZ511" s="8" t="s">
        <v>357</v>
      </c>
      <c r="BA511" s="21">
        <f>IF(OR(tblsales[[#This Row],[Invoice Value USD]]="",tblsales[[#This Row],[Collected Amount USD]]=""),"",tblsales[[#This Row],[Invoice Value USD]]-tblsales[[#This Row],[Collected Amount USD]])</f>
        <v>114045.41031799978</v>
      </c>
      <c r="BB511" s="21">
        <f>IF(OR(tblsales[[#This Row],[Contract Value USD]]="",tblsales[[#This Row],[Cost Estimate USD]]=""),"",tblsales[[#This Row],[Contract Value USD]]-tblsales[[#This Row],[Cost Estimate USD]])</f>
        <v>1638477.3488370003</v>
      </c>
      <c r="BC511" s="21">
        <f>IF(OR(tblsales[[#This Row],[Contract Value USD]]="",tblsales[[#This Row],[Cost Estimate USD]]=""),"",tblsales[[#This Row],[Contract Value USD]]-tblsales[[#This Row],[Cost Estimate USD]])</f>
        <v>1638477.3488370003</v>
      </c>
      <c r="BD511" s="23">
        <f>IF(tblsales[[#This Row],[Invoice Value USD]]="","",tblsales[[#This Row],[Collected Amount USD]]/tblsales[[#This Row],[Invoice Value USD]])</f>
        <v>0.93997671767243185</v>
      </c>
      <c r="BE511" s="11">
        <f>IF(tblsales[[#This Row],[SalesStage]]="Won",1,0)</f>
        <v>0</v>
      </c>
      <c r="BF511" s="21" t="str">
        <f>IF(tblsales[[#This Row],[Win Flag]]=1,"Won","Lost")</f>
        <v>Lost</v>
      </c>
      <c r="BG511" s="8"/>
    </row>
    <row r="512" spans="1:59" x14ac:dyDescent="0.3">
      <c r="A512" s="10" t="s">
        <v>1842</v>
      </c>
      <c r="B512" s="9">
        <v>46070</v>
      </c>
      <c r="C512" s="10" t="s">
        <v>241</v>
      </c>
      <c r="D512" s="10" t="s">
        <v>215</v>
      </c>
      <c r="E512" s="10" t="s">
        <v>113</v>
      </c>
      <c r="F512" s="10" t="s">
        <v>332</v>
      </c>
      <c r="G512" s="10" t="s">
        <v>50</v>
      </c>
      <c r="H512" s="10" t="s">
        <v>263</v>
      </c>
      <c r="I512" s="10" t="s">
        <v>191</v>
      </c>
      <c r="J512" s="10" t="s">
        <v>111</v>
      </c>
      <c r="K512" s="10" t="s">
        <v>223</v>
      </c>
      <c r="L512" s="10" t="s">
        <v>1843</v>
      </c>
      <c r="M512" s="9">
        <v>46055</v>
      </c>
      <c r="N512" s="9"/>
      <c r="O512" s="9">
        <v>46146</v>
      </c>
      <c r="P512" s="11">
        <v>13</v>
      </c>
      <c r="Q512" s="12"/>
      <c r="S512" s="22">
        <v>0.3</v>
      </c>
      <c r="T512" s="22">
        <v>7.0000000000000007E-2</v>
      </c>
      <c r="U512" s="12">
        <v>34666875.539999999</v>
      </c>
      <c r="V512" s="24">
        <v>40248242.501939997</v>
      </c>
      <c r="W512" s="8">
        <v>24061189.5</v>
      </c>
      <c r="X512" s="24">
        <v>27935041.009500001</v>
      </c>
      <c r="Y512" s="22">
        <v>0.17</v>
      </c>
      <c r="Z512" s="22">
        <v>7.0000000000000007E-2</v>
      </c>
      <c r="AA512" s="8" t="s">
        <v>1844</v>
      </c>
      <c r="AB512" s="8">
        <v>13164401.029999999</v>
      </c>
      <c r="AC512" s="24">
        <v>15283869.595829999</v>
      </c>
      <c r="AD512" s="8">
        <v>13218758.699999999</v>
      </c>
      <c r="AE512" s="24">
        <v>15346978.8507</v>
      </c>
      <c r="AF512" s="8">
        <v>45</v>
      </c>
      <c r="AG512" s="8">
        <v>81</v>
      </c>
      <c r="AH512" s="8" t="s">
        <v>353</v>
      </c>
      <c r="AI512" s="8" t="s">
        <v>406</v>
      </c>
      <c r="AJ512" s="22">
        <v>0.67</v>
      </c>
      <c r="AK512" s="8" t="s">
        <v>159</v>
      </c>
      <c r="AL512" s="22">
        <v>0.15</v>
      </c>
      <c r="AM512" s="22">
        <v>7.0000000000000007E-2</v>
      </c>
      <c r="AN512" s="8">
        <v>15</v>
      </c>
      <c r="AO512" s="8">
        <v>1058</v>
      </c>
      <c r="AP512" s="8">
        <v>4537076.72</v>
      </c>
      <c r="AQ512" s="24">
        <v>5267546.07192</v>
      </c>
      <c r="AR512" s="8"/>
      <c r="AS512" s="37"/>
      <c r="AT512" s="8" t="s">
        <v>343</v>
      </c>
      <c r="AU512" s="8" t="s">
        <v>348</v>
      </c>
      <c r="AV512" s="8">
        <v>63.1</v>
      </c>
      <c r="AW512" s="8">
        <v>60</v>
      </c>
      <c r="AX512" s="8" t="s">
        <v>392</v>
      </c>
      <c r="AY512" s="8" t="s">
        <v>186</v>
      </c>
      <c r="AZ512" s="8" t="s">
        <v>188</v>
      </c>
      <c r="BA512" s="21">
        <f>IF(OR(tblsales[[#This Row],[Invoice Value USD]]="",tblsales[[#This Row],[Collected Amount USD]]=""),"",tblsales[[#This Row],[Invoice Value USD]]-tblsales[[#This Row],[Collected Amount USD]])</f>
        <v>-63109.254870001227</v>
      </c>
      <c r="BB512" s="21">
        <f>IF(OR(tblsales[[#This Row],[Contract Value USD]]="",tblsales[[#This Row],[Cost Estimate USD]]=""),"",tblsales[[#This Row],[Contract Value USD]]-tblsales[[#This Row],[Cost Estimate USD]])</f>
        <v>12313201.492439996</v>
      </c>
      <c r="BC512" s="21">
        <f>IF(OR(tblsales[[#This Row],[Contract Value USD]]="",tblsales[[#This Row],[Cost Estimate USD]]=""),"",tblsales[[#This Row],[Contract Value USD]]-tblsales[[#This Row],[Cost Estimate USD]])</f>
        <v>12313201.492439996</v>
      </c>
      <c r="BD512" s="23">
        <f>IF(tblsales[[#This Row],[Invoice Value USD]]="","",tblsales[[#This Row],[Collected Amount USD]]/tblsales[[#This Row],[Invoice Value USD]])</f>
        <v>1.0041291411493867</v>
      </c>
      <c r="BE512" s="11">
        <f>IF(tblsales[[#This Row],[SalesStage]]="Won",1,0)</f>
        <v>0</v>
      </c>
      <c r="BF512" s="21" t="str">
        <f>IF(tblsales[[#This Row],[Win Flag]]=1,"Won","Lost")</f>
        <v>Lost</v>
      </c>
      <c r="BG512" s="8"/>
    </row>
    <row r="513" spans="1:59" x14ac:dyDescent="0.3">
      <c r="A513" s="10" t="s">
        <v>1845</v>
      </c>
      <c r="B513" s="9">
        <v>45834</v>
      </c>
      <c r="C513" s="10" t="s">
        <v>285</v>
      </c>
      <c r="D513" s="10" t="s">
        <v>255</v>
      </c>
      <c r="E513" s="10" t="s">
        <v>52</v>
      </c>
      <c r="F513" s="10" t="s">
        <v>75</v>
      </c>
      <c r="G513" s="10" t="s">
        <v>80</v>
      </c>
      <c r="H513" s="10" t="s">
        <v>332</v>
      </c>
      <c r="I513" s="10" t="s">
        <v>213</v>
      </c>
      <c r="J513" s="10" t="s">
        <v>133</v>
      </c>
      <c r="K513" s="10" t="s">
        <v>204</v>
      </c>
      <c r="L513" s="10" t="s">
        <v>1846</v>
      </c>
      <c r="M513" s="9">
        <v>45763</v>
      </c>
      <c r="N513" s="9">
        <v>45854</v>
      </c>
      <c r="O513" s="9">
        <v>45915</v>
      </c>
      <c r="P513" s="11">
        <v>13</v>
      </c>
      <c r="Q513" s="12">
        <v>46831312</v>
      </c>
      <c r="R513">
        <v>12752166.2576</v>
      </c>
      <c r="S513" s="22">
        <v>0.16</v>
      </c>
      <c r="T513" s="22">
        <v>0.2</v>
      </c>
      <c r="U513" s="12">
        <v>47205962.5</v>
      </c>
      <c r="V513" s="24">
        <v>12854183.588749999</v>
      </c>
      <c r="W513" s="8">
        <v>41159140.18</v>
      </c>
      <c r="X513" s="24">
        <v>11207633.871013999</v>
      </c>
      <c r="Y513" s="22">
        <v>0.13</v>
      </c>
      <c r="Z513" s="22">
        <v>0.16</v>
      </c>
      <c r="AA513" s="8" t="s">
        <v>1847</v>
      </c>
      <c r="AB513" s="8">
        <v>39004396.079999998</v>
      </c>
      <c r="AC513" s="24">
        <v>10620897.052583998</v>
      </c>
      <c r="AD513" s="8">
        <v>16344293.59</v>
      </c>
      <c r="AE513" s="24">
        <v>4450551.1445570001</v>
      </c>
      <c r="AF513" s="8">
        <v>30</v>
      </c>
      <c r="AG513" s="8">
        <v>106</v>
      </c>
      <c r="AH513" s="8" t="s">
        <v>329</v>
      </c>
      <c r="AI513" s="8" t="s">
        <v>455</v>
      </c>
      <c r="AJ513" s="22">
        <v>0.16</v>
      </c>
      <c r="AK513" s="8" t="s">
        <v>153</v>
      </c>
      <c r="AL513" s="22">
        <v>0.1</v>
      </c>
      <c r="AM513" s="22">
        <v>0.02</v>
      </c>
      <c r="AN513" s="8">
        <v>13</v>
      </c>
      <c r="AO513" s="8">
        <v>45</v>
      </c>
      <c r="AP513" s="8">
        <v>4971969.3</v>
      </c>
      <c r="AQ513" s="24">
        <v>1353867.2403899999</v>
      </c>
      <c r="AR513" s="8">
        <v>22462065.550000001</v>
      </c>
      <c r="AS513" s="37">
        <v>6116420.4492649995</v>
      </c>
      <c r="AT513" s="8" t="s">
        <v>385</v>
      </c>
      <c r="AU513" s="8" t="s">
        <v>321</v>
      </c>
      <c r="AV513" s="8">
        <v>64.8</v>
      </c>
      <c r="AW513" s="8">
        <v>12</v>
      </c>
      <c r="AX513" s="8" t="s">
        <v>332</v>
      </c>
      <c r="AY513" s="8" t="s">
        <v>229</v>
      </c>
      <c r="AZ513" s="8" t="s">
        <v>361</v>
      </c>
      <c r="BA513" s="21">
        <f>IF(OR(tblsales[[#This Row],[Invoice Value USD]]="",tblsales[[#This Row],[Collected Amount USD]]=""),"",tblsales[[#This Row],[Invoice Value USD]]-tblsales[[#This Row],[Collected Amount USD]])</f>
        <v>6170345.9080269979</v>
      </c>
      <c r="BB513" s="21">
        <f>IF(OR(tblsales[[#This Row],[Contract Value USD]]="",tblsales[[#This Row],[Cost Estimate USD]]=""),"",tblsales[[#This Row],[Contract Value USD]]-tblsales[[#This Row],[Cost Estimate USD]])</f>
        <v>1646549.7177360002</v>
      </c>
      <c r="BC513" s="21">
        <f>IF(OR(tblsales[[#This Row],[Contract Value USD]]="",tblsales[[#This Row],[Cost Estimate USD]]=""),"",tblsales[[#This Row],[Contract Value USD]]-tblsales[[#This Row],[Cost Estimate USD]])</f>
        <v>1646549.7177360002</v>
      </c>
      <c r="BD513" s="23">
        <f>IF(tblsales[[#This Row],[Invoice Value USD]]="","",tblsales[[#This Row],[Collected Amount USD]]/tblsales[[#This Row],[Invoice Value USD]])</f>
        <v>0.41903721715052389</v>
      </c>
      <c r="BE513" s="11">
        <f>IF(tblsales[[#This Row],[SalesStage]]="Won",1,0)</f>
        <v>0</v>
      </c>
      <c r="BF513" s="21" t="str">
        <f>IF(tblsales[[#This Row],[Win Flag]]=1,"Won","Lost")</f>
        <v>Lost</v>
      </c>
      <c r="BG513" s="8"/>
    </row>
    <row r="514" spans="1:59" x14ac:dyDescent="0.3">
      <c r="A514" s="10" t="s">
        <v>5789</v>
      </c>
      <c r="B514" s="9">
        <v>45913</v>
      </c>
      <c r="C514" s="10" t="s">
        <v>254</v>
      </c>
      <c r="D514" s="10" t="s">
        <v>274</v>
      </c>
      <c r="E514" s="10" t="s">
        <v>20</v>
      </c>
      <c r="F514" s="10" t="s">
        <v>31</v>
      </c>
      <c r="G514" s="10" t="s">
        <v>16</v>
      </c>
      <c r="H514" s="10" t="s">
        <v>212</v>
      </c>
      <c r="I514" s="10" t="s">
        <v>203</v>
      </c>
      <c r="J514" s="10" t="s">
        <v>136</v>
      </c>
      <c r="K514" s="10" t="s">
        <v>326</v>
      </c>
      <c r="L514" s="10" t="s">
        <v>4000</v>
      </c>
      <c r="M514" s="9">
        <v>45831</v>
      </c>
      <c r="N514" s="9"/>
      <c r="O514" s="9">
        <v>45668</v>
      </c>
      <c r="P514" s="11">
        <v>26</v>
      </c>
      <c r="Q514" s="12">
        <v>32901382</v>
      </c>
      <c r="R514">
        <v>32901382</v>
      </c>
      <c r="S514" s="22">
        <v>0.27</v>
      </c>
      <c r="T514" s="22">
        <v>0.1</v>
      </c>
      <c r="U514" s="12">
        <v>26419809.75</v>
      </c>
      <c r="V514" s="24">
        <v>26419809.75</v>
      </c>
      <c r="W514" s="8">
        <v>21214060.359999999</v>
      </c>
      <c r="X514" s="24">
        <v>21214060.359999999</v>
      </c>
      <c r="Y514" s="22">
        <v>0.21</v>
      </c>
      <c r="Z514" s="22">
        <v>0.14000000000000001</v>
      </c>
      <c r="AA514" s="8" t="s">
        <v>4002</v>
      </c>
      <c r="AB514" s="8">
        <v>16415673.66</v>
      </c>
      <c r="AC514" s="24">
        <v>16415673.66</v>
      </c>
      <c r="AD514" s="8">
        <v>17045141.800000001</v>
      </c>
      <c r="AE514" s="24">
        <v>17045141.800000001</v>
      </c>
      <c r="AF514" s="8">
        <v>45</v>
      </c>
      <c r="AG514" s="8">
        <v>60</v>
      </c>
      <c r="AH514" s="8" t="s">
        <v>347</v>
      </c>
      <c r="AI514" s="8" t="s">
        <v>354</v>
      </c>
      <c r="AJ514" s="22">
        <v>0.66</v>
      </c>
      <c r="AK514" s="8" t="s">
        <v>152</v>
      </c>
      <c r="AL514" s="22">
        <v>0.1</v>
      </c>
      <c r="AM514" s="22">
        <v>0.05</v>
      </c>
      <c r="AN514" s="8">
        <v>6</v>
      </c>
      <c r="AO514" s="8">
        <v>1424</v>
      </c>
      <c r="AP514" s="8"/>
      <c r="AQ514" s="24"/>
      <c r="AR514" s="8">
        <v>11607209.51</v>
      </c>
      <c r="AS514" s="37">
        <v>11607209.51</v>
      </c>
      <c r="AT514" s="8" t="s">
        <v>355</v>
      </c>
      <c r="AU514" s="8" t="s">
        <v>330</v>
      </c>
      <c r="AV514" s="8">
        <v>95.8</v>
      </c>
      <c r="AW514" s="8">
        <v>60</v>
      </c>
      <c r="AX514" s="8" t="s">
        <v>387</v>
      </c>
      <c r="AY514" s="8" t="s">
        <v>224</v>
      </c>
      <c r="AZ514" s="8" t="s">
        <v>357</v>
      </c>
      <c r="BA514" s="21">
        <f>IF(OR(tblsales[[#This Row],[Invoice Value USD]]="",tblsales[[#This Row],[Collected Amount USD]]=""),"",tblsales[[#This Row],[Invoice Value USD]]-tblsales[[#This Row],[Collected Amount USD]])</f>
        <v>-629468.1400000006</v>
      </c>
      <c r="BB514" s="21">
        <f>IF(OR(tblsales[[#This Row],[Contract Value USD]]="",tblsales[[#This Row],[Cost Estimate USD]]=""),"",tblsales[[#This Row],[Contract Value USD]]-tblsales[[#This Row],[Cost Estimate USD]])</f>
        <v>5205749.3900000006</v>
      </c>
      <c r="BC514" s="21">
        <f>IF(OR(tblsales[[#This Row],[Contract Value USD]]="",tblsales[[#This Row],[Cost Estimate USD]]=""),"",tblsales[[#This Row],[Contract Value USD]]-tblsales[[#This Row],[Cost Estimate USD]])</f>
        <v>5205749.3900000006</v>
      </c>
      <c r="BD514" s="23">
        <f>IF(tblsales[[#This Row],[Invoice Value USD]]="","",tblsales[[#This Row],[Collected Amount USD]]/tblsales[[#This Row],[Invoice Value USD]])</f>
        <v>1.0383455563894295</v>
      </c>
      <c r="BE514" s="11">
        <f>IF(tblsales[[#This Row],[SalesStage]]="Won",1,0)</f>
        <v>0</v>
      </c>
      <c r="BF514" s="21" t="str">
        <f>IF(tblsales[[#This Row],[Win Flag]]=1,"Won","Lost")</f>
        <v>Lost</v>
      </c>
      <c r="BG514" s="8"/>
    </row>
    <row r="515" spans="1:59" x14ac:dyDescent="0.3">
      <c r="A515" s="10" t="s">
        <v>5790</v>
      </c>
      <c r="B515" s="9">
        <v>46030</v>
      </c>
      <c r="C515" s="10" t="s">
        <v>211</v>
      </c>
      <c r="D515" s="10" t="s">
        <v>202</v>
      </c>
      <c r="E515" s="10" t="s">
        <v>20</v>
      </c>
      <c r="F515" s="10" t="s">
        <v>196</v>
      </c>
      <c r="G515" s="10" t="s">
        <v>73</v>
      </c>
      <c r="H515" s="10" t="s">
        <v>216</v>
      </c>
      <c r="I515" s="10" t="s">
        <v>191</v>
      </c>
      <c r="J515" s="10" t="s">
        <v>136</v>
      </c>
      <c r="K515" s="10" t="s">
        <v>204</v>
      </c>
      <c r="L515" s="10" t="s">
        <v>4004</v>
      </c>
      <c r="M515" s="9">
        <v>45955</v>
      </c>
      <c r="N515" s="9">
        <v>46144</v>
      </c>
      <c r="O515" s="9"/>
      <c r="P515" s="11">
        <v>23</v>
      </c>
      <c r="Q515" s="12">
        <v>5158385</v>
      </c>
      <c r="R515">
        <v>5988884.9850000003</v>
      </c>
      <c r="S515" s="22">
        <v>0.2</v>
      </c>
      <c r="T515" s="22">
        <v>0</v>
      </c>
      <c r="U515" s="12">
        <v>4126708</v>
      </c>
      <c r="V515" s="24">
        <v>4791107.9879999999</v>
      </c>
      <c r="W515" s="8">
        <v>3168890.57</v>
      </c>
      <c r="X515" s="24">
        <v>3679081.9517699997</v>
      </c>
      <c r="Y515" s="22">
        <v>0.24</v>
      </c>
      <c r="Z515" s="22">
        <v>0.18</v>
      </c>
      <c r="AA515" s="8" t="s">
        <v>653</v>
      </c>
      <c r="AB515" s="8">
        <v>1040013.33</v>
      </c>
      <c r="AC515" s="24">
        <v>1207455.4761300001</v>
      </c>
      <c r="AD515" s="8">
        <v>882977.72</v>
      </c>
      <c r="AE515" s="24">
        <v>1025137.13292</v>
      </c>
      <c r="AF515" s="8">
        <v>45</v>
      </c>
      <c r="AG515" s="8">
        <v>151</v>
      </c>
      <c r="AH515" s="8" t="s">
        <v>342</v>
      </c>
      <c r="AI515" s="8" t="s">
        <v>354</v>
      </c>
      <c r="AJ515" s="22">
        <v>0.74</v>
      </c>
      <c r="AK515" s="8" t="s">
        <v>159</v>
      </c>
      <c r="AL515" s="22">
        <v>0.05</v>
      </c>
      <c r="AM515" s="22">
        <v>0.08</v>
      </c>
      <c r="AN515" s="8">
        <v>5</v>
      </c>
      <c r="AO515" s="8">
        <v>1310</v>
      </c>
      <c r="AP515" s="8">
        <v>574715.14</v>
      </c>
      <c r="AQ515" s="24">
        <v>667244.27754000004</v>
      </c>
      <c r="AR515" s="8">
        <v>1638307.18</v>
      </c>
      <c r="AS515" s="37">
        <v>1902074.63598</v>
      </c>
      <c r="AT515" s="8" t="s">
        <v>391</v>
      </c>
      <c r="AU515" s="8" t="s">
        <v>332</v>
      </c>
      <c r="AV515" s="8">
        <v>77.400000000000006</v>
      </c>
      <c r="AW515" s="8">
        <v>24</v>
      </c>
      <c r="AX515" s="8" t="s">
        <v>323</v>
      </c>
      <c r="AY515" s="8" t="s">
        <v>229</v>
      </c>
      <c r="AZ515" s="8" t="s">
        <v>361</v>
      </c>
      <c r="BA515" s="21">
        <f>IF(OR(tblsales[[#This Row],[Invoice Value USD]]="",tblsales[[#This Row],[Collected Amount USD]]=""),"",tblsales[[#This Row],[Invoice Value USD]]-tblsales[[#This Row],[Collected Amount USD]])</f>
        <v>182318.34321000008</v>
      </c>
      <c r="BB515" s="21">
        <f>IF(OR(tblsales[[#This Row],[Contract Value USD]]="",tblsales[[#This Row],[Cost Estimate USD]]=""),"",tblsales[[#This Row],[Contract Value USD]]-tblsales[[#This Row],[Cost Estimate USD]])</f>
        <v>1112026.0362300002</v>
      </c>
      <c r="BC515" s="21">
        <f>IF(OR(tblsales[[#This Row],[Contract Value USD]]="",tblsales[[#This Row],[Cost Estimate USD]]=""),"",tblsales[[#This Row],[Contract Value USD]]-tblsales[[#This Row],[Cost Estimate USD]])</f>
        <v>1112026.0362300002</v>
      </c>
      <c r="BD515" s="23">
        <f>IF(tblsales[[#This Row],[Invoice Value USD]]="","",tblsales[[#This Row],[Collected Amount USD]]/tblsales[[#This Row],[Invoice Value USD]])</f>
        <v>0.84900615648839806</v>
      </c>
      <c r="BE515" s="11">
        <f>IF(tblsales[[#This Row],[SalesStage]]="Won",1,0)</f>
        <v>0</v>
      </c>
      <c r="BF515" s="21" t="str">
        <f>IF(tblsales[[#This Row],[Win Flag]]=1,"Won","Lost")</f>
        <v>Lost</v>
      </c>
      <c r="BG515" s="8"/>
    </row>
    <row r="516" spans="1:59" x14ac:dyDescent="0.3">
      <c r="A516" s="10" t="s">
        <v>1848</v>
      </c>
      <c r="B516" s="9">
        <v>45845</v>
      </c>
      <c r="C516" s="10" t="s">
        <v>251</v>
      </c>
      <c r="D516" s="10" t="s">
        <v>209</v>
      </c>
      <c r="E516" s="10" t="s">
        <v>332</v>
      </c>
      <c r="F516" s="10" t="s">
        <v>196</v>
      </c>
      <c r="G516" s="10" t="s">
        <v>66</v>
      </c>
      <c r="H516" s="10" t="s">
        <v>236</v>
      </c>
      <c r="I516" s="10" t="s">
        <v>183</v>
      </c>
      <c r="J516" s="10" t="s">
        <v>130</v>
      </c>
      <c r="K516" s="10" t="s">
        <v>199</v>
      </c>
      <c r="L516" s="10" t="s">
        <v>1849</v>
      </c>
      <c r="M516" s="9">
        <v>45834</v>
      </c>
      <c r="N516" s="9"/>
      <c r="O516" s="9">
        <v>45952</v>
      </c>
      <c r="P516" s="11">
        <v>33</v>
      </c>
      <c r="Q516" s="12">
        <v>33973839</v>
      </c>
      <c r="R516">
        <v>33973839</v>
      </c>
      <c r="S516" s="22">
        <v>0.21</v>
      </c>
      <c r="T516" s="22">
        <v>-0.02</v>
      </c>
      <c r="U516" s="12">
        <v>26302546.149999999</v>
      </c>
      <c r="V516" s="24">
        <v>26302546.149999999</v>
      </c>
      <c r="W516" s="8">
        <v>21900311.379999999</v>
      </c>
      <c r="X516" s="24">
        <v>21900311.379999999</v>
      </c>
      <c r="Y516" s="22">
        <v>0.2</v>
      </c>
      <c r="Z516" s="22">
        <v>7.0000000000000007E-2</v>
      </c>
      <c r="AA516" s="8" t="s">
        <v>1850</v>
      </c>
      <c r="AB516" s="8">
        <v>21012665.82</v>
      </c>
      <c r="AC516" s="24">
        <v>21012665.82</v>
      </c>
      <c r="AD516" s="8">
        <v>14558744.789999999</v>
      </c>
      <c r="AE516" s="24">
        <v>14558744.789999999</v>
      </c>
      <c r="AF516" s="8">
        <v>30</v>
      </c>
      <c r="AG516" s="8">
        <v>146</v>
      </c>
      <c r="AH516" s="8" t="s">
        <v>332</v>
      </c>
      <c r="AI516" s="8" t="s">
        <v>354</v>
      </c>
      <c r="AJ516" s="22">
        <v>0.44</v>
      </c>
      <c r="AK516" s="8" t="s">
        <v>152</v>
      </c>
      <c r="AL516" s="22">
        <v>0.15</v>
      </c>
      <c r="AM516" s="22">
        <v>0.08</v>
      </c>
      <c r="AN516" s="8">
        <v>13</v>
      </c>
      <c r="AO516" s="8">
        <v>4289</v>
      </c>
      <c r="AP516" s="8"/>
      <c r="AQ516" s="24"/>
      <c r="AR516" s="8">
        <v>8023849.6799999997</v>
      </c>
      <c r="AS516" s="37">
        <v>8023849.6799999997</v>
      </c>
      <c r="AT516" s="8" t="s">
        <v>355</v>
      </c>
      <c r="AU516" s="8" t="s">
        <v>348</v>
      </c>
      <c r="AV516" s="8">
        <v>80.3</v>
      </c>
      <c r="AW516" s="8">
        <v>48</v>
      </c>
      <c r="AX516" s="8" t="s">
        <v>387</v>
      </c>
      <c r="AY516" s="8" t="s">
        <v>192</v>
      </c>
      <c r="AZ516" s="8" t="s">
        <v>361</v>
      </c>
      <c r="BA516" s="21">
        <f>IF(OR(tblsales[[#This Row],[Invoice Value USD]]="",tblsales[[#This Row],[Collected Amount USD]]=""),"",tblsales[[#This Row],[Invoice Value USD]]-tblsales[[#This Row],[Collected Amount USD]])</f>
        <v>6453921.0300000012</v>
      </c>
      <c r="BB516" s="21">
        <f>IF(OR(tblsales[[#This Row],[Contract Value USD]]="",tblsales[[#This Row],[Cost Estimate USD]]=""),"",tblsales[[#This Row],[Contract Value USD]]-tblsales[[#This Row],[Cost Estimate USD]])</f>
        <v>4402234.7699999996</v>
      </c>
      <c r="BC516" s="21">
        <f>IF(OR(tblsales[[#This Row],[Contract Value USD]]="",tblsales[[#This Row],[Cost Estimate USD]]=""),"",tblsales[[#This Row],[Contract Value USD]]-tblsales[[#This Row],[Cost Estimate USD]])</f>
        <v>4402234.7699999996</v>
      </c>
      <c r="BD516" s="23">
        <f>IF(tblsales[[#This Row],[Invoice Value USD]]="","",tblsales[[#This Row],[Collected Amount USD]]/tblsales[[#This Row],[Invoice Value USD]])</f>
        <v>0.69285567641507373</v>
      </c>
      <c r="BE516" s="11">
        <f>IF(tblsales[[#This Row],[SalesStage]]="Won",1,0)</f>
        <v>0</v>
      </c>
      <c r="BF516" s="21" t="str">
        <f>IF(tblsales[[#This Row],[Win Flag]]=1,"Won","Lost")</f>
        <v>Lost</v>
      </c>
      <c r="BG516" s="8"/>
    </row>
    <row r="517" spans="1:59" x14ac:dyDescent="0.3">
      <c r="A517" s="10" t="s">
        <v>1851</v>
      </c>
      <c r="B517" s="9">
        <v>45658</v>
      </c>
      <c r="C517" s="10" t="s">
        <v>251</v>
      </c>
      <c r="D517" s="10" t="s">
        <v>394</v>
      </c>
      <c r="E517" s="10" t="s">
        <v>332</v>
      </c>
      <c r="F517" s="10" t="s">
        <v>339</v>
      </c>
      <c r="G517" s="10" t="s">
        <v>70</v>
      </c>
      <c r="H517" s="10" t="s">
        <v>212</v>
      </c>
      <c r="I517" s="10" t="s">
        <v>203</v>
      </c>
      <c r="J517" s="10" t="s">
        <v>130</v>
      </c>
      <c r="K517" s="10" t="s">
        <v>204</v>
      </c>
      <c r="L517" s="10" t="s">
        <v>1852</v>
      </c>
      <c r="M517" s="9">
        <v>45615</v>
      </c>
      <c r="N517" s="9">
        <v>45681</v>
      </c>
      <c r="O517" s="9">
        <v>45774</v>
      </c>
      <c r="P517" s="11"/>
      <c r="Q517" s="12">
        <v>23124396</v>
      </c>
      <c r="R517">
        <v>23124396</v>
      </c>
      <c r="S517" s="22">
        <v>0.08</v>
      </c>
      <c r="T517" s="22">
        <v>7.0000000000000007E-2</v>
      </c>
      <c r="U517" s="12">
        <v>22763655.420000002</v>
      </c>
      <c r="V517" s="24">
        <v>22763655.420000002</v>
      </c>
      <c r="W517" s="8">
        <v>13781156.27</v>
      </c>
      <c r="X517" s="24">
        <v>13781156.27</v>
      </c>
      <c r="Y517" s="22">
        <v>0.08</v>
      </c>
      <c r="Z517" s="22">
        <v>0.14000000000000001</v>
      </c>
      <c r="AA517" s="8"/>
      <c r="AB517" s="8">
        <v>13627523.970000001</v>
      </c>
      <c r="AC517" s="24">
        <v>13627523.970000001</v>
      </c>
      <c r="AD517" s="8">
        <v>14352574.970000001</v>
      </c>
      <c r="AE517" s="24">
        <v>14352574.970000001</v>
      </c>
      <c r="AF517" s="8">
        <v>30</v>
      </c>
      <c r="AG517" s="8">
        <v>86</v>
      </c>
      <c r="AH517" s="8" t="s">
        <v>329</v>
      </c>
      <c r="AI517" s="8" t="s">
        <v>381</v>
      </c>
      <c r="AJ517" s="22">
        <v>0.41</v>
      </c>
      <c r="AK517" s="8" t="s">
        <v>152</v>
      </c>
      <c r="AL517" s="22">
        <v>0.15</v>
      </c>
      <c r="AM517" s="22">
        <v>0.05</v>
      </c>
      <c r="AN517" s="8">
        <v>0</v>
      </c>
      <c r="AO517" s="8">
        <v>19</v>
      </c>
      <c r="AP517" s="8">
        <v>4536164.33</v>
      </c>
      <c r="AQ517" s="24">
        <v>4536164.33</v>
      </c>
      <c r="AR517" s="8">
        <v>6700699.3499999996</v>
      </c>
      <c r="AS517" s="37">
        <v>6700699.3499999996</v>
      </c>
      <c r="AT517" s="8" t="s">
        <v>385</v>
      </c>
      <c r="AU517" s="8" t="s">
        <v>356</v>
      </c>
      <c r="AV517" s="8">
        <v>51</v>
      </c>
      <c r="AW517" s="8">
        <v>36</v>
      </c>
      <c r="AX517" s="8" t="s">
        <v>387</v>
      </c>
      <c r="AY517" s="8" t="s">
        <v>192</v>
      </c>
      <c r="AZ517" s="8" t="s">
        <v>188</v>
      </c>
      <c r="BA517" s="21">
        <f>IF(OR(tblsales[[#This Row],[Invoice Value USD]]="",tblsales[[#This Row],[Collected Amount USD]]=""),"",tblsales[[#This Row],[Invoice Value USD]]-tblsales[[#This Row],[Collected Amount USD]])</f>
        <v>-725051</v>
      </c>
      <c r="BB517" s="21">
        <f>IF(OR(tblsales[[#This Row],[Contract Value USD]]="",tblsales[[#This Row],[Cost Estimate USD]]=""),"",tblsales[[#This Row],[Contract Value USD]]-tblsales[[#This Row],[Cost Estimate USD]])</f>
        <v>8982499.1500000022</v>
      </c>
      <c r="BC517" s="21">
        <f>IF(OR(tblsales[[#This Row],[Contract Value USD]]="",tblsales[[#This Row],[Cost Estimate USD]]=""),"",tblsales[[#This Row],[Contract Value USD]]-tblsales[[#This Row],[Cost Estimate USD]])</f>
        <v>8982499.1500000022</v>
      </c>
      <c r="BD517" s="23">
        <f>IF(tblsales[[#This Row],[Invoice Value USD]]="","",tblsales[[#This Row],[Collected Amount USD]]/tblsales[[#This Row],[Invoice Value USD]])</f>
        <v>1.0532048963257117</v>
      </c>
      <c r="BE517" s="11">
        <f>IF(tblsales[[#This Row],[SalesStage]]="Won",1,0)</f>
        <v>0</v>
      </c>
      <c r="BF517" s="21" t="str">
        <f>IF(tblsales[[#This Row],[Win Flag]]=1,"Won","Lost")</f>
        <v>Lost</v>
      </c>
      <c r="BG517" s="8"/>
    </row>
    <row r="518" spans="1:59" x14ac:dyDescent="0.3">
      <c r="A518" s="10" t="s">
        <v>1853</v>
      </c>
      <c r="B518" s="9">
        <v>45899</v>
      </c>
      <c r="C518" s="10" t="s">
        <v>201</v>
      </c>
      <c r="D518" s="10" t="s">
        <v>265</v>
      </c>
      <c r="E518" s="10" t="s">
        <v>36</v>
      </c>
      <c r="F518" s="10" t="s">
        <v>339</v>
      </c>
      <c r="G518" s="10" t="s">
        <v>16</v>
      </c>
      <c r="H518" s="10" t="s">
        <v>197</v>
      </c>
      <c r="I518" s="10" t="s">
        <v>203</v>
      </c>
      <c r="J518" s="10" t="s">
        <v>115</v>
      </c>
      <c r="K518" s="10" t="s">
        <v>204</v>
      </c>
      <c r="L518" s="10" t="s">
        <v>1854</v>
      </c>
      <c r="M518" s="9">
        <v>45888</v>
      </c>
      <c r="N518" s="9"/>
      <c r="O518" s="9">
        <v>45758</v>
      </c>
      <c r="P518" s="11">
        <v>51</v>
      </c>
      <c r="Q518" s="12">
        <v>19341590</v>
      </c>
      <c r="R518">
        <v>19341590</v>
      </c>
      <c r="S518" s="22">
        <v>0.03</v>
      </c>
      <c r="T518" s="22">
        <v>0.01</v>
      </c>
      <c r="U518" s="12">
        <v>18948955.719999999</v>
      </c>
      <c r="V518" s="24">
        <v>18948955.719999999</v>
      </c>
      <c r="W518" s="8">
        <v>12674824.949999999</v>
      </c>
      <c r="X518" s="24">
        <v>12674824.949999999</v>
      </c>
      <c r="Y518" s="22">
        <v>0.11</v>
      </c>
      <c r="Z518" s="22">
        <v>0.06</v>
      </c>
      <c r="AA518" s="8" t="s">
        <v>1855</v>
      </c>
      <c r="AB518" s="8">
        <v>7787101.7400000002</v>
      </c>
      <c r="AC518" s="24">
        <v>7787101.7400000002</v>
      </c>
      <c r="AD518" s="8">
        <v>5749820.46</v>
      </c>
      <c r="AE518" s="24">
        <v>5749820.46</v>
      </c>
      <c r="AF518" s="8">
        <v>60</v>
      </c>
      <c r="AG518" s="8">
        <v>114</v>
      </c>
      <c r="AH518" s="8" t="s">
        <v>376</v>
      </c>
      <c r="AI518" s="8" t="s">
        <v>406</v>
      </c>
      <c r="AJ518" s="22">
        <v>0.61</v>
      </c>
      <c r="AK518" s="8" t="s">
        <v>152</v>
      </c>
      <c r="AL518" s="22">
        <v>0.1</v>
      </c>
      <c r="AM518" s="22">
        <v>7.0000000000000007E-2</v>
      </c>
      <c r="AN518" s="8">
        <v>9</v>
      </c>
      <c r="AO518" s="8">
        <v>3887</v>
      </c>
      <c r="AP518" s="8">
        <v>2386883.42</v>
      </c>
      <c r="AQ518" s="24">
        <v>2386883.42</v>
      </c>
      <c r="AR518" s="8">
        <v>6924791.0599999996</v>
      </c>
      <c r="AS518" s="37">
        <v>6924791.0599999996</v>
      </c>
      <c r="AT518" s="8" t="s">
        <v>73</v>
      </c>
      <c r="AU518" s="8" t="s">
        <v>356</v>
      </c>
      <c r="AV518" s="8">
        <v>95.1</v>
      </c>
      <c r="AW518" s="8">
        <v>24</v>
      </c>
      <c r="AX518" s="8" t="s">
        <v>332</v>
      </c>
      <c r="AY518" s="8" t="s">
        <v>224</v>
      </c>
      <c r="AZ518" s="8" t="s">
        <v>377</v>
      </c>
      <c r="BA518" s="21">
        <f>IF(OR(tblsales[[#This Row],[Invoice Value USD]]="",tblsales[[#This Row],[Collected Amount USD]]=""),"",tblsales[[#This Row],[Invoice Value USD]]-tblsales[[#This Row],[Collected Amount USD]])</f>
        <v>2037281.2800000003</v>
      </c>
      <c r="BB518" s="21">
        <f>IF(OR(tblsales[[#This Row],[Contract Value USD]]="",tblsales[[#This Row],[Cost Estimate USD]]=""),"",tblsales[[#This Row],[Contract Value USD]]-tblsales[[#This Row],[Cost Estimate USD]])</f>
        <v>6274130.7699999996</v>
      </c>
      <c r="BC518" s="21">
        <f>IF(OR(tblsales[[#This Row],[Contract Value USD]]="",tblsales[[#This Row],[Cost Estimate USD]]=""),"",tblsales[[#This Row],[Contract Value USD]]-tblsales[[#This Row],[Cost Estimate USD]])</f>
        <v>6274130.7699999996</v>
      </c>
      <c r="BD518" s="23">
        <f>IF(tblsales[[#This Row],[Invoice Value USD]]="","",tblsales[[#This Row],[Collected Amount USD]]/tblsales[[#This Row],[Invoice Value USD]])</f>
        <v>0.73837746725009401</v>
      </c>
      <c r="BE518" s="11">
        <f>IF(tblsales[[#This Row],[SalesStage]]="Won",1,0)</f>
        <v>0</v>
      </c>
      <c r="BF518" s="21" t="str">
        <f>IF(tblsales[[#This Row],[Win Flag]]=1,"Won","Lost")</f>
        <v>Lost</v>
      </c>
      <c r="BG518" s="8"/>
    </row>
    <row r="519" spans="1:59" x14ac:dyDescent="0.3">
      <c r="A519" s="10" t="s">
        <v>1856</v>
      </c>
      <c r="B519" s="9">
        <v>45835</v>
      </c>
      <c r="C519" s="10" t="s">
        <v>235</v>
      </c>
      <c r="D519" s="10" t="s">
        <v>220</v>
      </c>
      <c r="E519" s="10" t="s">
        <v>332</v>
      </c>
      <c r="F519" s="10" t="s">
        <v>363</v>
      </c>
      <c r="G519" s="10" t="s">
        <v>66</v>
      </c>
      <c r="H519" s="10" t="s">
        <v>212</v>
      </c>
      <c r="I519" s="10" t="s">
        <v>198</v>
      </c>
      <c r="J519" s="10" t="s">
        <v>130</v>
      </c>
      <c r="K519" s="10" t="s">
        <v>326</v>
      </c>
      <c r="L519" s="10" t="s">
        <v>1857</v>
      </c>
      <c r="M519" s="9">
        <v>45775</v>
      </c>
      <c r="N519" s="9">
        <v>45754</v>
      </c>
      <c r="O519" s="9">
        <v>45865</v>
      </c>
      <c r="P519" s="11">
        <v>52</v>
      </c>
      <c r="Q519" s="12">
        <v>10356787</v>
      </c>
      <c r="R519">
        <v>10356787</v>
      </c>
      <c r="S519" s="22">
        <v>0.14000000000000001</v>
      </c>
      <c r="T519" s="22">
        <v>0.12</v>
      </c>
      <c r="U519" s="12">
        <v>9975657.2400000002</v>
      </c>
      <c r="V519" s="24">
        <v>9975657.2400000002</v>
      </c>
      <c r="W519" s="8">
        <v>8366728.5300000003</v>
      </c>
      <c r="X519" s="24">
        <v>8366728.5300000003</v>
      </c>
      <c r="Y519" s="22">
        <v>0.28000000000000003</v>
      </c>
      <c r="Z519" s="22">
        <v>0.17</v>
      </c>
      <c r="AA519" s="8" t="s">
        <v>1858</v>
      </c>
      <c r="AB519" s="8">
        <v>5718052.5199999996</v>
      </c>
      <c r="AC519" s="24">
        <v>5718052.5199999996</v>
      </c>
      <c r="AD519" s="8">
        <v>5109632.75</v>
      </c>
      <c r="AE519" s="24">
        <v>5109632.75</v>
      </c>
      <c r="AF519" s="8">
        <v>45</v>
      </c>
      <c r="AG519" s="8">
        <v>15</v>
      </c>
      <c r="AH519" s="8" t="s">
        <v>329</v>
      </c>
      <c r="AI519" s="8" t="s">
        <v>406</v>
      </c>
      <c r="AJ519" s="22">
        <v>0.31</v>
      </c>
      <c r="AK519" s="8" t="s">
        <v>152</v>
      </c>
      <c r="AL519" s="22">
        <v>0.1</v>
      </c>
      <c r="AM519" s="22">
        <v>0.04</v>
      </c>
      <c r="AN519" s="8">
        <v>11</v>
      </c>
      <c r="AO519" s="8">
        <v>4828</v>
      </c>
      <c r="AP519" s="8">
        <v>1382295.43</v>
      </c>
      <c r="AQ519" s="24">
        <v>1382295.43</v>
      </c>
      <c r="AR519" s="8">
        <v>4267535.59</v>
      </c>
      <c r="AS519" s="37">
        <v>4267535.59</v>
      </c>
      <c r="AT519" s="8" t="s">
        <v>321</v>
      </c>
      <c r="AU519" s="8" t="s">
        <v>348</v>
      </c>
      <c r="AV519" s="8">
        <v>86.2</v>
      </c>
      <c r="AW519" s="8">
        <v>48</v>
      </c>
      <c r="AX519" s="8" t="s">
        <v>332</v>
      </c>
      <c r="AY519" s="8" t="s">
        <v>186</v>
      </c>
      <c r="AZ519" s="8" t="s">
        <v>361</v>
      </c>
      <c r="BA519" s="21">
        <f>IF(OR(tblsales[[#This Row],[Invoice Value USD]]="",tblsales[[#This Row],[Collected Amount USD]]=""),"",tblsales[[#This Row],[Invoice Value USD]]-tblsales[[#This Row],[Collected Amount USD]])</f>
        <v>608419.76999999955</v>
      </c>
      <c r="BB519" s="21">
        <f>IF(OR(tblsales[[#This Row],[Contract Value USD]]="",tblsales[[#This Row],[Cost Estimate USD]]=""),"",tblsales[[#This Row],[Contract Value USD]]-tblsales[[#This Row],[Cost Estimate USD]])</f>
        <v>1608928.71</v>
      </c>
      <c r="BC519" s="21">
        <f>IF(OR(tblsales[[#This Row],[Contract Value USD]]="",tblsales[[#This Row],[Cost Estimate USD]]=""),"",tblsales[[#This Row],[Contract Value USD]]-tblsales[[#This Row],[Cost Estimate USD]])</f>
        <v>1608928.71</v>
      </c>
      <c r="BD519" s="23">
        <f>IF(tblsales[[#This Row],[Invoice Value USD]]="","",tblsales[[#This Row],[Collected Amount USD]]/tblsales[[#This Row],[Invoice Value USD]])</f>
        <v>0.89359668036067641</v>
      </c>
      <c r="BE519" s="11">
        <f>IF(tblsales[[#This Row],[SalesStage]]="Won",1,0)</f>
        <v>0</v>
      </c>
      <c r="BF519" s="21" t="str">
        <f>IF(tblsales[[#This Row],[Win Flag]]=1,"Won","Lost")</f>
        <v>Lost</v>
      </c>
      <c r="BG519" s="8"/>
    </row>
    <row r="520" spans="1:59" x14ac:dyDescent="0.3">
      <c r="A520" s="10" t="s">
        <v>1859</v>
      </c>
      <c r="B520" s="9">
        <v>45827</v>
      </c>
      <c r="C520" s="10" t="s">
        <v>237</v>
      </c>
      <c r="D520" s="10" t="s">
        <v>262</v>
      </c>
      <c r="E520" s="10" t="s">
        <v>20</v>
      </c>
      <c r="F520" s="10" t="s">
        <v>31</v>
      </c>
      <c r="G520" s="10" t="s">
        <v>23</v>
      </c>
      <c r="H520" s="10" t="s">
        <v>332</v>
      </c>
      <c r="I520" s="10" t="s">
        <v>198</v>
      </c>
      <c r="J520" s="10" t="s">
        <v>136</v>
      </c>
      <c r="K520" s="10" t="s">
        <v>223</v>
      </c>
      <c r="L520" s="10" t="s">
        <v>1860</v>
      </c>
      <c r="M520" s="9">
        <v>45741</v>
      </c>
      <c r="N520" s="9">
        <v>45831</v>
      </c>
      <c r="O520" s="9">
        <v>45930</v>
      </c>
      <c r="P520" s="11">
        <v>45</v>
      </c>
      <c r="Q520" s="12">
        <v>1999134</v>
      </c>
      <c r="R520">
        <v>1999134</v>
      </c>
      <c r="S520" s="22">
        <v>0.2</v>
      </c>
      <c r="T520" s="22">
        <v>0.09</v>
      </c>
      <c r="U520" s="12">
        <v>1743244.85</v>
      </c>
      <c r="V520" s="24">
        <v>1743244.85</v>
      </c>
      <c r="W520" s="8">
        <v>1474123.19</v>
      </c>
      <c r="X520" s="24">
        <v>1474123.19</v>
      </c>
      <c r="Y520" s="22">
        <v>0.28999999999999998</v>
      </c>
      <c r="Z520" s="22">
        <v>0.15</v>
      </c>
      <c r="AA520" s="8" t="s">
        <v>1861</v>
      </c>
      <c r="AB520" s="8">
        <v>734290.01</v>
      </c>
      <c r="AC520" s="24">
        <v>734290.01</v>
      </c>
      <c r="AD520" s="8">
        <v>327585.78000000003</v>
      </c>
      <c r="AE520" s="24">
        <v>327585.78000000003</v>
      </c>
      <c r="AF520" s="8">
        <v>60</v>
      </c>
      <c r="AG520" s="8">
        <v>63</v>
      </c>
      <c r="AH520" s="8" t="s">
        <v>353</v>
      </c>
      <c r="AI520" s="8" t="s">
        <v>226</v>
      </c>
      <c r="AJ520" s="22">
        <v>0.35</v>
      </c>
      <c r="AK520" s="8" t="s">
        <v>152</v>
      </c>
      <c r="AL520" s="22">
        <v>0.1</v>
      </c>
      <c r="AM520" s="22">
        <v>0.08</v>
      </c>
      <c r="AN520" s="8">
        <v>3</v>
      </c>
      <c r="AO520" s="8">
        <v>3439</v>
      </c>
      <c r="AP520" s="8">
        <v>173658.63</v>
      </c>
      <c r="AQ520" s="24">
        <v>173658.63</v>
      </c>
      <c r="AR520" s="8">
        <v>519724.11</v>
      </c>
      <c r="AS520" s="37">
        <v>519724.11</v>
      </c>
      <c r="AT520" s="8" t="s">
        <v>343</v>
      </c>
      <c r="AU520" s="8" t="s">
        <v>356</v>
      </c>
      <c r="AV520" s="8">
        <v>76.599999999999994</v>
      </c>
      <c r="AW520" s="8">
        <v>12</v>
      </c>
      <c r="AX520" s="8" t="s">
        <v>332</v>
      </c>
      <c r="AY520" s="8" t="s">
        <v>206</v>
      </c>
      <c r="AZ520" s="8" t="s">
        <v>332</v>
      </c>
      <c r="BA520" s="21">
        <f>IF(OR(tblsales[[#This Row],[Invoice Value USD]]="",tblsales[[#This Row],[Collected Amount USD]]=""),"",tblsales[[#This Row],[Invoice Value USD]]-tblsales[[#This Row],[Collected Amount USD]])</f>
        <v>406704.23</v>
      </c>
      <c r="BB520" s="21">
        <f>IF(OR(tblsales[[#This Row],[Contract Value USD]]="",tblsales[[#This Row],[Cost Estimate USD]]=""),"",tblsales[[#This Row],[Contract Value USD]]-tblsales[[#This Row],[Cost Estimate USD]])</f>
        <v>269121.66000000015</v>
      </c>
      <c r="BC520" s="21">
        <f>IF(OR(tblsales[[#This Row],[Contract Value USD]]="",tblsales[[#This Row],[Cost Estimate USD]]=""),"",tblsales[[#This Row],[Contract Value USD]]-tblsales[[#This Row],[Cost Estimate USD]])</f>
        <v>269121.66000000015</v>
      </c>
      <c r="BD520" s="23">
        <f>IF(tblsales[[#This Row],[Invoice Value USD]]="","",tblsales[[#This Row],[Collected Amount USD]]/tblsales[[#This Row],[Invoice Value USD]])</f>
        <v>0.44612588424020644</v>
      </c>
      <c r="BE520" s="11">
        <f>IF(tblsales[[#This Row],[SalesStage]]="Won",1,0)</f>
        <v>0</v>
      </c>
      <c r="BF520" s="21" t="str">
        <f>IF(tblsales[[#This Row],[Win Flag]]=1,"Won","Lost")</f>
        <v>Lost</v>
      </c>
      <c r="BG520" s="8"/>
    </row>
    <row r="521" spans="1:59" x14ac:dyDescent="0.3">
      <c r="A521" s="10" t="s">
        <v>1862</v>
      </c>
      <c r="B521" s="9">
        <v>45922</v>
      </c>
      <c r="C521" s="10" t="s">
        <v>282</v>
      </c>
      <c r="D521" s="10" t="s">
        <v>202</v>
      </c>
      <c r="E521" s="10" t="s">
        <v>113</v>
      </c>
      <c r="F521" s="10" t="s">
        <v>367</v>
      </c>
      <c r="G521" s="10" t="s">
        <v>16</v>
      </c>
      <c r="H521" s="10" t="s">
        <v>212</v>
      </c>
      <c r="I521" s="10" t="s">
        <v>191</v>
      </c>
      <c r="J521" s="10" t="s">
        <v>127</v>
      </c>
      <c r="K521" s="10" t="s">
        <v>199</v>
      </c>
      <c r="L521" s="10" t="s">
        <v>1863</v>
      </c>
      <c r="M521" s="9">
        <v>45857</v>
      </c>
      <c r="N521" s="9">
        <v>45953</v>
      </c>
      <c r="O521" s="9">
        <v>45986</v>
      </c>
      <c r="P521" s="11">
        <v>42</v>
      </c>
      <c r="Q521" s="12">
        <v>32698787</v>
      </c>
      <c r="R521">
        <v>8903879.7000999991</v>
      </c>
      <c r="S521" s="22">
        <v>0.32</v>
      </c>
      <c r="T521" s="22">
        <v>0.09</v>
      </c>
      <c r="U521" s="12">
        <v>24236340.920000002</v>
      </c>
      <c r="V521" s="24">
        <v>6599555.6325160004</v>
      </c>
      <c r="W521" s="8">
        <v>15857323.039999999</v>
      </c>
      <c r="X521" s="24">
        <v>4317949.0637919996</v>
      </c>
      <c r="Y521" s="22">
        <v>0.38</v>
      </c>
      <c r="Z521" s="22">
        <v>0.11</v>
      </c>
      <c r="AA521" s="8" t="s">
        <v>1864</v>
      </c>
      <c r="AB521" s="8">
        <v>3312585.09</v>
      </c>
      <c r="AC521" s="24">
        <v>902016.92000699986</v>
      </c>
      <c r="AD521" s="8">
        <v>2609674.7000000002</v>
      </c>
      <c r="AE521" s="24">
        <v>710614.42081000004</v>
      </c>
      <c r="AF521" s="8">
        <v>30</v>
      </c>
      <c r="AG521" s="8">
        <v>73</v>
      </c>
      <c r="AH521" s="8" t="s">
        <v>329</v>
      </c>
      <c r="AI521" s="8" t="s">
        <v>381</v>
      </c>
      <c r="AJ521" s="22">
        <v>0.49</v>
      </c>
      <c r="AK521" s="8" t="s">
        <v>153</v>
      </c>
      <c r="AL521" s="22">
        <v>0.15</v>
      </c>
      <c r="AM521" s="22">
        <v>0.03</v>
      </c>
      <c r="AN521" s="8">
        <v>8</v>
      </c>
      <c r="AO521" s="8">
        <v>3865</v>
      </c>
      <c r="AP521" s="8">
        <v>2038750.24</v>
      </c>
      <c r="AQ521" s="24">
        <v>555151.69035199995</v>
      </c>
      <c r="AR521" s="8">
        <v>10988540.34</v>
      </c>
      <c r="AS521" s="37">
        <v>2992179.5345819998</v>
      </c>
      <c r="AT521" s="8" t="s">
        <v>73</v>
      </c>
      <c r="AU521" s="8" t="s">
        <v>348</v>
      </c>
      <c r="AV521" s="8">
        <v>80.900000000000006</v>
      </c>
      <c r="AW521" s="8">
        <v>12</v>
      </c>
      <c r="AX521" s="8" t="s">
        <v>332</v>
      </c>
      <c r="AY521" s="8" t="s">
        <v>224</v>
      </c>
      <c r="AZ521" s="8" t="s">
        <v>357</v>
      </c>
      <c r="BA521" s="21">
        <f>IF(OR(tblsales[[#This Row],[Invoice Value USD]]="",tblsales[[#This Row],[Collected Amount USD]]=""),"",tblsales[[#This Row],[Invoice Value USD]]-tblsales[[#This Row],[Collected Amount USD]])</f>
        <v>191402.49919699982</v>
      </c>
      <c r="BB521" s="21">
        <f>IF(OR(tblsales[[#This Row],[Contract Value USD]]="",tblsales[[#This Row],[Cost Estimate USD]]=""),"",tblsales[[#This Row],[Contract Value USD]]-tblsales[[#This Row],[Cost Estimate USD]])</f>
        <v>2281606.5687240008</v>
      </c>
      <c r="BC521" s="21">
        <f>IF(OR(tblsales[[#This Row],[Contract Value USD]]="",tblsales[[#This Row],[Cost Estimate USD]]=""),"",tblsales[[#This Row],[Contract Value USD]]-tblsales[[#This Row],[Cost Estimate USD]])</f>
        <v>2281606.5687240008</v>
      </c>
      <c r="BD521" s="23">
        <f>IF(tblsales[[#This Row],[Invoice Value USD]]="","",tblsales[[#This Row],[Collected Amount USD]]/tblsales[[#This Row],[Invoice Value USD]])</f>
        <v>0.78780608772226302</v>
      </c>
      <c r="BE521" s="11">
        <f>IF(tblsales[[#This Row],[SalesStage]]="Won",1,0)</f>
        <v>0</v>
      </c>
      <c r="BF521" s="21" t="str">
        <f>IF(tblsales[[#This Row],[Win Flag]]=1,"Won","Lost")</f>
        <v>Lost</v>
      </c>
      <c r="BG521" s="8"/>
    </row>
    <row r="522" spans="1:59" x14ac:dyDescent="0.3">
      <c r="A522" s="10" t="s">
        <v>1865</v>
      </c>
      <c r="B522" s="9">
        <v>45870</v>
      </c>
      <c r="C522" s="10" t="s">
        <v>241</v>
      </c>
      <c r="D522" s="10" t="s">
        <v>253</v>
      </c>
      <c r="E522" s="10" t="s">
        <v>36</v>
      </c>
      <c r="F522" s="10" t="s">
        <v>19</v>
      </c>
      <c r="G522" s="10" t="s">
        <v>57</v>
      </c>
      <c r="H522" s="10" t="s">
        <v>263</v>
      </c>
      <c r="I522" s="10" t="s">
        <v>198</v>
      </c>
      <c r="J522" s="10" t="s">
        <v>115</v>
      </c>
      <c r="K522" s="10" t="s">
        <v>326</v>
      </c>
      <c r="L522" s="10" t="s">
        <v>1866</v>
      </c>
      <c r="M522" s="9">
        <v>45845</v>
      </c>
      <c r="N522" s="9">
        <v>45896</v>
      </c>
      <c r="O522" s="9"/>
      <c r="P522" s="11">
        <v>18</v>
      </c>
      <c r="Q522" s="12">
        <v>418847</v>
      </c>
      <c r="R522">
        <v>418847</v>
      </c>
      <c r="S522" s="22">
        <v>0.25</v>
      </c>
      <c r="T522" s="22">
        <v>0.19</v>
      </c>
      <c r="U522" s="12">
        <v>373820.95</v>
      </c>
      <c r="V522" s="24">
        <v>373820.95</v>
      </c>
      <c r="W522" s="8">
        <v>231257.13</v>
      </c>
      <c r="X522" s="24">
        <v>231257.13</v>
      </c>
      <c r="Y522" s="22">
        <v>0.21</v>
      </c>
      <c r="Z522" s="22">
        <v>0.15</v>
      </c>
      <c r="AA522" s="8" t="s">
        <v>1867</v>
      </c>
      <c r="AB522" s="8">
        <v>156899.97</v>
      </c>
      <c r="AC522" s="24">
        <v>156899.97</v>
      </c>
      <c r="AD522" s="8">
        <v>134354.01</v>
      </c>
      <c r="AE522" s="24">
        <v>134354.01</v>
      </c>
      <c r="AF522" s="8">
        <v>60</v>
      </c>
      <c r="AG522" s="8">
        <v>170</v>
      </c>
      <c r="AH522" s="8" t="s">
        <v>342</v>
      </c>
      <c r="AI522" s="8" t="s">
        <v>455</v>
      </c>
      <c r="AJ522" s="22">
        <v>0.98</v>
      </c>
      <c r="AK522" s="8" t="s">
        <v>152</v>
      </c>
      <c r="AL522" s="22">
        <v>0.15</v>
      </c>
      <c r="AM522" s="22">
        <v>0.06</v>
      </c>
      <c r="AN522" s="8">
        <v>8</v>
      </c>
      <c r="AO522" s="8">
        <v>1085</v>
      </c>
      <c r="AP522" s="8">
        <v>46124.82</v>
      </c>
      <c r="AQ522" s="24">
        <v>46124.82</v>
      </c>
      <c r="AR522" s="8">
        <v>73459.17</v>
      </c>
      <c r="AS522" s="37">
        <v>73459.17</v>
      </c>
      <c r="AT522" s="8" t="s">
        <v>321</v>
      </c>
      <c r="AU522" s="8" t="s">
        <v>386</v>
      </c>
      <c r="AV522" s="8">
        <v>75.900000000000006</v>
      </c>
      <c r="AW522" s="8"/>
      <c r="AX522" s="8" t="s">
        <v>332</v>
      </c>
      <c r="AY522" s="8" t="s">
        <v>206</v>
      </c>
      <c r="AZ522" s="8" t="s">
        <v>188</v>
      </c>
      <c r="BA522" s="21">
        <f>IF(OR(tblsales[[#This Row],[Invoice Value USD]]="",tblsales[[#This Row],[Collected Amount USD]]=""),"",tblsales[[#This Row],[Invoice Value USD]]-tblsales[[#This Row],[Collected Amount USD]])</f>
        <v>22545.959999999992</v>
      </c>
      <c r="BB522" s="21">
        <f>IF(OR(tblsales[[#This Row],[Contract Value USD]]="",tblsales[[#This Row],[Cost Estimate USD]]=""),"",tblsales[[#This Row],[Contract Value USD]]-tblsales[[#This Row],[Cost Estimate USD]])</f>
        <v>142563.82</v>
      </c>
      <c r="BC522" s="21">
        <f>IF(OR(tblsales[[#This Row],[Contract Value USD]]="",tblsales[[#This Row],[Cost Estimate USD]]=""),"",tblsales[[#This Row],[Contract Value USD]]-tblsales[[#This Row],[Cost Estimate USD]])</f>
        <v>142563.82</v>
      </c>
      <c r="BD522" s="23">
        <f>IF(tblsales[[#This Row],[Invoice Value USD]]="","",tblsales[[#This Row],[Collected Amount USD]]/tblsales[[#This Row],[Invoice Value USD]])</f>
        <v>0.8563036054117793</v>
      </c>
      <c r="BE522" s="11">
        <f>IF(tblsales[[#This Row],[SalesStage]]="Won",1,0)</f>
        <v>0</v>
      </c>
      <c r="BF522" s="21" t="str">
        <f>IF(tblsales[[#This Row],[Win Flag]]=1,"Won","Lost")</f>
        <v>Lost</v>
      </c>
      <c r="BG522" s="8"/>
    </row>
    <row r="523" spans="1:59" x14ac:dyDescent="0.3">
      <c r="A523" s="10" t="s">
        <v>1868</v>
      </c>
      <c r="B523" s="9">
        <v>45869</v>
      </c>
      <c r="C523" s="10" t="s">
        <v>256</v>
      </c>
      <c r="D523" s="10" t="s">
        <v>245</v>
      </c>
      <c r="E523" s="10" t="s">
        <v>41</v>
      </c>
      <c r="F523" s="10" t="s">
        <v>363</v>
      </c>
      <c r="G523" s="10" t="s">
        <v>16</v>
      </c>
      <c r="H523" s="10" t="s">
        <v>182</v>
      </c>
      <c r="I523" s="10" t="s">
        <v>198</v>
      </c>
      <c r="J523" s="10" t="s">
        <v>130</v>
      </c>
      <c r="K523" s="10" t="s">
        <v>326</v>
      </c>
      <c r="L523" s="10" t="s">
        <v>1869</v>
      </c>
      <c r="M523" s="9">
        <v>45811</v>
      </c>
      <c r="N523" s="9">
        <v>45889</v>
      </c>
      <c r="O523" s="9"/>
      <c r="P523" s="11">
        <v>13</v>
      </c>
      <c r="Q523" s="12">
        <v>42863770</v>
      </c>
      <c r="R523">
        <v>49764836.969999999</v>
      </c>
      <c r="S523" s="22">
        <v>0.23</v>
      </c>
      <c r="T523" s="22">
        <v>0.02</v>
      </c>
      <c r="U523" s="12">
        <v>33665204.960000001</v>
      </c>
      <c r="V523" s="24">
        <v>39085302.958560005</v>
      </c>
      <c r="W523" s="8">
        <v>25763732.18</v>
      </c>
      <c r="X523" s="24">
        <v>29911693.06098</v>
      </c>
      <c r="Y523" s="22">
        <v>0.17</v>
      </c>
      <c r="Z523" s="22">
        <v>0.06</v>
      </c>
      <c r="AA523" s="8" t="s">
        <v>1870</v>
      </c>
      <c r="AB523" s="8">
        <v>14748154.76</v>
      </c>
      <c r="AC523" s="24">
        <v>17122607.67636</v>
      </c>
      <c r="AD523" s="8">
        <v>14740341.369999999</v>
      </c>
      <c r="AE523" s="24">
        <v>17113536.330570001</v>
      </c>
      <c r="AF523" s="8">
        <v>90</v>
      </c>
      <c r="AG523" s="8">
        <v>49</v>
      </c>
      <c r="AH523" s="8" t="s">
        <v>329</v>
      </c>
      <c r="AI523" s="8" t="s">
        <v>406</v>
      </c>
      <c r="AJ523" s="22">
        <v>0.86</v>
      </c>
      <c r="AK523" s="8" t="s">
        <v>159</v>
      </c>
      <c r="AL523" s="22">
        <v>0.05</v>
      </c>
      <c r="AM523" s="22">
        <v>0.02</v>
      </c>
      <c r="AN523" s="8">
        <v>2</v>
      </c>
      <c r="AO523" s="8">
        <v>2599</v>
      </c>
      <c r="AP523" s="8">
        <v>5423267.04</v>
      </c>
      <c r="AQ523" s="24">
        <v>6296413.0334400004</v>
      </c>
      <c r="AR523" s="8">
        <v>15786859.810000001</v>
      </c>
      <c r="AS523" s="37">
        <v>18328544.239410002</v>
      </c>
      <c r="AT523" s="8" t="s">
        <v>391</v>
      </c>
      <c r="AU523" s="8" t="s">
        <v>322</v>
      </c>
      <c r="AV523" s="8">
        <v>76.2</v>
      </c>
      <c r="AW523" s="8">
        <v>36</v>
      </c>
      <c r="AX523" s="8" t="s">
        <v>332</v>
      </c>
      <c r="AY523" s="8" t="s">
        <v>229</v>
      </c>
      <c r="AZ523" s="8" t="s">
        <v>332</v>
      </c>
      <c r="BA523" s="21">
        <f>IF(OR(tblsales[[#This Row],[Invoice Value USD]]="",tblsales[[#This Row],[Collected Amount USD]]=""),"",tblsales[[#This Row],[Invoice Value USD]]-tblsales[[#This Row],[Collected Amount USD]])</f>
        <v>9071.3457899987698</v>
      </c>
      <c r="BB523" s="21">
        <f>IF(OR(tblsales[[#This Row],[Contract Value USD]]="",tblsales[[#This Row],[Cost Estimate USD]]=""),"",tblsales[[#This Row],[Contract Value USD]]-tblsales[[#This Row],[Cost Estimate USD]])</f>
        <v>9173609.8975800052</v>
      </c>
      <c r="BC523" s="21">
        <f>IF(OR(tblsales[[#This Row],[Contract Value USD]]="",tblsales[[#This Row],[Cost Estimate USD]]=""),"",tblsales[[#This Row],[Contract Value USD]]-tblsales[[#This Row],[Cost Estimate USD]])</f>
        <v>9173609.8975800052</v>
      </c>
      <c r="BD523" s="23">
        <f>IF(tblsales[[#This Row],[Invoice Value USD]]="","",tblsales[[#This Row],[Collected Amount USD]]/tblsales[[#This Row],[Invoice Value USD]])</f>
        <v>0.99947021236709621</v>
      </c>
      <c r="BE523" s="11">
        <f>IF(tblsales[[#This Row],[SalesStage]]="Won",1,0)</f>
        <v>0</v>
      </c>
      <c r="BF523" s="21" t="str">
        <f>IF(tblsales[[#This Row],[Win Flag]]=1,"Won","Lost")</f>
        <v>Lost</v>
      </c>
      <c r="BG523" s="8"/>
    </row>
    <row r="524" spans="1:59" x14ac:dyDescent="0.3">
      <c r="A524" s="10" t="s">
        <v>1871</v>
      </c>
      <c r="B524" s="9">
        <v>45676</v>
      </c>
      <c r="C524" s="10" t="s">
        <v>286</v>
      </c>
      <c r="D524" s="10" t="s">
        <v>281</v>
      </c>
      <c r="E524" s="10" t="s">
        <v>36</v>
      </c>
      <c r="F524" s="10" t="s">
        <v>332</v>
      </c>
      <c r="G524" s="10" t="s">
        <v>80</v>
      </c>
      <c r="H524" s="10" t="s">
        <v>182</v>
      </c>
      <c r="I524" s="10" t="s">
        <v>183</v>
      </c>
      <c r="J524" s="10" t="s">
        <v>115</v>
      </c>
      <c r="K524" s="10" t="s">
        <v>223</v>
      </c>
      <c r="L524" s="10" t="s">
        <v>1872</v>
      </c>
      <c r="M524" s="9">
        <v>45643</v>
      </c>
      <c r="N524" s="9"/>
      <c r="O524" s="9">
        <v>45842</v>
      </c>
      <c r="P524" s="11">
        <v>12</v>
      </c>
      <c r="Q524" s="12">
        <v>22234428</v>
      </c>
      <c r="R524">
        <v>22234428</v>
      </c>
      <c r="S524" s="22">
        <v>0.06</v>
      </c>
      <c r="T524" s="22">
        <v>0.01</v>
      </c>
      <c r="U524" s="12">
        <v>21109365.940000001</v>
      </c>
      <c r="V524" s="24">
        <v>21109365.940000001</v>
      </c>
      <c r="W524" s="8"/>
      <c r="X524" s="24"/>
      <c r="Y524" s="22">
        <v>0.22</v>
      </c>
      <c r="Z524" s="22">
        <v>0.13</v>
      </c>
      <c r="AA524" s="8" t="s">
        <v>1873</v>
      </c>
      <c r="AB524" s="8">
        <v>13074539.92</v>
      </c>
      <c r="AC524" s="24">
        <v>13074539.92</v>
      </c>
      <c r="AD524" s="8">
        <v>12705681.85</v>
      </c>
      <c r="AE524" s="24">
        <v>12705681.85</v>
      </c>
      <c r="AF524" s="8">
        <v>45</v>
      </c>
      <c r="AG524" s="8">
        <v>158</v>
      </c>
      <c r="AH524" s="8" t="s">
        <v>342</v>
      </c>
      <c r="AI524" s="8" t="s">
        <v>226</v>
      </c>
      <c r="AJ524" s="22">
        <v>0.56000000000000005</v>
      </c>
      <c r="AK524" s="8" t="s">
        <v>152</v>
      </c>
      <c r="AL524" s="22">
        <v>0.1</v>
      </c>
      <c r="AM524" s="22">
        <v>0.02</v>
      </c>
      <c r="AN524" s="8">
        <v>5</v>
      </c>
      <c r="AO524" s="8">
        <v>4408</v>
      </c>
      <c r="AP524" s="8">
        <v>1499372.37</v>
      </c>
      <c r="AQ524" s="24">
        <v>1499372.37</v>
      </c>
      <c r="AR524" s="8">
        <v>5040568.1399999997</v>
      </c>
      <c r="AS524" s="37">
        <v>5040568.1399999997</v>
      </c>
      <c r="AT524" s="8" t="s">
        <v>391</v>
      </c>
      <c r="AU524" s="8" t="s">
        <v>332</v>
      </c>
      <c r="AV524" s="8">
        <v>98.5</v>
      </c>
      <c r="AW524" s="8">
        <v>36</v>
      </c>
      <c r="AX524" s="8" t="s">
        <v>392</v>
      </c>
      <c r="AY524" s="8" t="s">
        <v>229</v>
      </c>
      <c r="AZ524" s="8" t="s">
        <v>357</v>
      </c>
      <c r="BA524" s="21">
        <f>IF(OR(tblsales[[#This Row],[Invoice Value USD]]="",tblsales[[#This Row],[Collected Amount USD]]=""),"",tblsales[[#This Row],[Invoice Value USD]]-tblsales[[#This Row],[Collected Amount USD]])</f>
        <v>368858.0700000003</v>
      </c>
      <c r="BB524" s="21" t="str">
        <f>IF(OR(tblsales[[#This Row],[Contract Value USD]]="",tblsales[[#This Row],[Cost Estimate USD]]=""),"",tblsales[[#This Row],[Contract Value USD]]-tblsales[[#This Row],[Cost Estimate USD]])</f>
        <v/>
      </c>
      <c r="BC524" s="21" t="str">
        <f>IF(OR(tblsales[[#This Row],[Contract Value USD]]="",tblsales[[#This Row],[Cost Estimate USD]]=""),"",tblsales[[#This Row],[Contract Value USD]]-tblsales[[#This Row],[Cost Estimate USD]])</f>
        <v/>
      </c>
      <c r="BD524" s="23">
        <f>IF(tblsales[[#This Row],[Invoice Value USD]]="","",tblsales[[#This Row],[Collected Amount USD]]/tblsales[[#This Row],[Invoice Value USD]])</f>
        <v>0.97178806502890691</v>
      </c>
      <c r="BE524" s="11">
        <f>IF(tblsales[[#This Row],[SalesStage]]="Won",1,0)</f>
        <v>0</v>
      </c>
      <c r="BF524" s="21" t="str">
        <f>IF(tblsales[[#This Row],[Win Flag]]=1,"Won","Lost")</f>
        <v>Lost</v>
      </c>
      <c r="BG524" s="8"/>
    </row>
    <row r="525" spans="1:59" x14ac:dyDescent="0.3">
      <c r="A525" s="10" t="s">
        <v>1874</v>
      </c>
      <c r="B525" s="9">
        <v>45913</v>
      </c>
      <c r="C525" s="10" t="s">
        <v>189</v>
      </c>
      <c r="D525" s="10" t="s">
        <v>242</v>
      </c>
      <c r="E525" s="10" t="s">
        <v>332</v>
      </c>
      <c r="F525" s="10" t="s">
        <v>35</v>
      </c>
      <c r="G525" s="10" t="s">
        <v>70</v>
      </c>
      <c r="H525" s="10" t="s">
        <v>216</v>
      </c>
      <c r="I525" s="10" t="s">
        <v>203</v>
      </c>
      <c r="J525" s="10" t="s">
        <v>99</v>
      </c>
      <c r="K525" s="10" t="s">
        <v>223</v>
      </c>
      <c r="L525" s="10" t="s">
        <v>1875</v>
      </c>
      <c r="M525" s="9">
        <v>45860</v>
      </c>
      <c r="N525" s="9"/>
      <c r="O525" s="9">
        <v>46020</v>
      </c>
      <c r="P525" s="11">
        <v>53</v>
      </c>
      <c r="Q525" s="12">
        <v>43439359</v>
      </c>
      <c r="R525">
        <v>50433095.799000002</v>
      </c>
      <c r="S525" s="22">
        <v>0.25</v>
      </c>
      <c r="T525" s="22">
        <v>-0.04</v>
      </c>
      <c r="U525" s="12">
        <v>31276338.48</v>
      </c>
      <c r="V525" s="24">
        <v>36311828.975280002</v>
      </c>
      <c r="W525" s="8">
        <v>27355875.18</v>
      </c>
      <c r="X525" s="24">
        <v>31760171.083980002</v>
      </c>
      <c r="Y525" s="22">
        <v>0.06</v>
      </c>
      <c r="Z525" s="22">
        <v>7.0000000000000007E-2</v>
      </c>
      <c r="AA525" s="8" t="s">
        <v>1876</v>
      </c>
      <c r="AB525" s="8">
        <v>8334709.7300000004</v>
      </c>
      <c r="AC525" s="24">
        <v>9676597.9965300001</v>
      </c>
      <c r="AD525" s="8">
        <v>3920417.66</v>
      </c>
      <c r="AE525" s="24">
        <v>4551604.9032600001</v>
      </c>
      <c r="AF525" s="8">
        <v>120</v>
      </c>
      <c r="AG525" s="8">
        <v>92</v>
      </c>
      <c r="AH525" s="8" t="s">
        <v>342</v>
      </c>
      <c r="AI525" s="8" t="s">
        <v>381</v>
      </c>
      <c r="AJ525" s="22">
        <v>0.71</v>
      </c>
      <c r="AK525" s="8" t="s">
        <v>159</v>
      </c>
      <c r="AL525" s="22">
        <v>0.1</v>
      </c>
      <c r="AM525" s="22">
        <v>0.03</v>
      </c>
      <c r="AN525" s="8">
        <v>4</v>
      </c>
      <c r="AO525" s="8">
        <v>2348</v>
      </c>
      <c r="AP525" s="8">
        <v>5264821.04</v>
      </c>
      <c r="AQ525" s="24">
        <v>6112457.2274400005</v>
      </c>
      <c r="AR525" s="8">
        <v>8018930.04</v>
      </c>
      <c r="AS525" s="37">
        <v>9309977.7764400002</v>
      </c>
      <c r="AT525" s="8" t="s">
        <v>332</v>
      </c>
      <c r="AU525" s="8" t="s">
        <v>330</v>
      </c>
      <c r="AV525" s="8">
        <v>77.900000000000006</v>
      </c>
      <c r="AW525" s="8">
        <v>36</v>
      </c>
      <c r="AX525" s="8" t="s">
        <v>337</v>
      </c>
      <c r="AY525" s="8" t="s">
        <v>229</v>
      </c>
      <c r="AZ525" s="8" t="s">
        <v>324</v>
      </c>
      <c r="BA525" s="21">
        <f>IF(OR(tblsales[[#This Row],[Invoice Value USD]]="",tblsales[[#This Row],[Collected Amount USD]]=""),"",tblsales[[#This Row],[Invoice Value USD]]-tblsales[[#This Row],[Collected Amount USD]])</f>
        <v>5124993.0932700001</v>
      </c>
      <c r="BB525" s="21">
        <f>IF(OR(tblsales[[#This Row],[Contract Value USD]]="",tblsales[[#This Row],[Cost Estimate USD]]=""),"",tblsales[[#This Row],[Contract Value USD]]-tblsales[[#This Row],[Cost Estimate USD]])</f>
        <v>4551657.8913000003</v>
      </c>
      <c r="BC525" s="21">
        <f>IF(OR(tblsales[[#This Row],[Contract Value USD]]="",tblsales[[#This Row],[Cost Estimate USD]]=""),"",tblsales[[#This Row],[Contract Value USD]]-tblsales[[#This Row],[Cost Estimate USD]])</f>
        <v>4551657.8913000003</v>
      </c>
      <c r="BD525" s="23">
        <f>IF(tblsales[[#This Row],[Invoice Value USD]]="","",tblsales[[#This Row],[Collected Amount USD]]/tblsales[[#This Row],[Invoice Value USD]])</f>
        <v>0.47037242891480996</v>
      </c>
      <c r="BE525" s="11">
        <f>IF(tblsales[[#This Row],[SalesStage]]="Won",1,0)</f>
        <v>0</v>
      </c>
      <c r="BF525" s="21" t="str">
        <f>IF(tblsales[[#This Row],[Win Flag]]=1,"Won","Lost")</f>
        <v>Lost</v>
      </c>
      <c r="BG525" s="8"/>
    </row>
    <row r="526" spans="1:59" x14ac:dyDescent="0.3">
      <c r="A526" s="10" t="s">
        <v>1877</v>
      </c>
      <c r="B526" s="9">
        <v>45913</v>
      </c>
      <c r="C526" s="10" t="s">
        <v>271</v>
      </c>
      <c r="D526" s="10" t="s">
        <v>215</v>
      </c>
      <c r="E526" s="10" t="s">
        <v>52</v>
      </c>
      <c r="F526" s="10" t="s">
        <v>75</v>
      </c>
      <c r="G526" s="10" t="s">
        <v>16</v>
      </c>
      <c r="H526" s="10" t="s">
        <v>216</v>
      </c>
      <c r="I526" s="10" t="s">
        <v>332</v>
      </c>
      <c r="J526" s="10" t="s">
        <v>133</v>
      </c>
      <c r="K526" s="10" t="s">
        <v>333</v>
      </c>
      <c r="L526" s="10" t="s">
        <v>1878</v>
      </c>
      <c r="M526" s="9">
        <v>45851</v>
      </c>
      <c r="N526" s="9">
        <v>45951</v>
      </c>
      <c r="O526" s="9">
        <v>45953</v>
      </c>
      <c r="P526" s="11">
        <v>6</v>
      </c>
      <c r="Q526" s="12">
        <v>15518544</v>
      </c>
      <c r="R526">
        <v>15518544</v>
      </c>
      <c r="S526" s="22">
        <v>0.08</v>
      </c>
      <c r="T526" s="22">
        <v>0.13</v>
      </c>
      <c r="U526" s="12">
        <v>16133078.34</v>
      </c>
      <c r="V526" s="24">
        <v>16133078.34</v>
      </c>
      <c r="W526" s="8">
        <v>14303015.51</v>
      </c>
      <c r="X526" s="24">
        <v>14303015.51</v>
      </c>
      <c r="Y526" s="22">
        <v>0.06</v>
      </c>
      <c r="Z526" s="22">
        <v>7.0000000000000007E-2</v>
      </c>
      <c r="AA526" s="8" t="s">
        <v>1879</v>
      </c>
      <c r="AB526" s="8">
        <v>9358148.9900000002</v>
      </c>
      <c r="AC526" s="24">
        <v>9358148.9900000002</v>
      </c>
      <c r="AD526" s="8">
        <v>3335641.9</v>
      </c>
      <c r="AE526" s="24">
        <v>3335641.9</v>
      </c>
      <c r="AF526" s="8">
        <v>45</v>
      </c>
      <c r="AG526" s="8">
        <v>73</v>
      </c>
      <c r="AH526" s="8" t="s">
        <v>347</v>
      </c>
      <c r="AI526" s="8" t="s">
        <v>336</v>
      </c>
      <c r="AJ526" s="22">
        <v>0.56000000000000005</v>
      </c>
      <c r="AK526" s="8" t="s">
        <v>152</v>
      </c>
      <c r="AL526" s="22">
        <v>0.1</v>
      </c>
      <c r="AM526" s="22">
        <v>0.04</v>
      </c>
      <c r="AN526" s="8">
        <v>14</v>
      </c>
      <c r="AO526" s="8">
        <v>2925</v>
      </c>
      <c r="AP526" s="8">
        <v>2640137.84</v>
      </c>
      <c r="AQ526" s="24">
        <v>2640137.84</v>
      </c>
      <c r="AR526" s="8">
        <v>7341295.1699999999</v>
      </c>
      <c r="AS526" s="37">
        <v>7341295.1699999999</v>
      </c>
      <c r="AT526" s="8" t="s">
        <v>73</v>
      </c>
      <c r="AU526" s="8" t="s">
        <v>356</v>
      </c>
      <c r="AV526" s="8">
        <v>74.900000000000006</v>
      </c>
      <c r="AW526" s="8">
        <v>12</v>
      </c>
      <c r="AX526" s="8" t="s">
        <v>323</v>
      </c>
      <c r="AY526" s="8" t="s">
        <v>229</v>
      </c>
      <c r="AZ526" s="8" t="s">
        <v>361</v>
      </c>
      <c r="BA526" s="21">
        <f>IF(OR(tblsales[[#This Row],[Invoice Value USD]]="",tblsales[[#This Row],[Collected Amount USD]]=""),"",tblsales[[#This Row],[Invoice Value USD]]-tblsales[[#This Row],[Collected Amount USD]])</f>
        <v>6022507.0899999999</v>
      </c>
      <c r="BB526" s="21">
        <f>IF(OR(tblsales[[#This Row],[Contract Value USD]]="",tblsales[[#This Row],[Cost Estimate USD]]=""),"",tblsales[[#This Row],[Contract Value USD]]-tblsales[[#This Row],[Cost Estimate USD]])</f>
        <v>1830062.83</v>
      </c>
      <c r="BC526" s="21">
        <f>IF(OR(tblsales[[#This Row],[Contract Value USD]]="",tblsales[[#This Row],[Cost Estimate USD]]=""),"",tblsales[[#This Row],[Contract Value USD]]-tblsales[[#This Row],[Cost Estimate USD]])</f>
        <v>1830062.83</v>
      </c>
      <c r="BD526" s="23">
        <f>IF(tblsales[[#This Row],[Invoice Value USD]]="","",tblsales[[#This Row],[Collected Amount USD]]/tblsales[[#This Row],[Invoice Value USD]])</f>
        <v>0.35644248703076054</v>
      </c>
      <c r="BE526" s="11">
        <f>IF(tblsales[[#This Row],[SalesStage]]="Won",1,0)</f>
        <v>0</v>
      </c>
      <c r="BF526" s="21" t="str">
        <f>IF(tblsales[[#This Row],[Win Flag]]=1,"Won","Lost")</f>
        <v>Lost</v>
      </c>
      <c r="BG526" s="8"/>
    </row>
    <row r="527" spans="1:59" x14ac:dyDescent="0.3">
      <c r="A527" s="10" t="s">
        <v>1880</v>
      </c>
      <c r="B527" s="9">
        <v>45801</v>
      </c>
      <c r="C527" s="10" t="s">
        <v>249</v>
      </c>
      <c r="D527" s="10" t="s">
        <v>232</v>
      </c>
      <c r="E527" s="10" t="s">
        <v>20</v>
      </c>
      <c r="F527" s="10" t="s">
        <v>196</v>
      </c>
      <c r="G527" s="10" t="s">
        <v>50</v>
      </c>
      <c r="H527" s="10" t="s">
        <v>216</v>
      </c>
      <c r="I527" s="10" t="s">
        <v>191</v>
      </c>
      <c r="J527" s="10" t="s">
        <v>136</v>
      </c>
      <c r="K527" s="10" t="s">
        <v>184</v>
      </c>
      <c r="L527" s="10" t="s">
        <v>1881</v>
      </c>
      <c r="M527" s="9">
        <v>45748</v>
      </c>
      <c r="N527" s="9">
        <v>45875</v>
      </c>
      <c r="O527" s="9"/>
      <c r="P527" s="11">
        <v>8</v>
      </c>
      <c r="Q527" s="12">
        <v>13469245</v>
      </c>
      <c r="R527">
        <v>3667675.4134999998</v>
      </c>
      <c r="S527" s="22">
        <v>0.12</v>
      </c>
      <c r="T527" s="22">
        <v>0.06</v>
      </c>
      <c r="U527" s="12">
        <v>12564111.74</v>
      </c>
      <c r="V527" s="24">
        <v>3421207.6268019998</v>
      </c>
      <c r="W527" s="8">
        <v>8670603.4499999993</v>
      </c>
      <c r="X527" s="24">
        <v>2361005.3194349995</v>
      </c>
      <c r="Y527" s="22">
        <v>0.36</v>
      </c>
      <c r="Z527" s="22">
        <v>0.18</v>
      </c>
      <c r="AA527" s="8" t="s">
        <v>1882</v>
      </c>
      <c r="AB527" s="8">
        <v>2009068.7</v>
      </c>
      <c r="AC527" s="24">
        <v>547069.40700999997</v>
      </c>
      <c r="AD527" s="8">
        <v>1656978.65</v>
      </c>
      <c r="AE527" s="24">
        <v>451195.28639499994</v>
      </c>
      <c r="AF527" s="8">
        <v>90</v>
      </c>
      <c r="AG527" s="8">
        <v>43</v>
      </c>
      <c r="AH527" s="8" t="s">
        <v>329</v>
      </c>
      <c r="AI527" s="8" t="s">
        <v>455</v>
      </c>
      <c r="AJ527" s="22">
        <v>0.53</v>
      </c>
      <c r="AK527" s="8" t="s">
        <v>153</v>
      </c>
      <c r="AL527" s="22">
        <v>0.1</v>
      </c>
      <c r="AM527" s="22">
        <v>0.02</v>
      </c>
      <c r="AN527" s="8">
        <v>10</v>
      </c>
      <c r="AO527" s="8">
        <v>3016</v>
      </c>
      <c r="AP527" s="8">
        <v>2947497.56</v>
      </c>
      <c r="AQ527" s="24">
        <v>802603.58558800002</v>
      </c>
      <c r="AR527" s="8">
        <v>5750443.5499999998</v>
      </c>
      <c r="AS527" s="37">
        <v>1565845.7786649999</v>
      </c>
      <c r="AT527" s="8" t="s">
        <v>343</v>
      </c>
      <c r="AU527" s="8" t="s">
        <v>321</v>
      </c>
      <c r="AV527" s="8">
        <v>81.2</v>
      </c>
      <c r="AW527" s="8">
        <v>60</v>
      </c>
      <c r="AX527" s="8" t="s">
        <v>387</v>
      </c>
      <c r="AY527" s="8" t="s">
        <v>192</v>
      </c>
      <c r="AZ527" s="8" t="s">
        <v>188</v>
      </c>
      <c r="BA527" s="21">
        <f>IF(OR(tblsales[[#This Row],[Invoice Value USD]]="",tblsales[[#This Row],[Collected Amount USD]]=""),"",tblsales[[#This Row],[Invoice Value USD]]-tblsales[[#This Row],[Collected Amount USD]])</f>
        <v>95874.120615000022</v>
      </c>
      <c r="BB527" s="21">
        <f>IF(OR(tblsales[[#This Row],[Contract Value USD]]="",tblsales[[#This Row],[Cost Estimate USD]]=""),"",tblsales[[#This Row],[Contract Value USD]]-tblsales[[#This Row],[Cost Estimate USD]])</f>
        <v>1060202.3073670003</v>
      </c>
      <c r="BC527" s="21">
        <f>IF(OR(tblsales[[#This Row],[Contract Value USD]]="",tblsales[[#This Row],[Cost Estimate USD]]=""),"",tblsales[[#This Row],[Contract Value USD]]-tblsales[[#This Row],[Cost Estimate USD]])</f>
        <v>1060202.3073670003</v>
      </c>
      <c r="BD527" s="23">
        <f>IF(tblsales[[#This Row],[Invoice Value USD]]="","",tblsales[[#This Row],[Collected Amount USD]]/tblsales[[#This Row],[Invoice Value USD]])</f>
        <v>0.82474962155350884</v>
      </c>
      <c r="BE527" s="11">
        <f>IF(tblsales[[#This Row],[SalesStage]]="Won",1,0)</f>
        <v>0</v>
      </c>
      <c r="BF527" s="21" t="str">
        <f>IF(tblsales[[#This Row],[Win Flag]]=1,"Won","Lost")</f>
        <v>Lost</v>
      </c>
      <c r="BG527" s="8"/>
    </row>
    <row r="528" spans="1:59" x14ac:dyDescent="0.3">
      <c r="A528" s="10" t="s">
        <v>1883</v>
      </c>
      <c r="B528" s="9">
        <v>45970</v>
      </c>
      <c r="C528" s="10" t="s">
        <v>282</v>
      </c>
      <c r="D528" s="10" t="s">
        <v>332</v>
      </c>
      <c r="E528" s="10" t="s">
        <v>332</v>
      </c>
      <c r="F528" s="10" t="s">
        <v>181</v>
      </c>
      <c r="G528" s="10" t="s">
        <v>28</v>
      </c>
      <c r="H528" s="10" t="s">
        <v>182</v>
      </c>
      <c r="I528" s="10" t="s">
        <v>203</v>
      </c>
      <c r="J528" s="10" t="s">
        <v>99</v>
      </c>
      <c r="K528" s="10" t="s">
        <v>221</v>
      </c>
      <c r="L528" s="10" t="s">
        <v>1884</v>
      </c>
      <c r="M528" s="9">
        <v>45879</v>
      </c>
      <c r="N528" s="9">
        <v>46017</v>
      </c>
      <c r="O528" s="9">
        <v>46036</v>
      </c>
      <c r="P528" s="11">
        <v>14</v>
      </c>
      <c r="Q528" s="12">
        <v>42421698</v>
      </c>
      <c r="R528">
        <v>42421698</v>
      </c>
      <c r="S528" s="22">
        <v>0.25</v>
      </c>
      <c r="T528" s="22">
        <v>-0.03</v>
      </c>
      <c r="U528" s="12">
        <v>30861785.289999999</v>
      </c>
      <c r="V528" s="24">
        <v>30861785.289999999</v>
      </c>
      <c r="W528" s="8">
        <v>27763277.48</v>
      </c>
      <c r="X528" s="24">
        <v>27763277.48</v>
      </c>
      <c r="Y528" s="22">
        <v>0.15</v>
      </c>
      <c r="Z528" s="22">
        <v>0.18</v>
      </c>
      <c r="AA528" s="8" t="s">
        <v>1885</v>
      </c>
      <c r="AB528" s="8">
        <v>23374596.68</v>
      </c>
      <c r="AC528" s="24">
        <v>23374596.68</v>
      </c>
      <c r="AD528" s="8">
        <v>14010936.49</v>
      </c>
      <c r="AE528" s="24">
        <v>14010936.49</v>
      </c>
      <c r="AF528" s="8">
        <v>60</v>
      </c>
      <c r="AG528" s="8">
        <v>76</v>
      </c>
      <c r="AH528" s="8" t="s">
        <v>376</v>
      </c>
      <c r="AI528" s="8" t="s">
        <v>406</v>
      </c>
      <c r="AJ528" s="22">
        <v>0.35</v>
      </c>
      <c r="AK528" s="8" t="s">
        <v>152</v>
      </c>
      <c r="AL528" s="22">
        <v>0.05</v>
      </c>
      <c r="AM528" s="22">
        <v>0.08</v>
      </c>
      <c r="AN528" s="8">
        <v>1</v>
      </c>
      <c r="AO528" s="8">
        <v>735</v>
      </c>
      <c r="AP528" s="8">
        <v>7013988.6100000003</v>
      </c>
      <c r="AQ528" s="24">
        <v>7013988.6100000003</v>
      </c>
      <c r="AR528" s="8">
        <v>13337884.58</v>
      </c>
      <c r="AS528" s="37">
        <v>13337884.58</v>
      </c>
      <c r="AT528" s="8" t="s">
        <v>343</v>
      </c>
      <c r="AU528" s="8" t="s">
        <v>332</v>
      </c>
      <c r="AV528" s="8"/>
      <c r="AW528" s="8">
        <v>48</v>
      </c>
      <c r="AX528" s="8" t="s">
        <v>323</v>
      </c>
      <c r="AY528" s="8" t="s">
        <v>229</v>
      </c>
      <c r="AZ528" s="8" t="s">
        <v>188</v>
      </c>
      <c r="BA528" s="21">
        <f>IF(OR(tblsales[[#This Row],[Invoice Value USD]]="",tblsales[[#This Row],[Collected Amount USD]]=""),"",tblsales[[#This Row],[Invoice Value USD]]-tblsales[[#This Row],[Collected Amount USD]])</f>
        <v>9363660.1899999995</v>
      </c>
      <c r="BB528" s="21">
        <f>IF(OR(tblsales[[#This Row],[Contract Value USD]]="",tblsales[[#This Row],[Cost Estimate USD]]=""),"",tblsales[[#This Row],[Contract Value USD]]-tblsales[[#This Row],[Cost Estimate USD]])</f>
        <v>3098507.8099999987</v>
      </c>
      <c r="BC528" s="21">
        <f>IF(OR(tblsales[[#This Row],[Contract Value USD]]="",tblsales[[#This Row],[Cost Estimate USD]]=""),"",tblsales[[#This Row],[Contract Value USD]]-tblsales[[#This Row],[Cost Estimate USD]])</f>
        <v>3098507.8099999987</v>
      </c>
      <c r="BD528" s="23">
        <f>IF(tblsales[[#This Row],[Invoice Value USD]]="","",tblsales[[#This Row],[Collected Amount USD]]/tblsales[[#This Row],[Invoice Value USD]])</f>
        <v>0.59940869490972537</v>
      </c>
      <c r="BE528" s="11">
        <f>IF(tblsales[[#This Row],[SalesStage]]="Won",1,0)</f>
        <v>0</v>
      </c>
      <c r="BF528" s="21" t="str">
        <f>IF(tblsales[[#This Row],[Win Flag]]=1,"Won","Lost")</f>
        <v>Lost</v>
      </c>
      <c r="BG528" s="8"/>
    </row>
    <row r="529" spans="1:59" x14ac:dyDescent="0.3">
      <c r="A529" s="10" t="s">
        <v>1886</v>
      </c>
      <c r="B529" s="9">
        <v>45880</v>
      </c>
      <c r="C529" s="10" t="s">
        <v>261</v>
      </c>
      <c r="D529" s="10" t="s">
        <v>190</v>
      </c>
      <c r="E529" s="10" t="s">
        <v>332</v>
      </c>
      <c r="F529" s="10" t="s">
        <v>228</v>
      </c>
      <c r="G529" s="10" t="s">
        <v>73</v>
      </c>
      <c r="H529" s="10" t="s">
        <v>212</v>
      </c>
      <c r="I529" s="10" t="s">
        <v>183</v>
      </c>
      <c r="J529" s="10" t="s">
        <v>99</v>
      </c>
      <c r="K529" s="10" t="s">
        <v>333</v>
      </c>
      <c r="L529" s="10" t="s">
        <v>1887</v>
      </c>
      <c r="M529" s="9">
        <v>45786</v>
      </c>
      <c r="N529" s="9"/>
      <c r="O529" s="9">
        <v>46036</v>
      </c>
      <c r="P529" s="11">
        <v>10</v>
      </c>
      <c r="Q529" s="12">
        <v>17170533</v>
      </c>
      <c r="R529">
        <v>17170533</v>
      </c>
      <c r="S529" s="22">
        <v>0.04</v>
      </c>
      <c r="T529" s="22">
        <v>0.15</v>
      </c>
      <c r="U529" s="12">
        <v>18956268.43</v>
      </c>
      <c r="V529" s="24">
        <v>18956268.43</v>
      </c>
      <c r="W529" s="8">
        <v>15771267.1</v>
      </c>
      <c r="X529" s="24">
        <v>15771267.1</v>
      </c>
      <c r="Y529" s="22">
        <v>0.36</v>
      </c>
      <c r="Z529" s="22">
        <v>0.16</v>
      </c>
      <c r="AA529" s="8" t="s">
        <v>1888</v>
      </c>
      <c r="AB529" s="8">
        <v>11508286.49</v>
      </c>
      <c r="AC529" s="24">
        <v>11508286.49</v>
      </c>
      <c r="AD529" s="8">
        <v>11777465.880000001</v>
      </c>
      <c r="AE529" s="24">
        <v>11777465.880000001</v>
      </c>
      <c r="AF529" s="8">
        <v>60</v>
      </c>
      <c r="AG529" s="8">
        <v>78</v>
      </c>
      <c r="AH529" s="8" t="s">
        <v>332</v>
      </c>
      <c r="AI529" s="8" t="s">
        <v>226</v>
      </c>
      <c r="AJ529" s="22">
        <v>0.43</v>
      </c>
      <c r="AK529" s="8" t="s">
        <v>152</v>
      </c>
      <c r="AL529" s="22">
        <v>0.05</v>
      </c>
      <c r="AM529" s="22">
        <v>0.06</v>
      </c>
      <c r="AN529" s="8">
        <v>2</v>
      </c>
      <c r="AO529" s="8">
        <v>2511</v>
      </c>
      <c r="AP529" s="8">
        <v>1088754.53</v>
      </c>
      <c r="AQ529" s="24">
        <v>1088754.53</v>
      </c>
      <c r="AR529" s="8">
        <v>6462888.3899999997</v>
      </c>
      <c r="AS529" s="37">
        <v>6462888.3899999997</v>
      </c>
      <c r="AT529" s="8" t="s">
        <v>321</v>
      </c>
      <c r="AU529" s="8" t="s">
        <v>348</v>
      </c>
      <c r="AV529" s="8"/>
      <c r="AW529" s="8">
        <v>60</v>
      </c>
      <c r="AX529" s="8" t="s">
        <v>332</v>
      </c>
      <c r="AY529" s="8" t="s">
        <v>186</v>
      </c>
      <c r="AZ529" s="8" t="s">
        <v>377</v>
      </c>
      <c r="BA529" s="21">
        <f>IF(OR(tblsales[[#This Row],[Invoice Value USD]]="",tblsales[[#This Row],[Collected Amount USD]]=""),"",tblsales[[#This Row],[Invoice Value USD]]-tblsales[[#This Row],[Collected Amount USD]])</f>
        <v>-269179.3900000006</v>
      </c>
      <c r="BB529" s="21">
        <f>IF(OR(tblsales[[#This Row],[Contract Value USD]]="",tblsales[[#This Row],[Cost Estimate USD]]=""),"",tblsales[[#This Row],[Contract Value USD]]-tblsales[[#This Row],[Cost Estimate USD]])</f>
        <v>3185001.33</v>
      </c>
      <c r="BC529" s="21">
        <f>IF(OR(tblsales[[#This Row],[Contract Value USD]]="",tblsales[[#This Row],[Cost Estimate USD]]=""),"",tblsales[[#This Row],[Contract Value USD]]-tblsales[[#This Row],[Cost Estimate USD]])</f>
        <v>3185001.33</v>
      </c>
      <c r="BD529" s="23">
        <f>IF(tblsales[[#This Row],[Invoice Value USD]]="","",tblsales[[#This Row],[Collected Amount USD]]/tblsales[[#This Row],[Invoice Value USD]])</f>
        <v>1.0233900494425388</v>
      </c>
      <c r="BE529" s="11">
        <f>IF(tblsales[[#This Row],[SalesStage]]="Won",1,0)</f>
        <v>0</v>
      </c>
      <c r="BF529" s="21" t="str">
        <f>IF(tblsales[[#This Row],[Win Flag]]=1,"Won","Lost")</f>
        <v>Lost</v>
      </c>
      <c r="BG529" s="8"/>
    </row>
    <row r="530" spans="1:59" x14ac:dyDescent="0.3">
      <c r="A530" s="10" t="s">
        <v>1889</v>
      </c>
      <c r="B530" s="9">
        <v>45738</v>
      </c>
      <c r="C530" s="10" t="s">
        <v>275</v>
      </c>
      <c r="D530" s="10" t="s">
        <v>248</v>
      </c>
      <c r="E530" s="10" t="s">
        <v>20</v>
      </c>
      <c r="F530" s="10" t="s">
        <v>196</v>
      </c>
      <c r="G530" s="10" t="s">
        <v>70</v>
      </c>
      <c r="H530" s="10" t="s">
        <v>212</v>
      </c>
      <c r="I530" s="10" t="s">
        <v>183</v>
      </c>
      <c r="J530" s="10" t="s">
        <v>136</v>
      </c>
      <c r="K530" s="10" t="s">
        <v>210</v>
      </c>
      <c r="L530" s="10" t="s">
        <v>1890</v>
      </c>
      <c r="M530" s="9">
        <v>45931</v>
      </c>
      <c r="N530" s="9"/>
      <c r="O530" s="9">
        <v>45856</v>
      </c>
      <c r="P530" s="11">
        <v>59</v>
      </c>
      <c r="Q530" s="12">
        <v>12833640</v>
      </c>
      <c r="R530">
        <v>3422731.7879999997</v>
      </c>
      <c r="S530" s="22">
        <v>0.05</v>
      </c>
      <c r="T530" s="22">
        <v>0.09</v>
      </c>
      <c r="U530" s="12">
        <v>13289234.220000001</v>
      </c>
      <c r="V530" s="24">
        <v>3544238.7664740002</v>
      </c>
      <c r="W530" s="8">
        <v>11014364.41</v>
      </c>
      <c r="X530" s="24">
        <v>2937530.9881469999</v>
      </c>
      <c r="Y530" s="22">
        <v>0.16</v>
      </c>
      <c r="Z530" s="22">
        <v>0.18</v>
      </c>
      <c r="AA530" s="8" t="s">
        <v>1891</v>
      </c>
      <c r="AB530" s="8">
        <v>8301589.6299999999</v>
      </c>
      <c r="AC530" s="24">
        <v>2214033.9543209998</v>
      </c>
      <c r="AD530" s="8">
        <v>8260809.7199999997</v>
      </c>
      <c r="AE530" s="24">
        <v>2203157.9523239997</v>
      </c>
      <c r="AF530" s="8">
        <v>30</v>
      </c>
      <c r="AG530" s="8">
        <v>132</v>
      </c>
      <c r="AH530" s="8" t="s">
        <v>353</v>
      </c>
      <c r="AI530" s="8" t="s">
        <v>226</v>
      </c>
      <c r="AJ530" s="22">
        <v>0.19</v>
      </c>
      <c r="AK530" s="8" t="s">
        <v>162</v>
      </c>
      <c r="AL530" s="22">
        <v>0.15</v>
      </c>
      <c r="AM530" s="22">
        <v>0.03</v>
      </c>
      <c r="AN530" s="8">
        <v>10</v>
      </c>
      <c r="AO530" s="8">
        <v>2049</v>
      </c>
      <c r="AP530" s="8">
        <v>2707986.99</v>
      </c>
      <c r="AQ530" s="24">
        <v>722220.13023300003</v>
      </c>
      <c r="AR530" s="8">
        <v>3613913.31</v>
      </c>
      <c r="AS530" s="37">
        <v>963830.67977699998</v>
      </c>
      <c r="AT530" s="8" t="s">
        <v>332</v>
      </c>
      <c r="AU530" s="8" t="s">
        <v>321</v>
      </c>
      <c r="AV530" s="8">
        <v>60.3</v>
      </c>
      <c r="AW530" s="8">
        <v>12</v>
      </c>
      <c r="AX530" s="8" t="s">
        <v>387</v>
      </c>
      <c r="AY530" s="8" t="s">
        <v>229</v>
      </c>
      <c r="AZ530" s="8" t="s">
        <v>361</v>
      </c>
      <c r="BA530" s="21">
        <f>IF(OR(tblsales[[#This Row],[Invoice Value USD]]="",tblsales[[#This Row],[Collected Amount USD]]=""),"",tblsales[[#This Row],[Invoice Value USD]]-tblsales[[#This Row],[Collected Amount USD]])</f>
        <v>10876.001997000072</v>
      </c>
      <c r="BB530" s="21">
        <f>IF(OR(tblsales[[#This Row],[Contract Value USD]]="",tblsales[[#This Row],[Cost Estimate USD]]=""),"",tblsales[[#This Row],[Contract Value USD]]-tblsales[[#This Row],[Cost Estimate USD]])</f>
        <v>606707.77832700033</v>
      </c>
      <c r="BC530" s="21">
        <f>IF(OR(tblsales[[#This Row],[Contract Value USD]]="",tblsales[[#This Row],[Cost Estimate USD]]=""),"",tblsales[[#This Row],[Contract Value USD]]-tblsales[[#This Row],[Cost Estimate USD]])</f>
        <v>606707.77832700033</v>
      </c>
      <c r="BD530" s="23">
        <f>IF(tblsales[[#This Row],[Invoice Value USD]]="","",tblsales[[#This Row],[Collected Amount USD]]/tblsales[[#This Row],[Invoice Value USD]])</f>
        <v>0.99508769864356683</v>
      </c>
      <c r="BE530" s="11">
        <f>IF(tblsales[[#This Row],[SalesStage]]="Won",1,0)</f>
        <v>0</v>
      </c>
      <c r="BF530" s="21" t="str">
        <f>IF(tblsales[[#This Row],[Win Flag]]=1,"Won","Lost")</f>
        <v>Lost</v>
      </c>
      <c r="BG530" s="8"/>
    </row>
    <row r="531" spans="1:59" x14ac:dyDescent="0.3">
      <c r="A531" s="10" t="s">
        <v>1892</v>
      </c>
      <c r="B531" s="9">
        <v>45890</v>
      </c>
      <c r="C531" s="10" t="s">
        <v>244</v>
      </c>
      <c r="D531" s="10" t="s">
        <v>562</v>
      </c>
      <c r="E531" s="10" t="s">
        <v>41</v>
      </c>
      <c r="F531" s="10" t="s">
        <v>332</v>
      </c>
      <c r="G531" s="10" t="s">
        <v>78</v>
      </c>
      <c r="H531" s="10" t="s">
        <v>216</v>
      </c>
      <c r="I531" s="10" t="s">
        <v>203</v>
      </c>
      <c r="J531" s="10" t="s">
        <v>105</v>
      </c>
      <c r="K531" s="10" t="s">
        <v>221</v>
      </c>
      <c r="L531" s="10" t="s">
        <v>1893</v>
      </c>
      <c r="M531" s="9">
        <v>45807</v>
      </c>
      <c r="N531" s="9">
        <v>45725</v>
      </c>
      <c r="O531" s="9">
        <v>45979</v>
      </c>
      <c r="P531" s="11"/>
      <c r="Q531" s="12">
        <v>23470162</v>
      </c>
      <c r="R531">
        <v>27248858.082000002</v>
      </c>
      <c r="S531" s="22">
        <v>0.27</v>
      </c>
      <c r="T531" s="22">
        <v>-0.01</v>
      </c>
      <c r="U531" s="12">
        <v>16961886.079999998</v>
      </c>
      <c r="V531" s="24">
        <v>19692749.738879997</v>
      </c>
      <c r="W531" s="8">
        <v>11606689.970000001</v>
      </c>
      <c r="X531" s="24">
        <v>13475367.055170001</v>
      </c>
      <c r="Y531" s="22">
        <v>0.35</v>
      </c>
      <c r="Z531" s="22">
        <v>0.2</v>
      </c>
      <c r="AA531" s="8" t="s">
        <v>1894</v>
      </c>
      <c r="AB531" s="8">
        <v>11048350.07</v>
      </c>
      <c r="AC531" s="24">
        <v>12827134.431270001</v>
      </c>
      <c r="AD531" s="8">
        <v>9086329.1799999997</v>
      </c>
      <c r="AE531" s="24">
        <v>10549228.17798</v>
      </c>
      <c r="AF531" s="8">
        <v>45</v>
      </c>
      <c r="AG531" s="8">
        <v>58</v>
      </c>
      <c r="AH531" s="8" t="s">
        <v>347</v>
      </c>
      <c r="AI531" s="8" t="s">
        <v>320</v>
      </c>
      <c r="AJ531" s="22">
        <v>0.12</v>
      </c>
      <c r="AK531" s="8" t="s">
        <v>159</v>
      </c>
      <c r="AL531" s="22">
        <v>0.1</v>
      </c>
      <c r="AM531" s="22">
        <v>0.08</v>
      </c>
      <c r="AN531" s="8">
        <v>6</v>
      </c>
      <c r="AO531" s="8">
        <v>3788</v>
      </c>
      <c r="AP531" s="8"/>
      <c r="AQ531" s="24"/>
      <c r="AR531" s="8">
        <v>6731761.8700000001</v>
      </c>
      <c r="AS531" s="37">
        <v>7815575.5310700005</v>
      </c>
      <c r="AT531" s="8" t="s">
        <v>332</v>
      </c>
      <c r="AU531" s="8" t="s">
        <v>330</v>
      </c>
      <c r="AV531" s="8">
        <v>62.3</v>
      </c>
      <c r="AW531" s="8">
        <v>12</v>
      </c>
      <c r="AX531" s="8" t="s">
        <v>337</v>
      </c>
      <c r="AY531" s="8" t="s">
        <v>229</v>
      </c>
      <c r="AZ531" s="8" t="s">
        <v>188</v>
      </c>
      <c r="BA531" s="21">
        <f>IF(OR(tblsales[[#This Row],[Invoice Value USD]]="",tblsales[[#This Row],[Collected Amount USD]]=""),"",tblsales[[#This Row],[Invoice Value USD]]-tblsales[[#This Row],[Collected Amount USD]])</f>
        <v>2277906.2532900013</v>
      </c>
      <c r="BB531" s="21">
        <f>IF(OR(tblsales[[#This Row],[Contract Value USD]]="",tblsales[[#This Row],[Cost Estimate USD]]=""),"",tblsales[[#This Row],[Contract Value USD]]-tblsales[[#This Row],[Cost Estimate USD]])</f>
        <v>6217382.6837099958</v>
      </c>
      <c r="BC531" s="21">
        <f>IF(OR(tblsales[[#This Row],[Contract Value USD]]="",tblsales[[#This Row],[Cost Estimate USD]]=""),"",tblsales[[#This Row],[Contract Value USD]]-tblsales[[#This Row],[Cost Estimate USD]])</f>
        <v>6217382.6837099958</v>
      </c>
      <c r="BD531" s="23">
        <f>IF(tblsales[[#This Row],[Invoice Value USD]]="","",tblsales[[#This Row],[Collected Amount USD]]/tblsales[[#This Row],[Invoice Value USD]])</f>
        <v>0.82241503232889501</v>
      </c>
      <c r="BE531" s="11">
        <f>IF(tblsales[[#This Row],[SalesStage]]="Won",1,0)</f>
        <v>1</v>
      </c>
      <c r="BF531" s="21" t="str">
        <f>IF(tblsales[[#This Row],[Win Flag]]=1,"Won","Lost")</f>
        <v>Won</v>
      </c>
      <c r="BG531" s="8"/>
    </row>
    <row r="532" spans="1:59" x14ac:dyDescent="0.3">
      <c r="A532" s="10" t="s">
        <v>1895</v>
      </c>
      <c r="B532" s="9">
        <v>45759</v>
      </c>
      <c r="C532" s="10" t="s">
        <v>267</v>
      </c>
      <c r="D532" s="10" t="s">
        <v>281</v>
      </c>
      <c r="E532" s="10" t="s">
        <v>20</v>
      </c>
      <c r="F532" s="10" t="s">
        <v>332</v>
      </c>
      <c r="G532" s="10" t="s">
        <v>28</v>
      </c>
      <c r="H532" s="10" t="s">
        <v>216</v>
      </c>
      <c r="I532" s="10" t="s">
        <v>246</v>
      </c>
      <c r="J532" s="10" t="s">
        <v>136</v>
      </c>
      <c r="K532" s="10" t="s">
        <v>223</v>
      </c>
      <c r="L532" s="10" t="s">
        <v>1896</v>
      </c>
      <c r="M532" s="9">
        <v>45714</v>
      </c>
      <c r="N532" s="9">
        <v>45814</v>
      </c>
      <c r="O532" s="9">
        <v>45803</v>
      </c>
      <c r="P532" s="11">
        <v>16</v>
      </c>
      <c r="Q532" s="12">
        <v>16953538</v>
      </c>
      <c r="R532">
        <v>4616448.3974000001</v>
      </c>
      <c r="S532" s="22">
        <v>7.0000000000000007E-2</v>
      </c>
      <c r="T532" s="22">
        <v>0.02</v>
      </c>
      <c r="U532" s="12">
        <v>16082126.15</v>
      </c>
      <c r="V532" s="24">
        <v>4379162.9506449997</v>
      </c>
      <c r="W532" s="8">
        <v>12155097.25</v>
      </c>
      <c r="X532" s="24">
        <v>3309832.9811749998</v>
      </c>
      <c r="Y532" s="22">
        <v>0.31</v>
      </c>
      <c r="Z532" s="22">
        <v>0.11</v>
      </c>
      <c r="AA532" s="8" t="s">
        <v>1897</v>
      </c>
      <c r="AB532" s="8">
        <v>12346618.529999999</v>
      </c>
      <c r="AC532" s="24">
        <v>3361984.2257189997</v>
      </c>
      <c r="AD532" s="8">
        <v>11596748.49</v>
      </c>
      <c r="AE532" s="24">
        <v>3157794.6138269999</v>
      </c>
      <c r="AF532" s="8">
        <v>90</v>
      </c>
      <c r="AG532" s="8">
        <v>87</v>
      </c>
      <c r="AH532" s="8" t="s">
        <v>332</v>
      </c>
      <c r="AI532" s="8" t="s">
        <v>406</v>
      </c>
      <c r="AJ532" s="22">
        <v>0.89</v>
      </c>
      <c r="AK532" s="8" t="s">
        <v>153</v>
      </c>
      <c r="AL532" s="22">
        <v>0.1</v>
      </c>
      <c r="AM532" s="22">
        <v>0.04</v>
      </c>
      <c r="AN532" s="8">
        <v>6</v>
      </c>
      <c r="AO532" s="8">
        <v>4618</v>
      </c>
      <c r="AP532" s="8">
        <v>1033710.2</v>
      </c>
      <c r="AQ532" s="24">
        <v>281479.28745999996</v>
      </c>
      <c r="AR532" s="8">
        <v>5029775.54</v>
      </c>
      <c r="AS532" s="37">
        <v>1369607.8795419999</v>
      </c>
      <c r="AT532" s="8" t="s">
        <v>343</v>
      </c>
      <c r="AU532" s="8" t="s">
        <v>348</v>
      </c>
      <c r="AV532" s="8">
        <v>60.3</v>
      </c>
      <c r="AW532" s="8"/>
      <c r="AX532" s="8" t="s">
        <v>387</v>
      </c>
      <c r="AY532" s="8" t="s">
        <v>229</v>
      </c>
      <c r="AZ532" s="8" t="s">
        <v>361</v>
      </c>
      <c r="BA532" s="21">
        <f>IF(OR(tblsales[[#This Row],[Invoice Value USD]]="",tblsales[[#This Row],[Collected Amount USD]]=""),"",tblsales[[#This Row],[Invoice Value USD]]-tblsales[[#This Row],[Collected Amount USD]])</f>
        <v>204189.61189199984</v>
      </c>
      <c r="BB532" s="21">
        <f>IF(OR(tblsales[[#This Row],[Contract Value USD]]="",tblsales[[#This Row],[Cost Estimate USD]]=""),"",tblsales[[#This Row],[Contract Value USD]]-tblsales[[#This Row],[Cost Estimate USD]])</f>
        <v>1069329.9694699999</v>
      </c>
      <c r="BC532" s="21">
        <f>IF(OR(tblsales[[#This Row],[Contract Value USD]]="",tblsales[[#This Row],[Cost Estimate USD]]=""),"",tblsales[[#This Row],[Contract Value USD]]-tblsales[[#This Row],[Cost Estimate USD]])</f>
        <v>1069329.9694699999</v>
      </c>
      <c r="BD532" s="23">
        <f>IF(tblsales[[#This Row],[Invoice Value USD]]="","",tblsales[[#This Row],[Collected Amount USD]]/tblsales[[#This Row],[Invoice Value USD]])</f>
        <v>0.9392651487386644</v>
      </c>
      <c r="BE532" s="11">
        <f>IF(tblsales[[#This Row],[SalesStage]]="Won",1,0)</f>
        <v>0</v>
      </c>
      <c r="BF532" s="21" t="str">
        <f>IF(tblsales[[#This Row],[Win Flag]]=1,"Won","Lost")</f>
        <v>Lost</v>
      </c>
      <c r="BG532" s="8"/>
    </row>
    <row r="533" spans="1:59" x14ac:dyDescent="0.3">
      <c r="A533" s="10" t="s">
        <v>1898</v>
      </c>
      <c r="B533" s="9">
        <v>45873</v>
      </c>
      <c r="C533" s="10" t="s">
        <v>237</v>
      </c>
      <c r="D533" s="10" t="s">
        <v>332</v>
      </c>
      <c r="E533" s="10" t="s">
        <v>41</v>
      </c>
      <c r="F533" s="10" t="s">
        <v>363</v>
      </c>
      <c r="G533" s="10" t="s">
        <v>46</v>
      </c>
      <c r="H533" s="10" t="s">
        <v>197</v>
      </c>
      <c r="I533" s="10" t="s">
        <v>191</v>
      </c>
      <c r="J533" s="10" t="s">
        <v>105</v>
      </c>
      <c r="K533" s="10" t="s">
        <v>199</v>
      </c>
      <c r="L533" s="10" t="s">
        <v>1899</v>
      </c>
      <c r="M533" s="9">
        <v>45853</v>
      </c>
      <c r="N533" s="9">
        <v>45847</v>
      </c>
      <c r="O533" s="9">
        <v>45930</v>
      </c>
      <c r="P533" s="11">
        <v>7</v>
      </c>
      <c r="Q533" s="12">
        <v>18552262</v>
      </c>
      <c r="R533">
        <v>5051780.9425999997</v>
      </c>
      <c r="S533" s="22">
        <v>0.19</v>
      </c>
      <c r="T533" s="22">
        <v>0.13</v>
      </c>
      <c r="U533" s="12">
        <v>16980885.41</v>
      </c>
      <c r="V533" s="24">
        <v>4623895.097143</v>
      </c>
      <c r="W533" s="8">
        <v>12130511.960000001</v>
      </c>
      <c r="X533" s="24">
        <v>3303138.4067080002</v>
      </c>
      <c r="Y533" s="22">
        <v>0.19</v>
      </c>
      <c r="Z533" s="22">
        <v>0.05</v>
      </c>
      <c r="AA533" s="8" t="s">
        <v>1900</v>
      </c>
      <c r="AB533" s="8">
        <v>14470611.789999999</v>
      </c>
      <c r="AC533" s="24">
        <v>3940347.5904169995</v>
      </c>
      <c r="AD533" s="8">
        <v>7417623.4299999997</v>
      </c>
      <c r="AE533" s="24">
        <v>2019818.8599889998</v>
      </c>
      <c r="AF533" s="8">
        <v>90</v>
      </c>
      <c r="AG533" s="8">
        <v>60</v>
      </c>
      <c r="AH533" s="8" t="s">
        <v>329</v>
      </c>
      <c r="AI533" s="8" t="s">
        <v>226</v>
      </c>
      <c r="AJ533" s="22">
        <v>0.51</v>
      </c>
      <c r="AK533" s="8" t="s">
        <v>153</v>
      </c>
      <c r="AL533" s="22">
        <v>0.05</v>
      </c>
      <c r="AM533" s="22">
        <v>0.02</v>
      </c>
      <c r="AN533" s="8">
        <v>12</v>
      </c>
      <c r="AO533" s="8">
        <v>191</v>
      </c>
      <c r="AP533" s="8">
        <v>1674143.4</v>
      </c>
      <c r="AQ533" s="24">
        <v>455869.24781999993</v>
      </c>
      <c r="AR533" s="8">
        <v>3529398.11</v>
      </c>
      <c r="AS533" s="37">
        <v>961055.10535299988</v>
      </c>
      <c r="AT533" s="8" t="s">
        <v>343</v>
      </c>
      <c r="AU533" s="8" t="s">
        <v>322</v>
      </c>
      <c r="AV533" s="8">
        <v>53.8</v>
      </c>
      <c r="AW533" s="8">
        <v>36</v>
      </c>
      <c r="AX533" s="8" t="s">
        <v>392</v>
      </c>
      <c r="AY533" s="8" t="s">
        <v>186</v>
      </c>
      <c r="AZ533" s="8" t="s">
        <v>377</v>
      </c>
      <c r="BA533" s="21">
        <f>IF(OR(tblsales[[#This Row],[Invoice Value USD]]="",tblsales[[#This Row],[Collected Amount USD]]=""),"",tblsales[[#This Row],[Invoice Value USD]]-tblsales[[#This Row],[Collected Amount USD]])</f>
        <v>1920528.7304279997</v>
      </c>
      <c r="BB533" s="21">
        <f>IF(OR(tblsales[[#This Row],[Contract Value USD]]="",tblsales[[#This Row],[Cost Estimate USD]]=""),"",tblsales[[#This Row],[Contract Value USD]]-tblsales[[#This Row],[Cost Estimate USD]])</f>
        <v>1320756.6904349998</v>
      </c>
      <c r="BC533" s="21">
        <f>IF(OR(tblsales[[#This Row],[Contract Value USD]]="",tblsales[[#This Row],[Cost Estimate USD]]=""),"",tblsales[[#This Row],[Contract Value USD]]-tblsales[[#This Row],[Cost Estimate USD]])</f>
        <v>1320756.6904349998</v>
      </c>
      <c r="BD533" s="23">
        <f>IF(tblsales[[#This Row],[Invoice Value USD]]="","",tblsales[[#This Row],[Collected Amount USD]]/tblsales[[#This Row],[Invoice Value USD]])</f>
        <v>0.51259915873950757</v>
      </c>
      <c r="BE533" s="11">
        <f>IF(tblsales[[#This Row],[SalesStage]]="Won",1,0)</f>
        <v>0</v>
      </c>
      <c r="BF533" s="21" t="str">
        <f>IF(tblsales[[#This Row],[Win Flag]]=1,"Won","Lost")</f>
        <v>Lost</v>
      </c>
      <c r="BG533" s="8"/>
    </row>
    <row r="534" spans="1:59" x14ac:dyDescent="0.3">
      <c r="A534" s="10" t="s">
        <v>5791</v>
      </c>
      <c r="B534" s="9">
        <v>46056</v>
      </c>
      <c r="C534" s="10" t="s">
        <v>272</v>
      </c>
      <c r="D534" s="10" t="s">
        <v>238</v>
      </c>
      <c r="E534" s="10" t="s">
        <v>332</v>
      </c>
      <c r="F534" s="10" t="s">
        <v>31</v>
      </c>
      <c r="G534" s="10" t="s">
        <v>66</v>
      </c>
      <c r="H534" s="10" t="s">
        <v>182</v>
      </c>
      <c r="I534" s="10" t="s">
        <v>240</v>
      </c>
      <c r="J534" s="10" t="s">
        <v>99</v>
      </c>
      <c r="K534" s="10" t="s">
        <v>221</v>
      </c>
      <c r="L534" s="10" t="s">
        <v>4017</v>
      </c>
      <c r="M534" s="9">
        <v>45980</v>
      </c>
      <c r="N534" s="9">
        <v>46145</v>
      </c>
      <c r="O534" s="9">
        <v>46028</v>
      </c>
      <c r="P534" s="11">
        <v>49</v>
      </c>
      <c r="Q534" s="12">
        <v>15733964</v>
      </c>
      <c r="R534">
        <v>15733964</v>
      </c>
      <c r="S534" s="22">
        <v>0.18</v>
      </c>
      <c r="T534" s="22">
        <v>-0.03</v>
      </c>
      <c r="U534" s="12">
        <v>12514794.970000001</v>
      </c>
      <c r="V534" s="24">
        <v>12514794.970000001</v>
      </c>
      <c r="W534" s="8">
        <v>9179680.0099999998</v>
      </c>
      <c r="X534" s="24">
        <v>9179680.0099999998</v>
      </c>
      <c r="Y534" s="22">
        <v>0.12</v>
      </c>
      <c r="Z534" s="22">
        <v>0.17</v>
      </c>
      <c r="AA534" s="8" t="s">
        <v>4018</v>
      </c>
      <c r="AB534" s="8">
        <v>3465094.5</v>
      </c>
      <c r="AC534" s="24">
        <v>3465094.5</v>
      </c>
      <c r="AD534" s="8">
        <v>1115213.1200000001</v>
      </c>
      <c r="AE534" s="24">
        <v>1115213.1200000001</v>
      </c>
      <c r="AF534" s="8">
        <v>60</v>
      </c>
      <c r="AG534" s="8">
        <v>174</v>
      </c>
      <c r="AH534" s="8" t="s">
        <v>332</v>
      </c>
      <c r="AI534" s="8" t="s">
        <v>455</v>
      </c>
      <c r="AJ534" s="22">
        <v>0.31</v>
      </c>
      <c r="AK534" s="8" t="s">
        <v>152</v>
      </c>
      <c r="AL534" s="22">
        <v>0.15</v>
      </c>
      <c r="AM534" s="22">
        <v>0.04</v>
      </c>
      <c r="AN534" s="8">
        <v>10</v>
      </c>
      <c r="AO534" s="8">
        <v>3704</v>
      </c>
      <c r="AP534" s="8"/>
      <c r="AQ534" s="24"/>
      <c r="AR534" s="8">
        <v>2221019.15</v>
      </c>
      <c r="AS534" s="37">
        <v>2221019.15</v>
      </c>
      <c r="AT534" s="8" t="s">
        <v>355</v>
      </c>
      <c r="AU534" s="8" t="s">
        <v>322</v>
      </c>
      <c r="AV534" s="8">
        <v>82.9</v>
      </c>
      <c r="AW534" s="8"/>
      <c r="AX534" s="8" t="s">
        <v>387</v>
      </c>
      <c r="AY534" s="8" t="s">
        <v>206</v>
      </c>
      <c r="AZ534" s="8" t="s">
        <v>188</v>
      </c>
      <c r="BA534" s="21">
        <f>IF(OR(tblsales[[#This Row],[Invoice Value USD]]="",tblsales[[#This Row],[Collected Amount USD]]=""),"",tblsales[[#This Row],[Invoice Value USD]]-tblsales[[#This Row],[Collected Amount USD]])</f>
        <v>2349881.38</v>
      </c>
      <c r="BB534" s="21">
        <f>IF(OR(tblsales[[#This Row],[Contract Value USD]]="",tblsales[[#This Row],[Cost Estimate USD]]=""),"",tblsales[[#This Row],[Contract Value USD]]-tblsales[[#This Row],[Cost Estimate USD]])</f>
        <v>3335114.9600000009</v>
      </c>
      <c r="BC534" s="21">
        <f>IF(OR(tblsales[[#This Row],[Contract Value USD]]="",tblsales[[#This Row],[Cost Estimate USD]]=""),"",tblsales[[#This Row],[Contract Value USD]]-tblsales[[#This Row],[Cost Estimate USD]])</f>
        <v>3335114.9600000009</v>
      </c>
      <c r="BD534" s="23">
        <f>IF(tblsales[[#This Row],[Invoice Value USD]]="","",tblsales[[#This Row],[Collected Amount USD]]/tblsales[[#This Row],[Invoice Value USD]])</f>
        <v>0.32184205077235273</v>
      </c>
      <c r="BE534" s="11">
        <f>IF(tblsales[[#This Row],[SalesStage]]="Won",1,0)</f>
        <v>0</v>
      </c>
      <c r="BF534" s="21" t="str">
        <f>IF(tblsales[[#This Row],[Win Flag]]=1,"Won","Lost")</f>
        <v>Lost</v>
      </c>
      <c r="BG534" s="8"/>
    </row>
    <row r="535" spans="1:59" x14ac:dyDescent="0.3">
      <c r="A535" s="10" t="s">
        <v>1901</v>
      </c>
      <c r="B535" s="9">
        <v>45716</v>
      </c>
      <c r="C535" s="10" t="s">
        <v>270</v>
      </c>
      <c r="D535" s="10" t="s">
        <v>202</v>
      </c>
      <c r="E535" s="10" t="s">
        <v>20</v>
      </c>
      <c r="F535" s="10" t="s">
        <v>196</v>
      </c>
      <c r="G535" s="10" t="s">
        <v>66</v>
      </c>
      <c r="H535" s="10" t="s">
        <v>212</v>
      </c>
      <c r="I535" s="10" t="s">
        <v>246</v>
      </c>
      <c r="J535" s="10" t="s">
        <v>136</v>
      </c>
      <c r="K535" s="10" t="s">
        <v>204</v>
      </c>
      <c r="L535" s="10" t="s">
        <v>1902</v>
      </c>
      <c r="M535" s="9">
        <v>45630</v>
      </c>
      <c r="N535" s="9"/>
      <c r="O535" s="9">
        <v>45795</v>
      </c>
      <c r="P535" s="11">
        <v>21</v>
      </c>
      <c r="Q535" s="12">
        <v>4873004</v>
      </c>
      <c r="R535">
        <v>1326918.9892</v>
      </c>
      <c r="S535" s="22">
        <v>7.0000000000000007E-2</v>
      </c>
      <c r="T535" s="22">
        <v>0.15</v>
      </c>
      <c r="U535" s="12">
        <v>5211677.78</v>
      </c>
      <c r="V535" s="24">
        <v>1419139.859494</v>
      </c>
      <c r="W535" s="8">
        <v>3259190.74</v>
      </c>
      <c r="X535" s="24">
        <v>887477.63850200002</v>
      </c>
      <c r="Y535" s="22">
        <v>0.28999999999999998</v>
      </c>
      <c r="Z535" s="22">
        <v>0.18</v>
      </c>
      <c r="AA535" s="8" t="s">
        <v>1903</v>
      </c>
      <c r="AB535" s="8">
        <v>3763418.18</v>
      </c>
      <c r="AC535" s="24">
        <v>1024778.770414</v>
      </c>
      <c r="AD535" s="8">
        <v>3706613.26</v>
      </c>
      <c r="AE535" s="24">
        <v>1009310.7906979999</v>
      </c>
      <c r="AF535" s="8">
        <v>30</v>
      </c>
      <c r="AG535" s="8">
        <v>62</v>
      </c>
      <c r="AH535" s="8" t="s">
        <v>332</v>
      </c>
      <c r="AI535" s="8" t="s">
        <v>320</v>
      </c>
      <c r="AJ535" s="22">
        <v>0.31</v>
      </c>
      <c r="AK535" s="8" t="s">
        <v>153</v>
      </c>
      <c r="AL535" s="22">
        <v>0.15</v>
      </c>
      <c r="AM535" s="22">
        <v>7.0000000000000007E-2</v>
      </c>
      <c r="AN535" s="8">
        <v>8</v>
      </c>
      <c r="AO535" s="8">
        <v>73</v>
      </c>
      <c r="AP535" s="8">
        <v>238781.24</v>
      </c>
      <c r="AQ535" s="24">
        <v>65020.131651999996</v>
      </c>
      <c r="AR535" s="8">
        <v>2069006.74</v>
      </c>
      <c r="AS535" s="37">
        <v>563390.535302</v>
      </c>
      <c r="AT535" s="8" t="s">
        <v>355</v>
      </c>
      <c r="AU535" s="8" t="s">
        <v>356</v>
      </c>
      <c r="AV535" s="8">
        <v>92.2</v>
      </c>
      <c r="AW535" s="8">
        <v>12</v>
      </c>
      <c r="AX535" s="8" t="s">
        <v>337</v>
      </c>
      <c r="AY535" s="8" t="s">
        <v>186</v>
      </c>
      <c r="AZ535" s="8" t="s">
        <v>361</v>
      </c>
      <c r="BA535" s="21">
        <f>IF(OR(tblsales[[#This Row],[Invoice Value USD]]="",tblsales[[#This Row],[Collected Amount USD]]=""),"",tblsales[[#This Row],[Invoice Value USD]]-tblsales[[#This Row],[Collected Amount USD]])</f>
        <v>15467.979716000147</v>
      </c>
      <c r="BB535" s="21">
        <f>IF(OR(tblsales[[#This Row],[Contract Value USD]]="",tblsales[[#This Row],[Cost Estimate USD]]=""),"",tblsales[[#This Row],[Contract Value USD]]-tblsales[[#This Row],[Cost Estimate USD]])</f>
        <v>531662.22099199996</v>
      </c>
      <c r="BC535" s="21">
        <f>IF(OR(tblsales[[#This Row],[Contract Value USD]]="",tblsales[[#This Row],[Cost Estimate USD]]=""),"",tblsales[[#This Row],[Contract Value USD]]-tblsales[[#This Row],[Cost Estimate USD]])</f>
        <v>531662.22099199996</v>
      </c>
      <c r="BD535" s="23">
        <f>IF(tblsales[[#This Row],[Invoice Value USD]]="","",tblsales[[#This Row],[Collected Amount USD]]/tblsales[[#This Row],[Invoice Value USD]])</f>
        <v>0.98490603029398116</v>
      </c>
      <c r="BE535" s="11">
        <f>IF(tblsales[[#This Row],[SalesStage]]="Won",1,0)</f>
        <v>1</v>
      </c>
      <c r="BF535" s="21" t="str">
        <f>IF(tblsales[[#This Row],[Win Flag]]=1,"Won","Lost")</f>
        <v>Won</v>
      </c>
      <c r="BG535" s="8"/>
    </row>
    <row r="536" spans="1:59" x14ac:dyDescent="0.3">
      <c r="A536" s="10" t="s">
        <v>1904</v>
      </c>
      <c r="B536" s="9">
        <v>46014</v>
      </c>
      <c r="C536" s="10" t="s">
        <v>219</v>
      </c>
      <c r="D536" s="10" t="s">
        <v>255</v>
      </c>
      <c r="E536" s="10" t="s">
        <v>41</v>
      </c>
      <c r="F536" s="10" t="s">
        <v>363</v>
      </c>
      <c r="G536" s="10" t="s">
        <v>66</v>
      </c>
      <c r="H536" s="10" t="s">
        <v>212</v>
      </c>
      <c r="I536" s="10" t="s">
        <v>198</v>
      </c>
      <c r="J536" s="10" t="s">
        <v>130</v>
      </c>
      <c r="K536" s="10" t="s">
        <v>210</v>
      </c>
      <c r="L536" s="10" t="s">
        <v>1905</v>
      </c>
      <c r="M536" s="9">
        <v>45974</v>
      </c>
      <c r="N536" s="9">
        <v>46069</v>
      </c>
      <c r="O536" s="9">
        <v>46055</v>
      </c>
      <c r="P536" s="11">
        <v>48</v>
      </c>
      <c r="Q536" s="12">
        <v>21602643</v>
      </c>
      <c r="R536">
        <v>5882399.6888999995</v>
      </c>
      <c r="S536" s="22">
        <v>0.21</v>
      </c>
      <c r="T536" s="22">
        <v>0.01</v>
      </c>
      <c r="U536" s="12">
        <v>17236748.850000001</v>
      </c>
      <c r="V536" s="24">
        <v>4693566.7118549999</v>
      </c>
      <c r="W536" s="8">
        <v>14726085.199999999</v>
      </c>
      <c r="X536" s="24">
        <v>4009912.9999599997</v>
      </c>
      <c r="Y536" s="22">
        <v>0.16</v>
      </c>
      <c r="Z536" s="22">
        <v>0.1</v>
      </c>
      <c r="AA536" s="8" t="s">
        <v>1906</v>
      </c>
      <c r="AB536" s="8">
        <v>10739084.23</v>
      </c>
      <c r="AC536" s="24">
        <v>2924252.6358289998</v>
      </c>
      <c r="AD536" s="8">
        <v>10233184.720000001</v>
      </c>
      <c r="AE536" s="24">
        <v>2786496.1992560001</v>
      </c>
      <c r="AF536" s="8">
        <v>45</v>
      </c>
      <c r="AG536" s="8">
        <v>142</v>
      </c>
      <c r="AH536" s="8" t="s">
        <v>376</v>
      </c>
      <c r="AI536" s="8" t="s">
        <v>406</v>
      </c>
      <c r="AJ536" s="22">
        <v>0.26</v>
      </c>
      <c r="AK536" s="8" t="s">
        <v>153</v>
      </c>
      <c r="AL536" s="22">
        <v>0.05</v>
      </c>
      <c r="AM536" s="22">
        <v>0.05</v>
      </c>
      <c r="AN536" s="8">
        <v>15</v>
      </c>
      <c r="AO536" s="8">
        <v>1394</v>
      </c>
      <c r="AP536" s="8">
        <v>3554664.14</v>
      </c>
      <c r="AQ536" s="24">
        <v>967935.04532199993</v>
      </c>
      <c r="AR536" s="8">
        <v>7649291.79</v>
      </c>
      <c r="AS536" s="37">
        <v>2082902.154417</v>
      </c>
      <c r="AT536" s="8" t="s">
        <v>385</v>
      </c>
      <c r="AU536" s="8" t="s">
        <v>322</v>
      </c>
      <c r="AV536" s="8">
        <v>94.3</v>
      </c>
      <c r="AW536" s="8">
        <v>60</v>
      </c>
      <c r="AX536" s="8" t="s">
        <v>323</v>
      </c>
      <c r="AY536" s="8" t="s">
        <v>229</v>
      </c>
      <c r="AZ536" s="8" t="s">
        <v>357</v>
      </c>
      <c r="BA536" s="21">
        <f>IF(OR(tblsales[[#This Row],[Invoice Value USD]]="",tblsales[[#This Row],[Collected Amount USD]]=""),"",tblsales[[#This Row],[Invoice Value USD]]-tblsales[[#This Row],[Collected Amount USD]])</f>
        <v>137756.43657299969</v>
      </c>
      <c r="BB536" s="21">
        <f>IF(OR(tblsales[[#This Row],[Contract Value USD]]="",tblsales[[#This Row],[Cost Estimate USD]]=""),"",tblsales[[#This Row],[Contract Value USD]]-tblsales[[#This Row],[Cost Estimate USD]])</f>
        <v>683653.71189500019</v>
      </c>
      <c r="BC536" s="21">
        <f>IF(OR(tblsales[[#This Row],[Contract Value USD]]="",tblsales[[#This Row],[Cost Estimate USD]]=""),"",tblsales[[#This Row],[Contract Value USD]]-tblsales[[#This Row],[Cost Estimate USD]])</f>
        <v>683653.71189500019</v>
      </c>
      <c r="BD536" s="23">
        <f>IF(tblsales[[#This Row],[Invoice Value USD]]="","",tblsales[[#This Row],[Collected Amount USD]]/tblsales[[#This Row],[Invoice Value USD]])</f>
        <v>0.95289174577970515</v>
      </c>
      <c r="BE536" s="11">
        <f>IF(tblsales[[#This Row],[SalesStage]]="Won",1,0)</f>
        <v>0</v>
      </c>
      <c r="BF536" s="21" t="str">
        <f>IF(tblsales[[#This Row],[Win Flag]]=1,"Won","Lost")</f>
        <v>Lost</v>
      </c>
      <c r="BG536" s="8"/>
    </row>
    <row r="537" spans="1:59" x14ac:dyDescent="0.3">
      <c r="A537" s="10" t="s">
        <v>1907</v>
      </c>
      <c r="B537" s="9">
        <v>45798</v>
      </c>
      <c r="C537" s="10" t="s">
        <v>264</v>
      </c>
      <c r="D537" s="10" t="s">
        <v>265</v>
      </c>
      <c r="E537" s="10" t="s">
        <v>332</v>
      </c>
      <c r="F537" s="10" t="s">
        <v>350</v>
      </c>
      <c r="G537" s="10" t="s">
        <v>66</v>
      </c>
      <c r="H537" s="10" t="s">
        <v>182</v>
      </c>
      <c r="I537" s="10" t="s">
        <v>203</v>
      </c>
      <c r="J537" s="10" t="s">
        <v>99</v>
      </c>
      <c r="K537" s="10" t="s">
        <v>326</v>
      </c>
      <c r="L537" s="10" t="s">
        <v>1908</v>
      </c>
      <c r="M537" s="9">
        <v>45904</v>
      </c>
      <c r="N537" s="9">
        <v>45664</v>
      </c>
      <c r="O537" s="9">
        <v>45902</v>
      </c>
      <c r="P537" s="11"/>
      <c r="Q537" s="12">
        <v>42962686</v>
      </c>
      <c r="R537">
        <v>11698739.397799999</v>
      </c>
      <c r="S537" s="22">
        <v>0.17</v>
      </c>
      <c r="T537" s="22">
        <v>0.13</v>
      </c>
      <c r="U537" s="12">
        <v>40294703.200000003</v>
      </c>
      <c r="V537" s="24">
        <v>10972247.681360001</v>
      </c>
      <c r="W537" s="8">
        <v>28567826.699999999</v>
      </c>
      <c r="X537" s="24">
        <v>7779019.2104099998</v>
      </c>
      <c r="Y537" s="22">
        <v>0.31</v>
      </c>
      <c r="Z537" s="22">
        <v>0.1</v>
      </c>
      <c r="AA537" s="8" t="s">
        <v>1909</v>
      </c>
      <c r="AB537" s="8">
        <v>5297861.41</v>
      </c>
      <c r="AC537" s="24">
        <v>1442607.661943</v>
      </c>
      <c r="AD537" s="8">
        <v>1940236.23</v>
      </c>
      <c r="AE537" s="24">
        <v>528326.32542899996</v>
      </c>
      <c r="AF537" s="8">
        <v>120</v>
      </c>
      <c r="AG537" s="8">
        <v>144</v>
      </c>
      <c r="AH537" s="8" t="s">
        <v>376</v>
      </c>
      <c r="AI537" s="8" t="s">
        <v>354</v>
      </c>
      <c r="AJ537" s="22">
        <v>0.17</v>
      </c>
      <c r="AK537" s="8" t="s">
        <v>153</v>
      </c>
      <c r="AL537" s="22">
        <v>0.15</v>
      </c>
      <c r="AM537" s="22">
        <v>0.08</v>
      </c>
      <c r="AN537" s="8">
        <v>2</v>
      </c>
      <c r="AO537" s="8">
        <v>2766</v>
      </c>
      <c r="AP537" s="8">
        <v>2517881.9700000002</v>
      </c>
      <c r="AQ537" s="24">
        <v>685619.26043100003</v>
      </c>
      <c r="AR537" s="8">
        <v>15660327.17</v>
      </c>
      <c r="AS537" s="37">
        <v>4264307.0883909995</v>
      </c>
      <c r="AT537" s="8" t="s">
        <v>73</v>
      </c>
      <c r="AU537" s="8" t="s">
        <v>330</v>
      </c>
      <c r="AV537" s="8">
        <v>86.6</v>
      </c>
      <c r="AW537" s="8">
        <v>36</v>
      </c>
      <c r="AX537" s="8" t="s">
        <v>387</v>
      </c>
      <c r="AY537" s="8" t="s">
        <v>206</v>
      </c>
      <c r="AZ537" s="8" t="s">
        <v>332</v>
      </c>
      <c r="BA537" s="21">
        <f>IF(OR(tblsales[[#This Row],[Invoice Value USD]]="",tblsales[[#This Row],[Collected Amount USD]]=""),"",tblsales[[#This Row],[Invoice Value USD]]-tblsales[[#This Row],[Collected Amount USD]])</f>
        <v>914281.33651400008</v>
      </c>
      <c r="BB537" s="21">
        <f>IF(OR(tblsales[[#This Row],[Contract Value USD]]="",tblsales[[#This Row],[Cost Estimate USD]]=""),"",tblsales[[#This Row],[Contract Value USD]]-tblsales[[#This Row],[Cost Estimate USD]])</f>
        <v>3193228.4709500009</v>
      </c>
      <c r="BC537" s="21">
        <f>IF(OR(tblsales[[#This Row],[Contract Value USD]]="",tblsales[[#This Row],[Cost Estimate USD]]=""),"",tblsales[[#This Row],[Contract Value USD]]-tblsales[[#This Row],[Cost Estimate USD]])</f>
        <v>3193228.4709500009</v>
      </c>
      <c r="BD537" s="23">
        <f>IF(tblsales[[#This Row],[Invoice Value USD]]="","",tblsales[[#This Row],[Collected Amount USD]]/tblsales[[#This Row],[Invoice Value USD]])</f>
        <v>0.36623008415012498</v>
      </c>
      <c r="BE537" s="11">
        <f>IF(tblsales[[#This Row],[SalesStage]]="Won",1,0)</f>
        <v>0</v>
      </c>
      <c r="BF537" s="21" t="str">
        <f>IF(tblsales[[#This Row],[Win Flag]]=1,"Won","Lost")</f>
        <v>Lost</v>
      </c>
      <c r="BG537" s="8"/>
    </row>
    <row r="538" spans="1:59" x14ac:dyDescent="0.3">
      <c r="A538" s="10" t="s">
        <v>1910</v>
      </c>
      <c r="B538" s="9">
        <v>45944</v>
      </c>
      <c r="C538" s="10" t="s">
        <v>282</v>
      </c>
      <c r="D538" s="10" t="s">
        <v>248</v>
      </c>
      <c r="E538" s="10" t="s">
        <v>20</v>
      </c>
      <c r="F538" s="10" t="s">
        <v>31</v>
      </c>
      <c r="G538" s="10" t="s">
        <v>73</v>
      </c>
      <c r="H538" s="10" t="s">
        <v>236</v>
      </c>
      <c r="I538" s="10" t="s">
        <v>233</v>
      </c>
      <c r="J538" s="10" t="s">
        <v>136</v>
      </c>
      <c r="K538" s="10" t="s">
        <v>221</v>
      </c>
      <c r="L538" s="10" t="s">
        <v>1911</v>
      </c>
      <c r="M538" s="9">
        <v>45861</v>
      </c>
      <c r="N538" s="9">
        <v>45911</v>
      </c>
      <c r="O538" s="9">
        <v>46175</v>
      </c>
      <c r="P538" s="11">
        <v>52</v>
      </c>
      <c r="Q538" s="12"/>
      <c r="S538" s="22">
        <v>0.23</v>
      </c>
      <c r="T538" s="22">
        <v>0.04</v>
      </c>
      <c r="U538" s="12">
        <v>6662774.5199999996</v>
      </c>
      <c r="V538" s="24">
        <v>7735481.2177200001</v>
      </c>
      <c r="W538" s="8">
        <v>5654913.7400000002</v>
      </c>
      <c r="X538" s="24">
        <v>6565354.8521400001</v>
      </c>
      <c r="Y538" s="22">
        <v>0.4</v>
      </c>
      <c r="Z538" s="22">
        <v>0.12</v>
      </c>
      <c r="AA538" s="8" t="s">
        <v>1912</v>
      </c>
      <c r="AB538" s="8">
        <v>1310531.69</v>
      </c>
      <c r="AC538" s="24">
        <v>1521527.2920899999</v>
      </c>
      <c r="AD538" s="8">
        <v>1369685.39</v>
      </c>
      <c r="AE538" s="24">
        <v>1590204.7377899999</v>
      </c>
      <c r="AF538" s="8">
        <v>45</v>
      </c>
      <c r="AG538" s="8">
        <v>23</v>
      </c>
      <c r="AH538" s="8" t="s">
        <v>376</v>
      </c>
      <c r="AI538" s="8" t="s">
        <v>320</v>
      </c>
      <c r="AJ538" s="22">
        <v>0.76</v>
      </c>
      <c r="AK538" s="8" t="s">
        <v>159</v>
      </c>
      <c r="AL538" s="22">
        <v>0.15</v>
      </c>
      <c r="AM538" s="22">
        <v>0.08</v>
      </c>
      <c r="AN538" s="8">
        <v>0</v>
      </c>
      <c r="AO538" s="8">
        <v>4002</v>
      </c>
      <c r="AP538" s="8">
        <v>226382.89</v>
      </c>
      <c r="AQ538" s="24">
        <v>262830.53529000003</v>
      </c>
      <c r="AR538" s="8">
        <v>2669944.9900000002</v>
      </c>
      <c r="AS538" s="37">
        <v>3099806.1333900006</v>
      </c>
      <c r="AT538" s="8" t="s">
        <v>321</v>
      </c>
      <c r="AU538" s="8" t="s">
        <v>332</v>
      </c>
      <c r="AV538" s="8">
        <v>79.7</v>
      </c>
      <c r="AW538" s="8">
        <v>48</v>
      </c>
      <c r="AX538" s="8" t="s">
        <v>387</v>
      </c>
      <c r="AY538" s="8" t="s">
        <v>206</v>
      </c>
      <c r="AZ538" s="8" t="s">
        <v>332</v>
      </c>
      <c r="BA538" s="21">
        <f>IF(OR(tblsales[[#This Row],[Invoice Value USD]]="",tblsales[[#This Row],[Collected Amount USD]]=""),"",tblsales[[#This Row],[Invoice Value USD]]-tblsales[[#This Row],[Collected Amount USD]])</f>
        <v>-68677.44570000004</v>
      </c>
      <c r="BB538" s="21">
        <f>IF(OR(tblsales[[#This Row],[Contract Value USD]]="",tblsales[[#This Row],[Cost Estimate USD]]=""),"",tblsales[[#This Row],[Contract Value USD]]-tblsales[[#This Row],[Cost Estimate USD]])</f>
        <v>1170126.36558</v>
      </c>
      <c r="BC538" s="21">
        <f>IF(OR(tblsales[[#This Row],[Contract Value USD]]="",tblsales[[#This Row],[Cost Estimate USD]]=""),"",tblsales[[#This Row],[Contract Value USD]]-tblsales[[#This Row],[Cost Estimate USD]])</f>
        <v>1170126.36558</v>
      </c>
      <c r="BD538" s="23">
        <f>IF(tblsales[[#This Row],[Invoice Value USD]]="","",tblsales[[#This Row],[Collected Amount USD]]/tblsales[[#This Row],[Invoice Value USD]])</f>
        <v>1.0451371763471053</v>
      </c>
      <c r="BE538" s="11">
        <f>IF(tblsales[[#This Row],[SalesStage]]="Won",1,0)</f>
        <v>1</v>
      </c>
      <c r="BF538" s="21" t="str">
        <f>IF(tblsales[[#This Row],[Win Flag]]=1,"Won","Lost")</f>
        <v>Won</v>
      </c>
      <c r="BG538" s="8"/>
    </row>
    <row r="539" spans="1:59" x14ac:dyDescent="0.3">
      <c r="A539" s="10" t="s">
        <v>1913</v>
      </c>
      <c r="B539" s="9">
        <v>45778</v>
      </c>
      <c r="C539" s="10" t="s">
        <v>219</v>
      </c>
      <c r="D539" s="10" t="s">
        <v>242</v>
      </c>
      <c r="E539" s="10" t="s">
        <v>52</v>
      </c>
      <c r="F539" s="10" t="s">
        <v>75</v>
      </c>
      <c r="G539" s="10" t="s">
        <v>16</v>
      </c>
      <c r="H539" s="10" t="s">
        <v>212</v>
      </c>
      <c r="I539" s="10" t="s">
        <v>246</v>
      </c>
      <c r="J539" s="10" t="s">
        <v>119</v>
      </c>
      <c r="K539" s="10" t="s">
        <v>204</v>
      </c>
      <c r="L539" s="10" t="s">
        <v>1914</v>
      </c>
      <c r="M539" s="9">
        <v>45704</v>
      </c>
      <c r="N539" s="9">
        <v>45844</v>
      </c>
      <c r="O539" s="9">
        <v>45881</v>
      </c>
      <c r="P539" s="11"/>
      <c r="Q539" s="12">
        <v>18518198</v>
      </c>
      <c r="R539">
        <v>5086948.9906000001</v>
      </c>
      <c r="S539" s="22">
        <v>0.18</v>
      </c>
      <c r="T539" s="22">
        <v>0.1</v>
      </c>
      <c r="U539" s="12">
        <v>16703414.6</v>
      </c>
      <c r="V539" s="24">
        <v>4588427.9906200003</v>
      </c>
      <c r="W539" s="8">
        <v>10224284.550000001</v>
      </c>
      <c r="X539" s="24">
        <v>2808610.9658850003</v>
      </c>
      <c r="Y539" s="22">
        <v>0.32</v>
      </c>
      <c r="Z539" s="22">
        <v>0.16</v>
      </c>
      <c r="AA539" s="8" t="s">
        <v>1915</v>
      </c>
      <c r="AB539" s="8">
        <v>10381649.1</v>
      </c>
      <c r="AC539" s="24">
        <v>2851839.00777</v>
      </c>
      <c r="AD539" s="8">
        <v>8858158.9800000004</v>
      </c>
      <c r="AE539" s="24">
        <v>2433336.2718060003</v>
      </c>
      <c r="AF539" s="8">
        <v>90</v>
      </c>
      <c r="AG539" s="8">
        <v>78</v>
      </c>
      <c r="AH539" s="8" t="s">
        <v>342</v>
      </c>
      <c r="AI539" s="8" t="s">
        <v>354</v>
      </c>
      <c r="AJ539" s="22">
        <v>0.56000000000000005</v>
      </c>
      <c r="AK539" s="8" t="s">
        <v>155</v>
      </c>
      <c r="AL539" s="22">
        <v>0.1</v>
      </c>
      <c r="AM539" s="22">
        <v>0.09</v>
      </c>
      <c r="AN539" s="8">
        <v>5</v>
      </c>
      <c r="AO539" s="8">
        <v>1034</v>
      </c>
      <c r="AP539" s="8">
        <v>1828292.36</v>
      </c>
      <c r="AQ539" s="24">
        <v>502231.91129200003</v>
      </c>
      <c r="AR539" s="8">
        <v>3378694.14</v>
      </c>
      <c r="AS539" s="37">
        <v>928127.28025800001</v>
      </c>
      <c r="AT539" s="8" t="s">
        <v>343</v>
      </c>
      <c r="AU539" s="8" t="s">
        <v>321</v>
      </c>
      <c r="AV539" s="8">
        <v>98.7</v>
      </c>
      <c r="AW539" s="8">
        <v>36</v>
      </c>
      <c r="AX539" s="8" t="s">
        <v>332</v>
      </c>
      <c r="AY539" s="8" t="s">
        <v>186</v>
      </c>
      <c r="AZ539" s="8" t="s">
        <v>188</v>
      </c>
      <c r="BA539" s="21">
        <f>IF(OR(tblsales[[#This Row],[Invoice Value USD]]="",tblsales[[#This Row],[Collected Amount USD]]=""),"",tblsales[[#This Row],[Invoice Value USD]]-tblsales[[#This Row],[Collected Amount USD]])</f>
        <v>418502.73596399976</v>
      </c>
      <c r="BB539" s="21">
        <f>IF(OR(tblsales[[#This Row],[Contract Value USD]]="",tblsales[[#This Row],[Cost Estimate USD]]=""),"",tblsales[[#This Row],[Contract Value USD]]-tblsales[[#This Row],[Cost Estimate USD]])</f>
        <v>1779817.024735</v>
      </c>
      <c r="BC539" s="21">
        <f>IF(OR(tblsales[[#This Row],[Contract Value USD]]="",tblsales[[#This Row],[Cost Estimate USD]]=""),"",tblsales[[#This Row],[Contract Value USD]]-tblsales[[#This Row],[Cost Estimate USD]])</f>
        <v>1779817.024735</v>
      </c>
      <c r="BD539" s="23">
        <f>IF(tblsales[[#This Row],[Invoice Value USD]]="","",tblsales[[#This Row],[Collected Amount USD]]/tblsales[[#This Row],[Invoice Value USD]])</f>
        <v>0.85325162646847708</v>
      </c>
      <c r="BE539" s="11">
        <f>IF(tblsales[[#This Row],[SalesStage]]="Won",1,0)</f>
        <v>0</v>
      </c>
      <c r="BF539" s="21" t="str">
        <f>IF(tblsales[[#This Row],[Win Flag]]=1,"Won","Lost")</f>
        <v>Lost</v>
      </c>
      <c r="BG539" s="8"/>
    </row>
    <row r="540" spans="1:59" x14ac:dyDescent="0.3">
      <c r="A540" s="10" t="s">
        <v>1916</v>
      </c>
      <c r="B540" s="9">
        <v>46055</v>
      </c>
      <c r="C540" s="10" t="s">
        <v>201</v>
      </c>
      <c r="D540" s="10" t="s">
        <v>265</v>
      </c>
      <c r="E540" s="10" t="s">
        <v>41</v>
      </c>
      <c r="F540" s="10" t="s">
        <v>228</v>
      </c>
      <c r="G540" s="10" t="s">
        <v>46</v>
      </c>
      <c r="H540" s="10" t="s">
        <v>332</v>
      </c>
      <c r="I540" s="10" t="s">
        <v>198</v>
      </c>
      <c r="J540" s="10" t="s">
        <v>130</v>
      </c>
      <c r="K540" s="10" t="s">
        <v>326</v>
      </c>
      <c r="L540" s="10" t="s">
        <v>1917</v>
      </c>
      <c r="M540" s="9">
        <v>45969</v>
      </c>
      <c r="N540" s="9"/>
      <c r="O540" s="9">
        <v>46114</v>
      </c>
      <c r="P540" s="11">
        <v>11</v>
      </c>
      <c r="Q540" s="12">
        <v>2832170</v>
      </c>
      <c r="R540">
        <v>755339.73899999994</v>
      </c>
      <c r="S540" s="22">
        <v>0.26</v>
      </c>
      <c r="T540" s="22">
        <v>0.01</v>
      </c>
      <c r="U540" s="12">
        <v>2116763.86</v>
      </c>
      <c r="V540" s="24">
        <v>564540.921462</v>
      </c>
      <c r="W540" s="8">
        <v>1869320.44</v>
      </c>
      <c r="X540" s="24">
        <v>498547.76134799997</v>
      </c>
      <c r="Y540" s="22">
        <v>0.11</v>
      </c>
      <c r="Z540" s="22">
        <v>0.19</v>
      </c>
      <c r="AA540" s="8" t="s">
        <v>1918</v>
      </c>
      <c r="AB540" s="8">
        <v>261547.7</v>
      </c>
      <c r="AC540" s="24">
        <v>69754.771590000004</v>
      </c>
      <c r="AD540" s="8">
        <v>186209.5</v>
      </c>
      <c r="AE540" s="24">
        <v>49662.073649999998</v>
      </c>
      <c r="AF540" s="8">
        <v>45</v>
      </c>
      <c r="AG540" s="8">
        <v>166</v>
      </c>
      <c r="AH540" s="8" t="s">
        <v>332</v>
      </c>
      <c r="AI540" s="8" t="s">
        <v>406</v>
      </c>
      <c r="AJ540" s="22">
        <v>0.19</v>
      </c>
      <c r="AK540" s="8" t="s">
        <v>162</v>
      </c>
      <c r="AL540" s="22">
        <v>0.1</v>
      </c>
      <c r="AM540" s="22">
        <v>0.05</v>
      </c>
      <c r="AN540" s="8">
        <v>15</v>
      </c>
      <c r="AO540" s="8">
        <v>2770</v>
      </c>
      <c r="AP540" s="8">
        <v>143551.43</v>
      </c>
      <c r="AQ540" s="24">
        <v>38285.166380999995</v>
      </c>
      <c r="AR540" s="8"/>
      <c r="AS540" s="37"/>
      <c r="AT540" s="8" t="s">
        <v>385</v>
      </c>
      <c r="AU540" s="8" t="s">
        <v>348</v>
      </c>
      <c r="AV540" s="8">
        <v>57</v>
      </c>
      <c r="AW540" s="8">
        <v>48</v>
      </c>
      <c r="AX540" s="8" t="s">
        <v>323</v>
      </c>
      <c r="AY540" s="8" t="s">
        <v>224</v>
      </c>
      <c r="AZ540" s="8" t="s">
        <v>324</v>
      </c>
      <c r="BA540" s="21">
        <f>IF(OR(tblsales[[#This Row],[Invoice Value USD]]="",tblsales[[#This Row],[Collected Amount USD]]=""),"",tblsales[[#This Row],[Invoice Value USD]]-tblsales[[#This Row],[Collected Amount USD]])</f>
        <v>20092.697940000005</v>
      </c>
      <c r="BB540" s="21">
        <f>IF(OR(tblsales[[#This Row],[Contract Value USD]]="",tblsales[[#This Row],[Cost Estimate USD]]=""),"",tblsales[[#This Row],[Contract Value USD]]-tblsales[[#This Row],[Cost Estimate USD]])</f>
        <v>65993.160114000028</v>
      </c>
      <c r="BC540" s="21">
        <f>IF(OR(tblsales[[#This Row],[Contract Value USD]]="",tblsales[[#This Row],[Cost Estimate USD]]=""),"",tblsales[[#This Row],[Contract Value USD]]-tblsales[[#This Row],[Cost Estimate USD]])</f>
        <v>65993.160114000028</v>
      </c>
      <c r="BD540" s="23">
        <f>IF(tblsales[[#This Row],[Invoice Value USD]]="","",tblsales[[#This Row],[Collected Amount USD]]/tblsales[[#This Row],[Invoice Value USD]])</f>
        <v>0.71195235133017798</v>
      </c>
      <c r="BE540" s="11">
        <f>IF(tblsales[[#This Row],[SalesStage]]="Won",1,0)</f>
        <v>0</v>
      </c>
      <c r="BF540" s="21" t="str">
        <f>IF(tblsales[[#This Row],[Win Flag]]=1,"Won","Lost")</f>
        <v>Lost</v>
      </c>
      <c r="BG540" s="8"/>
    </row>
    <row r="541" spans="1:59" x14ac:dyDescent="0.3">
      <c r="A541" s="10" t="s">
        <v>1919</v>
      </c>
      <c r="B541" s="9">
        <v>45993</v>
      </c>
      <c r="C541" s="10" t="s">
        <v>275</v>
      </c>
      <c r="D541" s="10" t="s">
        <v>262</v>
      </c>
      <c r="E541" s="10" t="s">
        <v>41</v>
      </c>
      <c r="F541" s="10" t="s">
        <v>228</v>
      </c>
      <c r="G541" s="10" t="s">
        <v>50</v>
      </c>
      <c r="H541" s="10" t="s">
        <v>216</v>
      </c>
      <c r="I541" s="10" t="s">
        <v>240</v>
      </c>
      <c r="J541" s="10" t="s">
        <v>130</v>
      </c>
      <c r="K541" s="10" t="s">
        <v>223</v>
      </c>
      <c r="L541" s="10" t="s">
        <v>1920</v>
      </c>
      <c r="M541" s="9">
        <v>45880</v>
      </c>
      <c r="N541" s="9">
        <v>46204</v>
      </c>
      <c r="O541" s="9">
        <v>46106</v>
      </c>
      <c r="P541" s="11">
        <v>57</v>
      </c>
      <c r="Q541" s="12">
        <v>14132894</v>
      </c>
      <c r="R541">
        <v>14132894</v>
      </c>
      <c r="S541" s="22">
        <v>0.1</v>
      </c>
      <c r="T541" s="22">
        <v>0.17</v>
      </c>
      <c r="U541" s="12">
        <v>14881937.380000001</v>
      </c>
      <c r="V541" s="24">
        <v>14881937.380000001</v>
      </c>
      <c r="W541" s="8">
        <v>10300517.43</v>
      </c>
      <c r="X541" s="24">
        <v>10300517.43</v>
      </c>
      <c r="Y541" s="22">
        <v>0.28999999999999998</v>
      </c>
      <c r="Z541" s="22">
        <v>0.06</v>
      </c>
      <c r="AA541" s="8" t="s">
        <v>1921</v>
      </c>
      <c r="AB541" s="8">
        <v>3329861.3</v>
      </c>
      <c r="AC541" s="24">
        <v>3329861.3</v>
      </c>
      <c r="AD541" s="8">
        <v>2186442.54</v>
      </c>
      <c r="AE541" s="24">
        <v>2186442.54</v>
      </c>
      <c r="AF541" s="8">
        <v>60</v>
      </c>
      <c r="AG541" s="8">
        <v>51</v>
      </c>
      <c r="AH541" s="8" t="s">
        <v>342</v>
      </c>
      <c r="AI541" s="8" t="s">
        <v>381</v>
      </c>
      <c r="AJ541" s="22">
        <v>0.23</v>
      </c>
      <c r="AK541" s="8" t="s">
        <v>152</v>
      </c>
      <c r="AL541" s="22">
        <v>0.05</v>
      </c>
      <c r="AM541" s="22">
        <v>7.0000000000000007E-2</v>
      </c>
      <c r="AN541" s="8">
        <v>6</v>
      </c>
      <c r="AO541" s="8">
        <v>3574</v>
      </c>
      <c r="AP541" s="8">
        <v>1403932.68</v>
      </c>
      <c r="AQ541" s="24">
        <v>1403932.68</v>
      </c>
      <c r="AR541" s="8">
        <v>5233911.8</v>
      </c>
      <c r="AS541" s="37">
        <v>5233911.8</v>
      </c>
      <c r="AT541" s="8" t="s">
        <v>73</v>
      </c>
      <c r="AU541" s="8" t="s">
        <v>330</v>
      </c>
      <c r="AV541" s="8">
        <v>77</v>
      </c>
      <c r="AW541" s="8">
        <v>60</v>
      </c>
      <c r="AX541" s="8" t="s">
        <v>332</v>
      </c>
      <c r="AY541" s="8" t="s">
        <v>224</v>
      </c>
      <c r="AZ541" s="8" t="s">
        <v>357</v>
      </c>
      <c r="BA541" s="21">
        <f>IF(OR(tblsales[[#This Row],[Invoice Value USD]]="",tblsales[[#This Row],[Collected Amount USD]]=""),"",tblsales[[#This Row],[Invoice Value USD]]-tblsales[[#This Row],[Collected Amount USD]])</f>
        <v>1143418.7599999998</v>
      </c>
      <c r="BB541" s="21">
        <f>IF(OR(tblsales[[#This Row],[Contract Value USD]]="",tblsales[[#This Row],[Cost Estimate USD]]=""),"",tblsales[[#This Row],[Contract Value USD]]-tblsales[[#This Row],[Cost Estimate USD]])</f>
        <v>4581419.9500000011</v>
      </c>
      <c r="BC541" s="21">
        <f>IF(OR(tblsales[[#This Row],[Contract Value USD]]="",tblsales[[#This Row],[Cost Estimate USD]]=""),"",tblsales[[#This Row],[Contract Value USD]]-tblsales[[#This Row],[Cost Estimate USD]])</f>
        <v>4581419.9500000011</v>
      </c>
      <c r="BD541" s="23">
        <f>IF(tblsales[[#This Row],[Invoice Value USD]]="","",tblsales[[#This Row],[Collected Amount USD]]/tblsales[[#This Row],[Invoice Value USD]])</f>
        <v>0.65661670052143017</v>
      </c>
      <c r="BE541" s="11">
        <f>IF(tblsales[[#This Row],[SalesStage]]="Won",1,0)</f>
        <v>0</v>
      </c>
      <c r="BF541" s="21" t="str">
        <f>IF(tblsales[[#This Row],[Win Flag]]=1,"Won","Lost")</f>
        <v>Lost</v>
      </c>
      <c r="BG541" s="8"/>
    </row>
    <row r="542" spans="1:59" x14ac:dyDescent="0.3">
      <c r="A542" s="10" t="s">
        <v>1922</v>
      </c>
      <c r="B542" s="9">
        <v>45927</v>
      </c>
      <c r="C542" s="10" t="s">
        <v>278</v>
      </c>
      <c r="D542" s="10" t="s">
        <v>394</v>
      </c>
      <c r="E542" s="10" t="s">
        <v>113</v>
      </c>
      <c r="F542" s="10" t="s">
        <v>367</v>
      </c>
      <c r="G542" s="10" t="s">
        <v>70</v>
      </c>
      <c r="H542" s="10" t="s">
        <v>197</v>
      </c>
      <c r="I542" s="10" t="s">
        <v>198</v>
      </c>
      <c r="J542" s="10" t="s">
        <v>127</v>
      </c>
      <c r="K542" s="10" t="s">
        <v>184</v>
      </c>
      <c r="L542" s="10" t="s">
        <v>1923</v>
      </c>
      <c r="M542" s="9">
        <v>45901</v>
      </c>
      <c r="N542" s="9"/>
      <c r="O542" s="9">
        <v>46040</v>
      </c>
      <c r="P542" s="11">
        <v>52</v>
      </c>
      <c r="Q542" s="12">
        <v>37518747</v>
      </c>
      <c r="R542">
        <v>10006249.824899999</v>
      </c>
      <c r="S542" s="22">
        <v>0.08</v>
      </c>
      <c r="T542" s="22">
        <v>0.15</v>
      </c>
      <c r="U542" s="12">
        <v>39694834.329999998</v>
      </c>
      <c r="V542" s="24">
        <v>10586612.315810999</v>
      </c>
      <c r="W542" s="8"/>
      <c r="X542" s="24"/>
      <c r="Y542" s="22">
        <v>0.13</v>
      </c>
      <c r="Z542" s="22">
        <v>0.09</v>
      </c>
      <c r="AA542" s="8" t="s">
        <v>1924</v>
      </c>
      <c r="AB542" s="8">
        <v>3267429.51</v>
      </c>
      <c r="AC542" s="24">
        <v>871423.45031699992</v>
      </c>
      <c r="AD542" s="8">
        <v>2557038.73</v>
      </c>
      <c r="AE542" s="24">
        <v>681962.22929099994</v>
      </c>
      <c r="AF542" s="8">
        <v>120</v>
      </c>
      <c r="AG542" s="8">
        <v>156</v>
      </c>
      <c r="AH542" s="8" t="s">
        <v>376</v>
      </c>
      <c r="AI542" s="8" t="s">
        <v>354</v>
      </c>
      <c r="AJ542" s="22">
        <v>0.49</v>
      </c>
      <c r="AK542" s="8" t="s">
        <v>162</v>
      </c>
      <c r="AL542" s="22">
        <v>0.15</v>
      </c>
      <c r="AM542" s="22">
        <v>7.0000000000000007E-2</v>
      </c>
      <c r="AN542" s="8">
        <v>6</v>
      </c>
      <c r="AO542" s="8">
        <v>2030</v>
      </c>
      <c r="AP542" s="8">
        <v>6121827.1900000004</v>
      </c>
      <c r="AQ542" s="24">
        <v>1632691.3115730002</v>
      </c>
      <c r="AR542" s="8">
        <v>5383046.96</v>
      </c>
      <c r="AS542" s="37">
        <v>1435658.624232</v>
      </c>
      <c r="AT542" s="8" t="s">
        <v>385</v>
      </c>
      <c r="AU542" s="8" t="s">
        <v>330</v>
      </c>
      <c r="AV542" s="8">
        <v>93.5</v>
      </c>
      <c r="AW542" s="8">
        <v>24</v>
      </c>
      <c r="AX542" s="8" t="s">
        <v>392</v>
      </c>
      <c r="AY542" s="8" t="s">
        <v>224</v>
      </c>
      <c r="AZ542" s="8" t="s">
        <v>332</v>
      </c>
      <c r="BA542" s="21">
        <f>IF(OR(tblsales[[#This Row],[Invoice Value USD]]="",tblsales[[#This Row],[Collected Amount USD]]=""),"",tblsales[[#This Row],[Invoice Value USD]]-tblsales[[#This Row],[Collected Amount USD]])</f>
        <v>189461.22102599998</v>
      </c>
      <c r="BB542" s="21" t="str">
        <f>IF(OR(tblsales[[#This Row],[Contract Value USD]]="",tblsales[[#This Row],[Cost Estimate USD]]=""),"",tblsales[[#This Row],[Contract Value USD]]-tblsales[[#This Row],[Cost Estimate USD]])</f>
        <v/>
      </c>
      <c r="BC542" s="21" t="str">
        <f>IF(OR(tblsales[[#This Row],[Contract Value USD]]="",tblsales[[#This Row],[Cost Estimate USD]]=""),"",tblsales[[#This Row],[Contract Value USD]]-tblsales[[#This Row],[Cost Estimate USD]])</f>
        <v/>
      </c>
      <c r="BD542" s="23">
        <f>IF(tblsales[[#This Row],[Invoice Value USD]]="","",tblsales[[#This Row],[Collected Amount USD]]/tblsales[[#This Row],[Invoice Value USD]])</f>
        <v>0.78258420638430237</v>
      </c>
      <c r="BE542" s="11">
        <f>IF(tblsales[[#This Row],[SalesStage]]="Won",1,0)</f>
        <v>0</v>
      </c>
      <c r="BF542" s="21" t="str">
        <f>IF(tblsales[[#This Row],[Win Flag]]=1,"Won","Lost")</f>
        <v>Lost</v>
      </c>
      <c r="BG542" s="8"/>
    </row>
    <row r="543" spans="1:59" x14ac:dyDescent="0.3">
      <c r="A543" s="10" t="s">
        <v>1925</v>
      </c>
      <c r="B543" s="9">
        <v>45736</v>
      </c>
      <c r="C543" s="10" t="s">
        <v>286</v>
      </c>
      <c r="D543" s="10" t="s">
        <v>215</v>
      </c>
      <c r="E543" s="10" t="s">
        <v>41</v>
      </c>
      <c r="F543" s="10" t="s">
        <v>350</v>
      </c>
      <c r="G543" s="10" t="s">
        <v>62</v>
      </c>
      <c r="H543" s="10" t="s">
        <v>197</v>
      </c>
      <c r="I543" s="10" t="s">
        <v>191</v>
      </c>
      <c r="J543" s="10" t="s">
        <v>105</v>
      </c>
      <c r="K543" s="10" t="s">
        <v>210</v>
      </c>
      <c r="L543" s="10" t="s">
        <v>1926</v>
      </c>
      <c r="M543" s="9">
        <v>45901</v>
      </c>
      <c r="N543" s="9">
        <v>45692</v>
      </c>
      <c r="O543" s="9"/>
      <c r="P543" s="11">
        <v>8</v>
      </c>
      <c r="Q543" s="12">
        <v>7123176</v>
      </c>
      <c r="R543">
        <v>1956736.4472000001</v>
      </c>
      <c r="S543" s="22">
        <v>0.12</v>
      </c>
      <c r="T543" s="22">
        <v>0.09</v>
      </c>
      <c r="U543" s="12">
        <v>6832550.4199999999</v>
      </c>
      <c r="V543" s="24">
        <v>1876901.6003739999</v>
      </c>
      <c r="W543" s="8"/>
      <c r="X543" s="24"/>
      <c r="Y543" s="22">
        <v>0.33</v>
      </c>
      <c r="Z543" s="22">
        <v>0.12</v>
      </c>
      <c r="AA543" s="8" t="s">
        <v>1927</v>
      </c>
      <c r="AB543" s="8">
        <v>2667255.7999999998</v>
      </c>
      <c r="AC543" s="24">
        <v>732695.16825999995</v>
      </c>
      <c r="AD543" s="8">
        <v>2736699.02</v>
      </c>
      <c r="AE543" s="24">
        <v>751771.22079399996</v>
      </c>
      <c r="AF543" s="8">
        <v>90</v>
      </c>
      <c r="AG543" s="8">
        <v>76</v>
      </c>
      <c r="AH543" s="8" t="s">
        <v>342</v>
      </c>
      <c r="AI543" s="8" t="s">
        <v>381</v>
      </c>
      <c r="AJ543" s="22">
        <v>0.24</v>
      </c>
      <c r="AK543" s="8" t="s">
        <v>155</v>
      </c>
      <c r="AL543" s="22">
        <v>0.15</v>
      </c>
      <c r="AM543" s="22">
        <v>0.1</v>
      </c>
      <c r="AN543" s="8">
        <v>7</v>
      </c>
      <c r="AO543" s="8">
        <v>3788</v>
      </c>
      <c r="AP543" s="8">
        <v>1243726.98</v>
      </c>
      <c r="AQ543" s="24">
        <v>341651.80140599998</v>
      </c>
      <c r="AR543" s="8">
        <v>3271626.33</v>
      </c>
      <c r="AS543" s="37">
        <v>898715.75285100006</v>
      </c>
      <c r="AT543" s="8" t="s">
        <v>355</v>
      </c>
      <c r="AU543" s="8" t="s">
        <v>322</v>
      </c>
      <c r="AV543" s="8">
        <v>68.8</v>
      </c>
      <c r="AW543" s="8">
        <v>60</v>
      </c>
      <c r="AX543" s="8" t="s">
        <v>332</v>
      </c>
      <c r="AY543" s="8" t="s">
        <v>229</v>
      </c>
      <c r="AZ543" s="8" t="s">
        <v>332</v>
      </c>
      <c r="BA543" s="21">
        <f>IF(OR(tblsales[[#This Row],[Invoice Value USD]]="",tblsales[[#This Row],[Collected Amount USD]]=""),"",tblsales[[#This Row],[Invoice Value USD]]-tblsales[[#This Row],[Collected Amount USD]])</f>
        <v>-19076.052534000017</v>
      </c>
      <c r="BB543" s="21" t="str">
        <f>IF(OR(tblsales[[#This Row],[Contract Value USD]]="",tblsales[[#This Row],[Cost Estimate USD]]=""),"",tblsales[[#This Row],[Contract Value USD]]-tblsales[[#This Row],[Cost Estimate USD]])</f>
        <v/>
      </c>
      <c r="BC543" s="21" t="str">
        <f>IF(OR(tblsales[[#This Row],[Contract Value USD]]="",tblsales[[#This Row],[Cost Estimate USD]]=""),"",tblsales[[#This Row],[Contract Value USD]]-tblsales[[#This Row],[Cost Estimate USD]])</f>
        <v/>
      </c>
      <c r="BD543" s="23">
        <f>IF(tblsales[[#This Row],[Invoice Value USD]]="","",tblsales[[#This Row],[Collected Amount USD]]/tblsales[[#This Row],[Invoice Value USD]])</f>
        <v>1.0260354556169677</v>
      </c>
      <c r="BE543" s="11">
        <f>IF(tblsales[[#This Row],[SalesStage]]="Won",1,0)</f>
        <v>0</v>
      </c>
      <c r="BF543" s="21" t="str">
        <f>IF(tblsales[[#This Row],[Win Flag]]=1,"Won","Lost")</f>
        <v>Lost</v>
      </c>
      <c r="BG543" s="8"/>
    </row>
    <row r="544" spans="1:59" x14ac:dyDescent="0.3">
      <c r="A544" s="10" t="s">
        <v>1928</v>
      </c>
      <c r="B544" s="9">
        <v>45660</v>
      </c>
      <c r="C544" s="10" t="s">
        <v>270</v>
      </c>
      <c r="D544" s="10" t="s">
        <v>262</v>
      </c>
      <c r="E544" s="10" t="s">
        <v>20</v>
      </c>
      <c r="F544" s="10" t="s">
        <v>31</v>
      </c>
      <c r="G544" s="10" t="s">
        <v>70</v>
      </c>
      <c r="H544" s="10" t="s">
        <v>236</v>
      </c>
      <c r="I544" s="10" t="s">
        <v>233</v>
      </c>
      <c r="J544" s="10" t="s">
        <v>136</v>
      </c>
      <c r="K544" s="10" t="s">
        <v>199</v>
      </c>
      <c r="L544" s="10" t="s">
        <v>1929</v>
      </c>
      <c r="M544" s="9">
        <v>45639</v>
      </c>
      <c r="N544" s="9">
        <v>45710</v>
      </c>
      <c r="O544" s="9">
        <v>45768</v>
      </c>
      <c r="P544" s="11">
        <v>34</v>
      </c>
      <c r="Q544" s="12">
        <v>6645015</v>
      </c>
      <c r="R544">
        <v>1825385.6205</v>
      </c>
      <c r="S544" s="22">
        <v>0.21</v>
      </c>
      <c r="T544" s="22">
        <v>-0.04</v>
      </c>
      <c r="U544" s="12">
        <v>5039579.38</v>
      </c>
      <c r="V544" s="24">
        <v>1384372.4556859999</v>
      </c>
      <c r="W544" s="8">
        <v>3650923.75</v>
      </c>
      <c r="X544" s="24">
        <v>1002908.754125</v>
      </c>
      <c r="Y544" s="22">
        <v>0.32</v>
      </c>
      <c r="Z544" s="22">
        <v>0.15</v>
      </c>
      <c r="AA544" s="8" t="s">
        <v>1930</v>
      </c>
      <c r="AB544" s="8">
        <v>296428.28000000003</v>
      </c>
      <c r="AC544" s="24">
        <v>81428.848516000013</v>
      </c>
      <c r="AD544" s="8">
        <v>219052.32</v>
      </c>
      <c r="AE544" s="24">
        <v>60173.672304</v>
      </c>
      <c r="AF544" s="8">
        <v>90</v>
      </c>
      <c r="AG544" s="8">
        <v>102</v>
      </c>
      <c r="AH544" s="8" t="s">
        <v>329</v>
      </c>
      <c r="AI544" s="8" t="s">
        <v>455</v>
      </c>
      <c r="AJ544" s="22">
        <v>0.73</v>
      </c>
      <c r="AK544" s="8" t="s">
        <v>155</v>
      </c>
      <c r="AL544" s="22">
        <v>0.15</v>
      </c>
      <c r="AM544" s="22">
        <v>0.01</v>
      </c>
      <c r="AN544" s="8">
        <v>14</v>
      </c>
      <c r="AO544" s="8">
        <v>2032</v>
      </c>
      <c r="AP544" s="8">
        <v>585837.93000000005</v>
      </c>
      <c r="AQ544" s="24">
        <v>160929.67937100001</v>
      </c>
      <c r="AR544" s="8">
        <v>2187966.85</v>
      </c>
      <c r="AS544" s="37">
        <v>601034.49369500007</v>
      </c>
      <c r="AT544" s="8" t="s">
        <v>355</v>
      </c>
      <c r="AU544" s="8" t="s">
        <v>386</v>
      </c>
      <c r="AV544" s="8">
        <v>78</v>
      </c>
      <c r="AW544" s="8">
        <v>48</v>
      </c>
      <c r="AX544" s="8" t="s">
        <v>332</v>
      </c>
      <c r="AY544" s="8" t="s">
        <v>186</v>
      </c>
      <c r="AZ544" s="8" t="s">
        <v>377</v>
      </c>
      <c r="BA544" s="21">
        <f>IF(OR(tblsales[[#This Row],[Invoice Value USD]]="",tblsales[[#This Row],[Collected Amount USD]]=""),"",tblsales[[#This Row],[Invoice Value USD]]-tblsales[[#This Row],[Collected Amount USD]])</f>
        <v>21255.176212000013</v>
      </c>
      <c r="BB544" s="21">
        <f>IF(OR(tblsales[[#This Row],[Contract Value USD]]="",tblsales[[#This Row],[Cost Estimate USD]]=""),"",tblsales[[#This Row],[Contract Value USD]]-tblsales[[#This Row],[Cost Estimate USD]])</f>
        <v>381463.70156099997</v>
      </c>
      <c r="BC544" s="21">
        <f>IF(OR(tblsales[[#This Row],[Contract Value USD]]="",tblsales[[#This Row],[Cost Estimate USD]]=""),"",tblsales[[#This Row],[Contract Value USD]]-tblsales[[#This Row],[Cost Estimate USD]])</f>
        <v>381463.70156099997</v>
      </c>
      <c r="BD544" s="23">
        <f>IF(tblsales[[#This Row],[Invoice Value USD]]="","",tblsales[[#This Row],[Collected Amount USD]]/tblsales[[#This Row],[Invoice Value USD]])</f>
        <v>0.73897240843552436</v>
      </c>
      <c r="BE544" s="11">
        <f>IF(tblsales[[#This Row],[SalesStage]]="Won",1,0)</f>
        <v>0</v>
      </c>
      <c r="BF544" s="21" t="str">
        <f>IF(tblsales[[#This Row],[Win Flag]]=1,"Won","Lost")</f>
        <v>Lost</v>
      </c>
      <c r="BG544" s="8"/>
    </row>
    <row r="545" spans="1:59" x14ac:dyDescent="0.3">
      <c r="A545" s="10" t="s">
        <v>1931</v>
      </c>
      <c r="B545" s="9">
        <v>45872</v>
      </c>
      <c r="C545" s="10" t="s">
        <v>249</v>
      </c>
      <c r="D545" s="10" t="s">
        <v>180</v>
      </c>
      <c r="E545" s="10" t="s">
        <v>113</v>
      </c>
      <c r="F545" s="10" t="s">
        <v>367</v>
      </c>
      <c r="G545" s="10" t="s">
        <v>23</v>
      </c>
      <c r="H545" s="10" t="s">
        <v>263</v>
      </c>
      <c r="I545" s="10" t="s">
        <v>198</v>
      </c>
      <c r="J545" s="10" t="s">
        <v>123</v>
      </c>
      <c r="K545" s="10" t="s">
        <v>326</v>
      </c>
      <c r="L545" s="10" t="s">
        <v>1932</v>
      </c>
      <c r="M545" s="9">
        <v>45694</v>
      </c>
      <c r="N545" s="9"/>
      <c r="O545" s="9">
        <v>45967</v>
      </c>
      <c r="P545" s="11">
        <v>54</v>
      </c>
      <c r="Q545" s="12">
        <v>33833180</v>
      </c>
      <c r="R545">
        <v>9212774.9139999989</v>
      </c>
      <c r="S545" s="22">
        <v>0.33</v>
      </c>
      <c r="T545" s="22">
        <v>-0.04</v>
      </c>
      <c r="U545" s="12">
        <v>21761501.379999999</v>
      </c>
      <c r="V545" s="24">
        <v>5925656.8257739991</v>
      </c>
      <c r="W545" s="8">
        <v>17233673.329999998</v>
      </c>
      <c r="X545" s="24">
        <v>4692729.2477589995</v>
      </c>
      <c r="Y545" s="22">
        <v>0.13</v>
      </c>
      <c r="Z545" s="22">
        <v>0.17</v>
      </c>
      <c r="AA545" s="8" t="s">
        <v>1933</v>
      </c>
      <c r="AB545" s="8">
        <v>7224639.4800000004</v>
      </c>
      <c r="AC545" s="24">
        <v>1967269.3304040001</v>
      </c>
      <c r="AD545" s="8">
        <v>4691641.37</v>
      </c>
      <c r="AE545" s="24">
        <v>1277533.945051</v>
      </c>
      <c r="AF545" s="8">
        <v>30</v>
      </c>
      <c r="AG545" s="8">
        <v>142</v>
      </c>
      <c r="AH545" s="8" t="s">
        <v>347</v>
      </c>
      <c r="AI545" s="8" t="s">
        <v>354</v>
      </c>
      <c r="AJ545" s="22">
        <v>0.23</v>
      </c>
      <c r="AK545" s="8" t="s">
        <v>153</v>
      </c>
      <c r="AL545" s="22">
        <v>0.15</v>
      </c>
      <c r="AM545" s="22">
        <v>0.08</v>
      </c>
      <c r="AN545" s="8">
        <v>9</v>
      </c>
      <c r="AO545" s="8">
        <v>1539</v>
      </c>
      <c r="AP545" s="8">
        <v>3868906.12</v>
      </c>
      <c r="AQ545" s="24">
        <v>1053503.1364760001</v>
      </c>
      <c r="AR545" s="8">
        <v>9336071.8499999996</v>
      </c>
      <c r="AS545" s="37">
        <v>2542212.364755</v>
      </c>
      <c r="AT545" s="8" t="s">
        <v>343</v>
      </c>
      <c r="AU545" s="8" t="s">
        <v>322</v>
      </c>
      <c r="AV545" s="8">
        <v>76.400000000000006</v>
      </c>
      <c r="AW545" s="8">
        <v>12</v>
      </c>
      <c r="AX545" s="8" t="s">
        <v>392</v>
      </c>
      <c r="AY545" s="8" t="s">
        <v>206</v>
      </c>
      <c r="AZ545" s="8" t="s">
        <v>361</v>
      </c>
      <c r="BA545" s="21">
        <f>IF(OR(tblsales[[#This Row],[Invoice Value USD]]="",tblsales[[#This Row],[Collected Amount USD]]=""),"",tblsales[[#This Row],[Invoice Value USD]]-tblsales[[#This Row],[Collected Amount USD]])</f>
        <v>689735.38535300014</v>
      </c>
      <c r="BB545" s="21">
        <f>IF(OR(tblsales[[#This Row],[Contract Value USD]]="",tblsales[[#This Row],[Cost Estimate USD]]=""),"",tblsales[[#This Row],[Contract Value USD]]-tblsales[[#This Row],[Cost Estimate USD]])</f>
        <v>1232927.5780149996</v>
      </c>
      <c r="BC545" s="21">
        <f>IF(OR(tblsales[[#This Row],[Contract Value USD]]="",tblsales[[#This Row],[Cost Estimate USD]]=""),"",tblsales[[#This Row],[Contract Value USD]]-tblsales[[#This Row],[Cost Estimate USD]])</f>
        <v>1232927.5780149996</v>
      </c>
      <c r="BD545" s="23">
        <f>IF(tblsales[[#This Row],[Invoice Value USD]]="","",tblsales[[#This Row],[Collected Amount USD]]/tblsales[[#This Row],[Invoice Value USD]])</f>
        <v>0.64939453144864745</v>
      </c>
      <c r="BE545" s="11">
        <f>IF(tblsales[[#This Row],[SalesStage]]="Won",1,0)</f>
        <v>0</v>
      </c>
      <c r="BF545" s="21" t="str">
        <f>IF(tblsales[[#This Row],[Win Flag]]=1,"Won","Lost")</f>
        <v>Lost</v>
      </c>
      <c r="BG545" s="8"/>
    </row>
    <row r="546" spans="1:59" x14ac:dyDescent="0.3">
      <c r="A546" s="10" t="s">
        <v>1934</v>
      </c>
      <c r="B546" s="9">
        <v>45806</v>
      </c>
      <c r="C546" s="10" t="s">
        <v>282</v>
      </c>
      <c r="D546" s="10" t="s">
        <v>274</v>
      </c>
      <c r="E546" s="10" t="s">
        <v>20</v>
      </c>
      <c r="F546" s="10" t="s">
        <v>31</v>
      </c>
      <c r="G546" s="10" t="s">
        <v>23</v>
      </c>
      <c r="H546" s="10" t="s">
        <v>182</v>
      </c>
      <c r="I546" s="10" t="s">
        <v>203</v>
      </c>
      <c r="J546" s="10" t="s">
        <v>136</v>
      </c>
      <c r="K546" s="10" t="s">
        <v>326</v>
      </c>
      <c r="L546" s="10" t="s">
        <v>1935</v>
      </c>
      <c r="M546" s="9">
        <v>45732</v>
      </c>
      <c r="N546" s="9">
        <v>45863</v>
      </c>
      <c r="O546" s="9"/>
      <c r="P546" s="11">
        <v>10</v>
      </c>
      <c r="Q546" s="12">
        <v>25819534</v>
      </c>
      <c r="R546">
        <v>29976478.973999999</v>
      </c>
      <c r="S546" s="22">
        <v>0.16</v>
      </c>
      <c r="T546" s="22">
        <v>0.18</v>
      </c>
      <c r="U546" s="12">
        <v>25592322.100000001</v>
      </c>
      <c r="V546" s="24">
        <v>29712685.958100002</v>
      </c>
      <c r="W546" s="8">
        <v>19978731.960000001</v>
      </c>
      <c r="X546" s="24">
        <v>23195307.80556</v>
      </c>
      <c r="Y546" s="22">
        <v>0.18</v>
      </c>
      <c r="Z546" s="22">
        <v>0.18</v>
      </c>
      <c r="AA546" s="8" t="s">
        <v>1936</v>
      </c>
      <c r="AB546" s="8">
        <v>14057725.789999999</v>
      </c>
      <c r="AC546" s="24">
        <v>16321019.64219</v>
      </c>
      <c r="AD546" s="8">
        <v>4876324.01</v>
      </c>
      <c r="AE546" s="24">
        <v>5661412.1756100003</v>
      </c>
      <c r="AF546" s="8">
        <v>90</v>
      </c>
      <c r="AG546" s="8">
        <v>104</v>
      </c>
      <c r="AH546" s="8" t="s">
        <v>329</v>
      </c>
      <c r="AI546" s="8" t="s">
        <v>336</v>
      </c>
      <c r="AJ546" s="22">
        <v>0.28999999999999998</v>
      </c>
      <c r="AK546" s="8" t="s">
        <v>159</v>
      </c>
      <c r="AL546" s="22">
        <v>0.1</v>
      </c>
      <c r="AM546" s="22">
        <v>0.05</v>
      </c>
      <c r="AN546" s="8">
        <v>3</v>
      </c>
      <c r="AO546" s="8">
        <v>2580</v>
      </c>
      <c r="AP546" s="8">
        <v>513751.88</v>
      </c>
      <c r="AQ546" s="24">
        <v>596465.93267999997</v>
      </c>
      <c r="AR546" s="8">
        <v>4272385.0599999996</v>
      </c>
      <c r="AS546" s="37">
        <v>4960239.0546599999</v>
      </c>
      <c r="AT546" s="8" t="s">
        <v>332</v>
      </c>
      <c r="AU546" s="8" t="s">
        <v>330</v>
      </c>
      <c r="AV546" s="8">
        <v>83.1</v>
      </c>
      <c r="AW546" s="8">
        <v>48</v>
      </c>
      <c r="AX546" s="8" t="s">
        <v>323</v>
      </c>
      <c r="AY546" s="8" t="s">
        <v>186</v>
      </c>
      <c r="AZ546" s="8" t="s">
        <v>332</v>
      </c>
      <c r="BA546" s="21">
        <f>IF(OR(tblsales[[#This Row],[Invoice Value USD]]="",tblsales[[#This Row],[Collected Amount USD]]=""),"",tblsales[[#This Row],[Invoice Value USD]]-tblsales[[#This Row],[Collected Amount USD]])</f>
        <v>10659607.46658</v>
      </c>
      <c r="BB546" s="21">
        <f>IF(OR(tblsales[[#This Row],[Contract Value USD]]="",tblsales[[#This Row],[Cost Estimate USD]]=""),"",tblsales[[#This Row],[Contract Value USD]]-tblsales[[#This Row],[Cost Estimate USD]])</f>
        <v>6517378.152540002</v>
      </c>
      <c r="BC546" s="21">
        <f>IF(OR(tblsales[[#This Row],[Contract Value USD]]="",tblsales[[#This Row],[Cost Estimate USD]]=""),"",tblsales[[#This Row],[Contract Value USD]]-tblsales[[#This Row],[Cost Estimate USD]])</f>
        <v>6517378.152540002</v>
      </c>
      <c r="BD546" s="23">
        <f>IF(tblsales[[#This Row],[Invoice Value USD]]="","",tblsales[[#This Row],[Collected Amount USD]]/tblsales[[#This Row],[Invoice Value USD]])</f>
        <v>0.34687858355216933</v>
      </c>
      <c r="BE546" s="11">
        <f>IF(tblsales[[#This Row],[SalesStage]]="Won",1,0)</f>
        <v>0</v>
      </c>
      <c r="BF546" s="21" t="str">
        <f>IF(tblsales[[#This Row],[Win Flag]]=1,"Won","Lost")</f>
        <v>Lost</v>
      </c>
      <c r="BG546" s="8"/>
    </row>
    <row r="547" spans="1:59" x14ac:dyDescent="0.3">
      <c r="A547" s="10" t="s">
        <v>1937</v>
      </c>
      <c r="B547" s="9">
        <v>46073</v>
      </c>
      <c r="C547" s="10" t="s">
        <v>270</v>
      </c>
      <c r="D547" s="10" t="s">
        <v>255</v>
      </c>
      <c r="E547" s="10" t="s">
        <v>20</v>
      </c>
      <c r="F547" s="10" t="s">
        <v>196</v>
      </c>
      <c r="G547" s="10" t="s">
        <v>62</v>
      </c>
      <c r="H547" s="10" t="s">
        <v>263</v>
      </c>
      <c r="I547" s="10" t="s">
        <v>183</v>
      </c>
      <c r="J547" s="10" t="s">
        <v>136</v>
      </c>
      <c r="K547" s="10" t="s">
        <v>326</v>
      </c>
      <c r="L547" s="10" t="s">
        <v>1938</v>
      </c>
      <c r="M547" s="9">
        <v>45759</v>
      </c>
      <c r="N547" s="9"/>
      <c r="O547" s="9">
        <v>46187</v>
      </c>
      <c r="P547" s="11"/>
      <c r="Q547" s="12">
        <v>23944511</v>
      </c>
      <c r="R547">
        <v>23944511</v>
      </c>
      <c r="S547" s="22">
        <v>0.3</v>
      </c>
      <c r="T547" s="22">
        <v>-0.03</v>
      </c>
      <c r="U547" s="12">
        <v>16258322.970000001</v>
      </c>
      <c r="V547" s="24">
        <v>16258322.970000001</v>
      </c>
      <c r="W547" s="8"/>
      <c r="X547" s="24"/>
      <c r="Y547" s="22"/>
      <c r="Z547" s="22">
        <v>0.1</v>
      </c>
      <c r="AA547" s="8" t="s">
        <v>1939</v>
      </c>
      <c r="AB547" s="8">
        <v>8302810.7300000004</v>
      </c>
      <c r="AC547" s="24">
        <v>8302810.7300000004</v>
      </c>
      <c r="AD547" s="8">
        <v>8543397.2899999991</v>
      </c>
      <c r="AE547" s="24">
        <v>8543397.2899999991</v>
      </c>
      <c r="AF547" s="8">
        <v>120</v>
      </c>
      <c r="AG547" s="8">
        <v>15</v>
      </c>
      <c r="AH547" s="8" t="s">
        <v>329</v>
      </c>
      <c r="AI547" s="8" t="s">
        <v>455</v>
      </c>
      <c r="AJ547" s="22">
        <v>0.41</v>
      </c>
      <c r="AK547" s="8" t="s">
        <v>152</v>
      </c>
      <c r="AL547" s="22">
        <v>0.15</v>
      </c>
      <c r="AM547" s="22">
        <v>0.08</v>
      </c>
      <c r="AN547" s="8">
        <v>9</v>
      </c>
      <c r="AO547" s="8">
        <v>3005</v>
      </c>
      <c r="AP547" s="8"/>
      <c r="AQ547" s="24"/>
      <c r="AR547" s="8">
        <v>6191134.9400000004</v>
      </c>
      <c r="AS547" s="37">
        <v>6191134.9400000004</v>
      </c>
      <c r="AT547" s="8" t="s">
        <v>385</v>
      </c>
      <c r="AU547" s="8" t="s">
        <v>322</v>
      </c>
      <c r="AV547" s="8">
        <v>60.2</v>
      </c>
      <c r="AW547" s="8">
        <v>12</v>
      </c>
      <c r="AX547" s="8" t="s">
        <v>392</v>
      </c>
      <c r="AY547" s="8" t="s">
        <v>224</v>
      </c>
      <c r="AZ547" s="8" t="s">
        <v>332</v>
      </c>
      <c r="BA547" s="21">
        <f>IF(OR(tblsales[[#This Row],[Invoice Value USD]]="",tblsales[[#This Row],[Collected Amount USD]]=""),"",tblsales[[#This Row],[Invoice Value USD]]-tblsales[[#This Row],[Collected Amount USD]])</f>
        <v>-240586.55999999866</v>
      </c>
      <c r="BB547" s="21" t="str">
        <f>IF(OR(tblsales[[#This Row],[Contract Value USD]]="",tblsales[[#This Row],[Cost Estimate USD]]=""),"",tblsales[[#This Row],[Contract Value USD]]-tblsales[[#This Row],[Cost Estimate USD]])</f>
        <v/>
      </c>
      <c r="BC547" s="21" t="str">
        <f>IF(OR(tblsales[[#This Row],[Contract Value USD]]="",tblsales[[#This Row],[Cost Estimate USD]]=""),"",tblsales[[#This Row],[Contract Value USD]]-tblsales[[#This Row],[Cost Estimate USD]])</f>
        <v/>
      </c>
      <c r="BD547" s="23">
        <f>IF(tblsales[[#This Row],[Invoice Value USD]]="","",tblsales[[#This Row],[Collected Amount USD]]/tblsales[[#This Row],[Invoice Value USD]])</f>
        <v>1.0289765198585947</v>
      </c>
      <c r="BE547" s="11">
        <f>IF(tblsales[[#This Row],[SalesStage]]="Won",1,0)</f>
        <v>0</v>
      </c>
      <c r="BF547" s="21" t="str">
        <f>IF(tblsales[[#This Row],[Win Flag]]=1,"Won","Lost")</f>
        <v>Lost</v>
      </c>
      <c r="BG547" s="8"/>
    </row>
    <row r="548" spans="1:59" x14ac:dyDescent="0.3">
      <c r="A548" s="10" t="s">
        <v>1940</v>
      </c>
      <c r="B548" s="9">
        <v>45801</v>
      </c>
      <c r="C548" s="10" t="s">
        <v>252</v>
      </c>
      <c r="D548" s="10" t="s">
        <v>265</v>
      </c>
      <c r="E548" s="10" t="s">
        <v>20</v>
      </c>
      <c r="F548" s="10" t="s">
        <v>35</v>
      </c>
      <c r="G548" s="10" t="s">
        <v>57</v>
      </c>
      <c r="H548" s="10" t="s">
        <v>236</v>
      </c>
      <c r="I548" s="10" t="s">
        <v>213</v>
      </c>
      <c r="J548" s="10" t="s">
        <v>136</v>
      </c>
      <c r="K548" s="10" t="s">
        <v>326</v>
      </c>
      <c r="L548" s="10" t="s">
        <v>1941</v>
      </c>
      <c r="M548" s="9">
        <v>45775</v>
      </c>
      <c r="N548" s="9">
        <v>45859</v>
      </c>
      <c r="O548" s="9">
        <v>45906</v>
      </c>
      <c r="P548" s="11">
        <v>30</v>
      </c>
      <c r="Q548" s="12">
        <v>38887420</v>
      </c>
      <c r="R548">
        <v>38887420</v>
      </c>
      <c r="S548" s="22">
        <v>0.13</v>
      </c>
      <c r="T548" s="22">
        <v>0.19</v>
      </c>
      <c r="U548" s="12">
        <v>40260145.93</v>
      </c>
      <c r="V548" s="24">
        <v>40260145.93</v>
      </c>
      <c r="W548" s="8">
        <v>32293962.18</v>
      </c>
      <c r="X548" s="24">
        <v>32293962.18</v>
      </c>
      <c r="Y548" s="22">
        <v>0.09</v>
      </c>
      <c r="Z548" s="22">
        <v>0.11</v>
      </c>
      <c r="AA548" s="8" t="s">
        <v>1942</v>
      </c>
      <c r="AB548" s="8">
        <v>3453417.34</v>
      </c>
      <c r="AC548" s="24">
        <v>3453417.34</v>
      </c>
      <c r="AD548" s="8">
        <v>3443840.46</v>
      </c>
      <c r="AE548" s="24">
        <v>3443840.46</v>
      </c>
      <c r="AF548" s="8">
        <v>60</v>
      </c>
      <c r="AG548" s="8">
        <v>11</v>
      </c>
      <c r="AH548" s="8" t="s">
        <v>353</v>
      </c>
      <c r="AI548" s="8" t="s">
        <v>455</v>
      </c>
      <c r="AJ548" s="22">
        <v>0.68</v>
      </c>
      <c r="AK548" s="8" t="s">
        <v>152</v>
      </c>
      <c r="AL548" s="22">
        <v>0.05</v>
      </c>
      <c r="AM548" s="22">
        <v>0.05</v>
      </c>
      <c r="AN548" s="8">
        <v>2</v>
      </c>
      <c r="AO548" s="8">
        <v>1894</v>
      </c>
      <c r="AP548" s="8">
        <v>6496122.0899999999</v>
      </c>
      <c r="AQ548" s="24">
        <v>6496122.0899999999</v>
      </c>
      <c r="AR548" s="8">
        <v>7595511.3799999999</v>
      </c>
      <c r="AS548" s="37">
        <v>7595511.3799999999</v>
      </c>
      <c r="AT548" s="8" t="s">
        <v>385</v>
      </c>
      <c r="AU548" s="8" t="s">
        <v>332</v>
      </c>
      <c r="AV548" s="8">
        <v>77.099999999999994</v>
      </c>
      <c r="AW548" s="8"/>
      <c r="AX548" s="8" t="s">
        <v>387</v>
      </c>
      <c r="AY548" s="8" t="s">
        <v>229</v>
      </c>
      <c r="AZ548" s="8" t="s">
        <v>324</v>
      </c>
      <c r="BA548" s="21">
        <f>IF(OR(tblsales[[#This Row],[Invoice Value USD]]="",tblsales[[#This Row],[Collected Amount USD]]=""),"",tblsales[[#This Row],[Invoice Value USD]]-tblsales[[#This Row],[Collected Amount USD]])</f>
        <v>9576.8799999998882</v>
      </c>
      <c r="BB548" s="21">
        <f>IF(OR(tblsales[[#This Row],[Contract Value USD]]="",tblsales[[#This Row],[Cost Estimate USD]]=""),"",tblsales[[#This Row],[Contract Value USD]]-tblsales[[#This Row],[Cost Estimate USD]])</f>
        <v>7966183.75</v>
      </c>
      <c r="BC548" s="21">
        <f>IF(OR(tblsales[[#This Row],[Contract Value USD]]="",tblsales[[#This Row],[Cost Estimate USD]]=""),"",tblsales[[#This Row],[Contract Value USD]]-tblsales[[#This Row],[Cost Estimate USD]])</f>
        <v>7966183.75</v>
      </c>
      <c r="BD548" s="23">
        <f>IF(tblsales[[#This Row],[Invoice Value USD]]="","",tblsales[[#This Row],[Collected Amount USD]]/tblsales[[#This Row],[Invoice Value USD]])</f>
        <v>0.99722683966137726</v>
      </c>
      <c r="BE548" s="11">
        <f>IF(tblsales[[#This Row],[SalesStage]]="Won",1,0)</f>
        <v>0</v>
      </c>
      <c r="BF548" s="21" t="str">
        <f>IF(tblsales[[#This Row],[Win Flag]]=1,"Won","Lost")</f>
        <v>Lost</v>
      </c>
      <c r="BG548" s="8"/>
    </row>
    <row r="549" spans="1:59" x14ac:dyDescent="0.3">
      <c r="A549" s="10" t="s">
        <v>1943</v>
      </c>
      <c r="B549" s="9">
        <v>46061</v>
      </c>
      <c r="C549" s="10" t="s">
        <v>201</v>
      </c>
      <c r="D549" s="10" t="s">
        <v>262</v>
      </c>
      <c r="E549" s="10" t="s">
        <v>332</v>
      </c>
      <c r="F549" s="10" t="s">
        <v>363</v>
      </c>
      <c r="G549" s="10" t="s">
        <v>332</v>
      </c>
      <c r="H549" s="10" t="s">
        <v>263</v>
      </c>
      <c r="I549" s="10" t="s">
        <v>183</v>
      </c>
      <c r="J549" s="10" t="s">
        <v>99</v>
      </c>
      <c r="K549" s="10" t="s">
        <v>184</v>
      </c>
      <c r="L549" s="10" t="s">
        <v>1944</v>
      </c>
      <c r="M549" s="9">
        <v>46054</v>
      </c>
      <c r="N549" s="9"/>
      <c r="O549" s="9"/>
      <c r="P549" s="11">
        <v>52</v>
      </c>
      <c r="Q549" s="12">
        <v>10309508</v>
      </c>
      <c r="R549">
        <v>10309508</v>
      </c>
      <c r="S549" s="22">
        <v>0.09</v>
      </c>
      <c r="T549" s="22">
        <v>0.15</v>
      </c>
      <c r="U549" s="12">
        <v>10788900.119999999</v>
      </c>
      <c r="V549" s="24">
        <v>10788900.119999999</v>
      </c>
      <c r="W549" s="8">
        <v>8703524.2599999998</v>
      </c>
      <c r="X549" s="24">
        <v>8703524.2599999998</v>
      </c>
      <c r="Y549" s="22">
        <v>0.05</v>
      </c>
      <c r="Z549" s="22">
        <v>0.09</v>
      </c>
      <c r="AA549" s="8" t="s">
        <v>1945</v>
      </c>
      <c r="AB549" s="8">
        <v>8022572.1900000004</v>
      </c>
      <c r="AC549" s="24">
        <v>8022572.1900000004</v>
      </c>
      <c r="AD549" s="8">
        <v>4594325.8099999996</v>
      </c>
      <c r="AE549" s="24">
        <v>4594325.8099999996</v>
      </c>
      <c r="AF549" s="8">
        <v>90</v>
      </c>
      <c r="AG549" s="8">
        <v>143</v>
      </c>
      <c r="AH549" s="8" t="s">
        <v>353</v>
      </c>
      <c r="AI549" s="8" t="s">
        <v>455</v>
      </c>
      <c r="AJ549" s="22">
        <v>0.67</v>
      </c>
      <c r="AK549" s="8" t="s">
        <v>152</v>
      </c>
      <c r="AL549" s="22">
        <v>0.15</v>
      </c>
      <c r="AM549" s="22">
        <v>7.0000000000000007E-2</v>
      </c>
      <c r="AN549" s="8">
        <v>3</v>
      </c>
      <c r="AO549" s="8">
        <v>847</v>
      </c>
      <c r="AP549" s="8">
        <v>2211959.0699999998</v>
      </c>
      <c r="AQ549" s="24">
        <v>2211959.0699999998</v>
      </c>
      <c r="AR549" s="8">
        <v>2097732.38</v>
      </c>
      <c r="AS549" s="37">
        <v>2097732.38</v>
      </c>
      <c r="AT549" s="8" t="s">
        <v>385</v>
      </c>
      <c r="AU549" s="8" t="s">
        <v>332</v>
      </c>
      <c r="AV549" s="8">
        <v>92</v>
      </c>
      <c r="AW549" s="8">
        <v>36</v>
      </c>
      <c r="AX549" s="8" t="s">
        <v>323</v>
      </c>
      <c r="AY549" s="8" t="s">
        <v>206</v>
      </c>
      <c r="AZ549" s="8" t="s">
        <v>332</v>
      </c>
      <c r="BA549" s="21">
        <f>IF(OR(tblsales[[#This Row],[Invoice Value USD]]="",tblsales[[#This Row],[Collected Amount USD]]=""),"",tblsales[[#This Row],[Invoice Value USD]]-tblsales[[#This Row],[Collected Amount USD]])</f>
        <v>3428246.3800000008</v>
      </c>
      <c r="BB549" s="21">
        <f>IF(OR(tblsales[[#This Row],[Contract Value USD]]="",tblsales[[#This Row],[Cost Estimate USD]]=""),"",tblsales[[#This Row],[Contract Value USD]]-tblsales[[#This Row],[Cost Estimate USD]])</f>
        <v>2085375.8599999994</v>
      </c>
      <c r="BC549" s="21">
        <f>IF(OR(tblsales[[#This Row],[Contract Value USD]]="",tblsales[[#This Row],[Cost Estimate USD]]=""),"",tblsales[[#This Row],[Contract Value USD]]-tblsales[[#This Row],[Cost Estimate USD]])</f>
        <v>2085375.8599999994</v>
      </c>
      <c r="BD549" s="23">
        <f>IF(tblsales[[#This Row],[Invoice Value USD]]="","",tblsales[[#This Row],[Collected Amount USD]]/tblsales[[#This Row],[Invoice Value USD]])</f>
        <v>0.5726749103893074</v>
      </c>
      <c r="BE549" s="11">
        <f>IF(tblsales[[#This Row],[SalesStage]]="Won",1,0)</f>
        <v>0</v>
      </c>
      <c r="BF549" s="21" t="str">
        <f>IF(tblsales[[#This Row],[Win Flag]]=1,"Won","Lost")</f>
        <v>Lost</v>
      </c>
      <c r="BG549" s="8"/>
    </row>
    <row r="550" spans="1:59" x14ac:dyDescent="0.3">
      <c r="A550" s="10" t="s">
        <v>1946</v>
      </c>
      <c r="B550" s="9">
        <v>46006</v>
      </c>
      <c r="C550" s="10" t="s">
        <v>222</v>
      </c>
      <c r="D550" s="10" t="s">
        <v>180</v>
      </c>
      <c r="E550" s="10" t="s">
        <v>20</v>
      </c>
      <c r="F550" s="10" t="s">
        <v>35</v>
      </c>
      <c r="G550" s="10" t="s">
        <v>66</v>
      </c>
      <c r="H550" s="10" t="s">
        <v>263</v>
      </c>
      <c r="I550" s="10" t="s">
        <v>203</v>
      </c>
      <c r="J550" s="10" t="s">
        <v>136</v>
      </c>
      <c r="K550" s="10" t="s">
        <v>199</v>
      </c>
      <c r="L550" s="10" t="s">
        <v>1947</v>
      </c>
      <c r="M550" s="9">
        <v>45917</v>
      </c>
      <c r="N550" s="9">
        <v>46236</v>
      </c>
      <c r="O550" s="9">
        <v>46058</v>
      </c>
      <c r="P550" s="11">
        <v>46</v>
      </c>
      <c r="Q550" s="12">
        <v>49874143</v>
      </c>
      <c r="R550">
        <v>13580729.138899999</v>
      </c>
      <c r="S550" s="22">
        <v>0.12</v>
      </c>
      <c r="T550" s="22">
        <v>0.18</v>
      </c>
      <c r="U550" s="12">
        <v>51789310.090000004</v>
      </c>
      <c r="V550" s="24">
        <v>14102229.137507001</v>
      </c>
      <c r="W550" s="8">
        <v>39364858.130000003</v>
      </c>
      <c r="X550" s="24">
        <v>10719050.868799001</v>
      </c>
      <c r="Y550" s="22">
        <v>0.31</v>
      </c>
      <c r="Z550" s="22">
        <v>0.14000000000000001</v>
      </c>
      <c r="AA550" s="8" t="s">
        <v>1948</v>
      </c>
      <c r="AB550" s="8">
        <v>24666052.859999999</v>
      </c>
      <c r="AC550" s="24">
        <v>6716566.1937779998</v>
      </c>
      <c r="AD550" s="8">
        <v>15568638.51</v>
      </c>
      <c r="AE550" s="24">
        <v>4239340.2662729993</v>
      </c>
      <c r="AF550" s="8">
        <v>45</v>
      </c>
      <c r="AG550" s="8">
        <v>178</v>
      </c>
      <c r="AH550" s="8" t="s">
        <v>376</v>
      </c>
      <c r="AI550" s="8" t="s">
        <v>336</v>
      </c>
      <c r="AJ550" s="22">
        <v>0.94</v>
      </c>
      <c r="AK550" s="8" t="s">
        <v>153</v>
      </c>
      <c r="AL550" s="22">
        <v>0.1</v>
      </c>
      <c r="AM550" s="22">
        <v>0.04</v>
      </c>
      <c r="AN550" s="8">
        <v>13</v>
      </c>
      <c r="AO550" s="8">
        <v>4068</v>
      </c>
      <c r="AP550" s="8">
        <v>12713980.779999999</v>
      </c>
      <c r="AQ550" s="24">
        <v>3462016.9663939998</v>
      </c>
      <c r="AR550" s="8">
        <v>14903165.75</v>
      </c>
      <c r="AS550" s="37">
        <v>4058132.033725</v>
      </c>
      <c r="AT550" s="8" t="s">
        <v>332</v>
      </c>
      <c r="AU550" s="8" t="s">
        <v>348</v>
      </c>
      <c r="AV550" s="8">
        <v>59.8</v>
      </c>
      <c r="AW550" s="8">
        <v>48</v>
      </c>
      <c r="AX550" s="8" t="s">
        <v>392</v>
      </c>
      <c r="AY550" s="8" t="s">
        <v>206</v>
      </c>
      <c r="AZ550" s="8" t="s">
        <v>332</v>
      </c>
      <c r="BA550" s="21">
        <f>IF(OR(tblsales[[#This Row],[Invoice Value USD]]="",tblsales[[#This Row],[Collected Amount USD]]=""),"",tblsales[[#This Row],[Invoice Value USD]]-tblsales[[#This Row],[Collected Amount USD]])</f>
        <v>2477225.9275050005</v>
      </c>
      <c r="BB550" s="21">
        <f>IF(OR(tblsales[[#This Row],[Contract Value USD]]="",tblsales[[#This Row],[Cost Estimate USD]]=""),"",tblsales[[#This Row],[Contract Value USD]]-tblsales[[#This Row],[Cost Estimate USD]])</f>
        <v>3383178.268708</v>
      </c>
      <c r="BC550" s="21">
        <f>IF(OR(tblsales[[#This Row],[Contract Value USD]]="",tblsales[[#This Row],[Cost Estimate USD]]=""),"",tblsales[[#This Row],[Contract Value USD]]-tblsales[[#This Row],[Cost Estimate USD]])</f>
        <v>3383178.268708</v>
      </c>
      <c r="BD550" s="23">
        <f>IF(tblsales[[#This Row],[Invoice Value USD]]="","",tblsales[[#This Row],[Collected Amount USD]]/tblsales[[#This Row],[Invoice Value USD]])</f>
        <v>0.63117672691146576</v>
      </c>
      <c r="BE550" s="11">
        <f>IF(tblsales[[#This Row],[SalesStage]]="Won",1,0)</f>
        <v>0</v>
      </c>
      <c r="BF550" s="21" t="str">
        <f>IF(tblsales[[#This Row],[Win Flag]]=1,"Won","Lost")</f>
        <v>Lost</v>
      </c>
      <c r="BG550" s="8"/>
    </row>
    <row r="551" spans="1:59" x14ac:dyDescent="0.3">
      <c r="A551" s="10" t="s">
        <v>1949</v>
      </c>
      <c r="B551" s="9">
        <v>46070</v>
      </c>
      <c r="C551" s="10" t="s">
        <v>251</v>
      </c>
      <c r="D551" s="10" t="s">
        <v>245</v>
      </c>
      <c r="E551" s="10" t="s">
        <v>41</v>
      </c>
      <c r="F551" s="10" t="s">
        <v>363</v>
      </c>
      <c r="G551" s="10" t="s">
        <v>50</v>
      </c>
      <c r="H551" s="10" t="s">
        <v>236</v>
      </c>
      <c r="I551" s="10" t="s">
        <v>191</v>
      </c>
      <c r="J551" s="10" t="s">
        <v>130</v>
      </c>
      <c r="K551" s="10" t="s">
        <v>204</v>
      </c>
      <c r="L551" s="10" t="s">
        <v>1950</v>
      </c>
      <c r="M551" s="9">
        <v>46052</v>
      </c>
      <c r="N551" s="9">
        <v>46101</v>
      </c>
      <c r="O551" s="9">
        <v>46118</v>
      </c>
      <c r="P551" s="11">
        <v>14</v>
      </c>
      <c r="Q551" s="12">
        <v>30129907</v>
      </c>
      <c r="R551">
        <v>30129907</v>
      </c>
      <c r="S551" s="22">
        <v>0.34</v>
      </c>
      <c r="T551" s="22">
        <v>-0.03</v>
      </c>
      <c r="U551" s="12">
        <v>19289166.460000001</v>
      </c>
      <c r="V551" s="24">
        <v>19289166.460000001</v>
      </c>
      <c r="W551" s="8">
        <v>13542168.25</v>
      </c>
      <c r="X551" s="24">
        <v>13542168.25</v>
      </c>
      <c r="Y551" s="22">
        <v>0.31</v>
      </c>
      <c r="Z551" s="22">
        <v>0.17</v>
      </c>
      <c r="AA551" s="8" t="s">
        <v>1951</v>
      </c>
      <c r="AB551" s="8">
        <v>13401567.42</v>
      </c>
      <c r="AC551" s="24">
        <v>13401567.42</v>
      </c>
      <c r="AD551" s="8">
        <v>8169019.04</v>
      </c>
      <c r="AE551" s="24">
        <v>8169019.04</v>
      </c>
      <c r="AF551" s="8">
        <v>120</v>
      </c>
      <c r="AG551" s="8">
        <v>103</v>
      </c>
      <c r="AH551" s="8" t="s">
        <v>332</v>
      </c>
      <c r="AI551" s="8" t="s">
        <v>336</v>
      </c>
      <c r="AJ551" s="22">
        <v>0.46</v>
      </c>
      <c r="AK551" s="8" t="s">
        <v>152</v>
      </c>
      <c r="AL551" s="22">
        <v>0.05</v>
      </c>
      <c r="AM551" s="22">
        <v>0.04</v>
      </c>
      <c r="AN551" s="8">
        <v>4</v>
      </c>
      <c r="AO551" s="8">
        <v>522</v>
      </c>
      <c r="AP551" s="8">
        <v>864928.4</v>
      </c>
      <c r="AQ551" s="24">
        <v>864928.4</v>
      </c>
      <c r="AR551" s="8">
        <v>2365355.89</v>
      </c>
      <c r="AS551" s="37">
        <v>2365355.89</v>
      </c>
      <c r="AT551" s="8" t="s">
        <v>355</v>
      </c>
      <c r="AU551" s="8" t="s">
        <v>321</v>
      </c>
      <c r="AV551" s="8">
        <v>87.3</v>
      </c>
      <c r="AW551" s="8">
        <v>12</v>
      </c>
      <c r="AX551" s="8" t="s">
        <v>337</v>
      </c>
      <c r="AY551" s="8" t="s">
        <v>192</v>
      </c>
      <c r="AZ551" s="8" t="s">
        <v>357</v>
      </c>
      <c r="BA551" s="21">
        <f>IF(OR(tblsales[[#This Row],[Invoice Value USD]]="",tblsales[[#This Row],[Collected Amount USD]]=""),"",tblsales[[#This Row],[Invoice Value USD]]-tblsales[[#This Row],[Collected Amount USD]])</f>
        <v>5232548.38</v>
      </c>
      <c r="BB551" s="21">
        <f>IF(OR(tblsales[[#This Row],[Contract Value USD]]="",tblsales[[#This Row],[Cost Estimate USD]]=""),"",tblsales[[#This Row],[Contract Value USD]]-tblsales[[#This Row],[Cost Estimate USD]])</f>
        <v>5746998.2100000009</v>
      </c>
      <c r="BC551" s="21">
        <f>IF(OR(tblsales[[#This Row],[Contract Value USD]]="",tblsales[[#This Row],[Cost Estimate USD]]=""),"",tblsales[[#This Row],[Contract Value USD]]-tblsales[[#This Row],[Cost Estimate USD]])</f>
        <v>5746998.2100000009</v>
      </c>
      <c r="BD551" s="23">
        <f>IF(tblsales[[#This Row],[Invoice Value USD]]="","",tblsales[[#This Row],[Collected Amount USD]]/tblsales[[#This Row],[Invoice Value USD]])</f>
        <v>0.60955698568578331</v>
      </c>
      <c r="BE551" s="11">
        <f>IF(tblsales[[#This Row],[SalesStage]]="Won",1,0)</f>
        <v>0</v>
      </c>
      <c r="BF551" s="21" t="str">
        <f>IF(tblsales[[#This Row],[Win Flag]]=1,"Won","Lost")</f>
        <v>Lost</v>
      </c>
      <c r="BG551" s="8"/>
    </row>
    <row r="552" spans="1:59" x14ac:dyDescent="0.3">
      <c r="A552" s="10" t="s">
        <v>1952</v>
      </c>
      <c r="B552" s="9">
        <v>45921</v>
      </c>
      <c r="C552" s="10" t="s">
        <v>283</v>
      </c>
      <c r="D552" s="10" t="s">
        <v>180</v>
      </c>
      <c r="E552" s="10" t="s">
        <v>20</v>
      </c>
      <c r="F552" s="10" t="s">
        <v>196</v>
      </c>
      <c r="G552" s="10" t="s">
        <v>23</v>
      </c>
      <c r="H552" s="10" t="s">
        <v>182</v>
      </c>
      <c r="I552" s="10" t="s">
        <v>191</v>
      </c>
      <c r="J552" s="10" t="s">
        <v>136</v>
      </c>
      <c r="K552" s="10" t="s">
        <v>210</v>
      </c>
      <c r="L552" s="10" t="s">
        <v>1953</v>
      </c>
      <c r="M552" s="9">
        <v>45846</v>
      </c>
      <c r="N552" s="9" t="s">
        <v>1954</v>
      </c>
      <c r="O552" s="9">
        <v>45984</v>
      </c>
      <c r="P552" s="11">
        <v>43</v>
      </c>
      <c r="Q552" s="12">
        <v>18466704</v>
      </c>
      <c r="R552">
        <v>18466704</v>
      </c>
      <c r="S552" s="22">
        <v>0.14000000000000001</v>
      </c>
      <c r="T552" s="22">
        <v>0.05</v>
      </c>
      <c r="U552" s="12">
        <v>16675433.710000001</v>
      </c>
      <c r="V552" s="24">
        <v>16675433.710000001</v>
      </c>
      <c r="W552" s="8">
        <v>14179821.34</v>
      </c>
      <c r="X552" s="24">
        <v>14179821.34</v>
      </c>
      <c r="Y552" s="22">
        <v>0.24</v>
      </c>
      <c r="Z552" s="22">
        <v>0.15</v>
      </c>
      <c r="AA552" s="8" t="s">
        <v>1955</v>
      </c>
      <c r="AB552" s="8">
        <v>5502543.9900000002</v>
      </c>
      <c r="AC552" s="24">
        <v>5502543.9900000002</v>
      </c>
      <c r="AD552" s="8">
        <v>5879710.0700000003</v>
      </c>
      <c r="AE552" s="24">
        <v>5879710.0700000003</v>
      </c>
      <c r="AF552" s="8">
        <v>120</v>
      </c>
      <c r="AG552" s="8">
        <v>59</v>
      </c>
      <c r="AH552" s="8" t="s">
        <v>347</v>
      </c>
      <c r="AI552" s="8" t="s">
        <v>354</v>
      </c>
      <c r="AJ552" s="22">
        <v>0.32</v>
      </c>
      <c r="AK552" s="8" t="s">
        <v>152</v>
      </c>
      <c r="AL552" s="22">
        <v>0.05</v>
      </c>
      <c r="AM552" s="22">
        <v>0.03</v>
      </c>
      <c r="AN552" s="8">
        <v>4</v>
      </c>
      <c r="AO552" s="8">
        <v>4359</v>
      </c>
      <c r="AP552" s="8">
        <v>689158.87</v>
      </c>
      <c r="AQ552" s="24">
        <v>689158.87</v>
      </c>
      <c r="AR552" s="8">
        <v>7939656.8799999999</v>
      </c>
      <c r="AS552" s="37">
        <v>7939656.8799999999</v>
      </c>
      <c r="AT552" s="8" t="s">
        <v>321</v>
      </c>
      <c r="AU552" s="8" t="s">
        <v>386</v>
      </c>
      <c r="AV552" s="8"/>
      <c r="AW552" s="8">
        <v>60</v>
      </c>
      <c r="AX552" s="8" t="s">
        <v>323</v>
      </c>
      <c r="AY552" s="8" t="s">
        <v>224</v>
      </c>
      <c r="AZ552" s="8" t="s">
        <v>332</v>
      </c>
      <c r="BA552" s="21">
        <f>IF(OR(tblsales[[#This Row],[Invoice Value USD]]="",tblsales[[#This Row],[Collected Amount USD]]=""),"",tblsales[[#This Row],[Invoice Value USD]]-tblsales[[#This Row],[Collected Amount USD]])</f>
        <v>-377166.08000000007</v>
      </c>
      <c r="BB552" s="21">
        <f>IF(OR(tblsales[[#This Row],[Contract Value USD]]="",tblsales[[#This Row],[Cost Estimate USD]]=""),"",tblsales[[#This Row],[Contract Value USD]]-tblsales[[#This Row],[Cost Estimate USD]])</f>
        <v>2495612.370000001</v>
      </c>
      <c r="BC552" s="21">
        <f>IF(OR(tblsales[[#This Row],[Contract Value USD]]="",tblsales[[#This Row],[Cost Estimate USD]]=""),"",tblsales[[#This Row],[Contract Value USD]]-tblsales[[#This Row],[Cost Estimate USD]])</f>
        <v>2495612.370000001</v>
      </c>
      <c r="BD552" s="23">
        <f>IF(tblsales[[#This Row],[Invoice Value USD]]="","",tblsales[[#This Row],[Collected Amount USD]]/tblsales[[#This Row],[Invoice Value USD]])</f>
        <v>1.0685439463428987</v>
      </c>
      <c r="BE552" s="11">
        <f>IF(tblsales[[#This Row],[SalesStage]]="Won",1,0)</f>
        <v>0</v>
      </c>
      <c r="BF552" s="21" t="str">
        <f>IF(tblsales[[#This Row],[Win Flag]]=1,"Won","Lost")</f>
        <v>Lost</v>
      </c>
      <c r="BG552" s="8"/>
    </row>
    <row r="553" spans="1:59" x14ac:dyDescent="0.3">
      <c r="A553" s="10" t="s">
        <v>1956</v>
      </c>
      <c r="B553" s="9">
        <v>45817</v>
      </c>
      <c r="C553" s="10" t="s">
        <v>267</v>
      </c>
      <c r="D553" s="10" t="s">
        <v>253</v>
      </c>
      <c r="E553" s="10" t="s">
        <v>41</v>
      </c>
      <c r="F553" s="10" t="s">
        <v>228</v>
      </c>
      <c r="G553" s="10" t="s">
        <v>78</v>
      </c>
      <c r="H553" s="10" t="s">
        <v>197</v>
      </c>
      <c r="I553" s="10" t="s">
        <v>332</v>
      </c>
      <c r="J553" s="10" t="s">
        <v>105</v>
      </c>
      <c r="K553" s="10" t="s">
        <v>204</v>
      </c>
      <c r="L553" s="10" t="s">
        <v>1957</v>
      </c>
      <c r="M553" s="9">
        <v>45767</v>
      </c>
      <c r="N553" s="9"/>
      <c r="O553" s="9"/>
      <c r="P553" s="11">
        <v>15</v>
      </c>
      <c r="Q553" s="12">
        <v>11113569</v>
      </c>
      <c r="R553">
        <v>12902853.609000001</v>
      </c>
      <c r="S553" s="22">
        <v>0.34</v>
      </c>
      <c r="T553" s="22">
        <v>0.04</v>
      </c>
      <c r="U553" s="12">
        <v>7628353.7599999998</v>
      </c>
      <c r="V553" s="24">
        <v>8856518.7153600007</v>
      </c>
      <c r="W553" s="8">
        <v>4731734.58</v>
      </c>
      <c r="X553" s="24">
        <v>5493543.8473800002</v>
      </c>
      <c r="Y553" s="22">
        <v>0.23</v>
      </c>
      <c r="Z553" s="22">
        <v>0.13</v>
      </c>
      <c r="AA553" s="8" t="s">
        <v>1958</v>
      </c>
      <c r="AB553" s="8">
        <v>3384620.42</v>
      </c>
      <c r="AC553" s="24">
        <v>3929544.3076200001</v>
      </c>
      <c r="AD553" s="8">
        <v>3106694.08</v>
      </c>
      <c r="AE553" s="24">
        <v>3606871.8268800001</v>
      </c>
      <c r="AF553" s="8">
        <v>90</v>
      </c>
      <c r="AG553" s="8">
        <v>56</v>
      </c>
      <c r="AH553" s="8" t="s">
        <v>342</v>
      </c>
      <c r="AI553" s="8" t="s">
        <v>320</v>
      </c>
      <c r="AJ553" s="22">
        <v>0.69</v>
      </c>
      <c r="AK553" s="8" t="s">
        <v>159</v>
      </c>
      <c r="AL553" s="22">
        <v>0.1</v>
      </c>
      <c r="AM553" s="22">
        <v>0.06</v>
      </c>
      <c r="AN553" s="8">
        <v>14</v>
      </c>
      <c r="AO553" s="8">
        <v>4548</v>
      </c>
      <c r="AP553" s="8">
        <v>480114.99</v>
      </c>
      <c r="AQ553" s="24">
        <v>557413.50338999997</v>
      </c>
      <c r="AR553" s="8">
        <v>1247503.8500000001</v>
      </c>
      <c r="AS553" s="37">
        <v>1448351.9698500002</v>
      </c>
      <c r="AT553" s="8" t="s">
        <v>355</v>
      </c>
      <c r="AU553" s="8" t="s">
        <v>322</v>
      </c>
      <c r="AV553" s="8">
        <v>66.599999999999994</v>
      </c>
      <c r="AW553" s="8">
        <v>48</v>
      </c>
      <c r="AX553" s="8" t="s">
        <v>387</v>
      </c>
      <c r="AY553" s="8" t="s">
        <v>224</v>
      </c>
      <c r="AZ553" s="8" t="s">
        <v>188</v>
      </c>
      <c r="BA553" s="21">
        <f>IF(OR(tblsales[[#This Row],[Invoice Value USD]]="",tblsales[[#This Row],[Collected Amount USD]]=""),"",tblsales[[#This Row],[Invoice Value USD]]-tblsales[[#This Row],[Collected Amount USD]])</f>
        <v>322672.48074000003</v>
      </c>
      <c r="BB553" s="21">
        <f>IF(OR(tblsales[[#This Row],[Contract Value USD]]="",tblsales[[#This Row],[Cost Estimate USD]]=""),"",tblsales[[#This Row],[Contract Value USD]]-tblsales[[#This Row],[Cost Estimate USD]])</f>
        <v>3362974.8679800006</v>
      </c>
      <c r="BC553" s="21">
        <f>IF(OR(tblsales[[#This Row],[Contract Value USD]]="",tblsales[[#This Row],[Cost Estimate USD]]=""),"",tblsales[[#This Row],[Contract Value USD]]-tblsales[[#This Row],[Cost Estimate USD]])</f>
        <v>3362974.8679800006</v>
      </c>
      <c r="BD553" s="23">
        <f>IF(tblsales[[#This Row],[Invoice Value USD]]="","",tblsales[[#This Row],[Collected Amount USD]]/tblsales[[#This Row],[Invoice Value USD]])</f>
        <v>0.91788552170940341</v>
      </c>
      <c r="BE553" s="11">
        <f>IF(tblsales[[#This Row],[SalesStage]]="Won",1,0)</f>
        <v>1</v>
      </c>
      <c r="BF553" s="21" t="str">
        <f>IF(tblsales[[#This Row],[Win Flag]]=1,"Won","Lost")</f>
        <v>Won</v>
      </c>
      <c r="BG553" s="8"/>
    </row>
    <row r="554" spans="1:59" x14ac:dyDescent="0.3">
      <c r="A554" s="10" t="s">
        <v>1959</v>
      </c>
      <c r="B554" s="9">
        <v>45934</v>
      </c>
      <c r="C554" s="10" t="s">
        <v>251</v>
      </c>
      <c r="D554" s="10" t="s">
        <v>255</v>
      </c>
      <c r="E554" s="10" t="s">
        <v>52</v>
      </c>
      <c r="F554" s="10" t="s">
        <v>75</v>
      </c>
      <c r="G554" s="10" t="s">
        <v>66</v>
      </c>
      <c r="H554" s="10" t="s">
        <v>212</v>
      </c>
      <c r="I554" s="10" t="s">
        <v>332</v>
      </c>
      <c r="J554" s="10" t="s">
        <v>133</v>
      </c>
      <c r="K554" s="10" t="s">
        <v>333</v>
      </c>
      <c r="L554" s="10" t="s">
        <v>1960</v>
      </c>
      <c r="M554" s="9">
        <v>45887</v>
      </c>
      <c r="N554" s="9"/>
      <c r="O554" s="9">
        <v>45669</v>
      </c>
      <c r="P554" s="11">
        <v>10</v>
      </c>
      <c r="Q554" s="12">
        <v>36840228</v>
      </c>
      <c r="R554">
        <v>9825288.807599999</v>
      </c>
      <c r="S554" s="22">
        <v>0.34</v>
      </c>
      <c r="T554" s="22">
        <v>0.02</v>
      </c>
      <c r="U554" s="12">
        <v>24800841.489999998</v>
      </c>
      <c r="V554" s="24">
        <v>6614384.4253829997</v>
      </c>
      <c r="W554" s="8"/>
      <c r="X554" s="24"/>
      <c r="Y554" s="22">
        <v>0.15</v>
      </c>
      <c r="Z554" s="22">
        <v>0.09</v>
      </c>
      <c r="AA554" s="8" t="s">
        <v>1961</v>
      </c>
      <c r="AB554" s="8">
        <v>16139243.35</v>
      </c>
      <c r="AC554" s="24">
        <v>4304336.2014450002</v>
      </c>
      <c r="AD554" s="8">
        <v>15529769.17</v>
      </c>
      <c r="AE554" s="24">
        <v>4141789.4376389999</v>
      </c>
      <c r="AF554" s="8">
        <v>90</v>
      </c>
      <c r="AG554" s="8">
        <v>21</v>
      </c>
      <c r="AH554" s="8" t="s">
        <v>347</v>
      </c>
      <c r="AI554" s="8" t="s">
        <v>226</v>
      </c>
      <c r="AJ554" s="22">
        <v>0.73</v>
      </c>
      <c r="AK554" s="8" t="s">
        <v>162</v>
      </c>
      <c r="AL554" s="22">
        <v>0.05</v>
      </c>
      <c r="AM554" s="22">
        <v>0.02</v>
      </c>
      <c r="AN554" s="8">
        <v>15</v>
      </c>
      <c r="AO554" s="8">
        <v>2564</v>
      </c>
      <c r="AP554" s="8">
        <v>1663903.05</v>
      </c>
      <c r="AQ554" s="24">
        <v>443762.94343500002</v>
      </c>
      <c r="AR554" s="8"/>
      <c r="AS554" s="37"/>
      <c r="AT554" s="8" t="s">
        <v>355</v>
      </c>
      <c r="AU554" s="8" t="s">
        <v>322</v>
      </c>
      <c r="AV554" s="8">
        <v>93.4</v>
      </c>
      <c r="AW554" s="8">
        <v>48</v>
      </c>
      <c r="AX554" s="8" t="s">
        <v>337</v>
      </c>
      <c r="AY554" s="8" t="s">
        <v>224</v>
      </c>
      <c r="AZ554" s="8" t="s">
        <v>357</v>
      </c>
      <c r="BA554" s="21">
        <f>IF(OR(tblsales[[#This Row],[Invoice Value USD]]="",tblsales[[#This Row],[Collected Amount USD]]=""),"",tblsales[[#This Row],[Invoice Value USD]]-tblsales[[#This Row],[Collected Amount USD]])</f>
        <v>162546.76380600035</v>
      </c>
      <c r="BB554" s="21" t="str">
        <f>IF(OR(tblsales[[#This Row],[Contract Value USD]]="",tblsales[[#This Row],[Cost Estimate USD]]=""),"",tblsales[[#This Row],[Contract Value USD]]-tblsales[[#This Row],[Cost Estimate USD]])</f>
        <v/>
      </c>
      <c r="BC554" s="21" t="str">
        <f>IF(OR(tblsales[[#This Row],[Contract Value USD]]="",tblsales[[#This Row],[Cost Estimate USD]]=""),"",tblsales[[#This Row],[Contract Value USD]]-tblsales[[#This Row],[Cost Estimate USD]])</f>
        <v/>
      </c>
      <c r="BD554" s="23">
        <f>IF(tblsales[[#This Row],[Invoice Value USD]]="","",tblsales[[#This Row],[Collected Amount USD]]/tblsales[[#This Row],[Invoice Value USD]])</f>
        <v>0.96223650844201436</v>
      </c>
      <c r="BE554" s="11">
        <f>IF(tblsales[[#This Row],[SalesStage]]="Won",1,0)</f>
        <v>0</v>
      </c>
      <c r="BF554" s="21" t="str">
        <f>IF(tblsales[[#This Row],[Win Flag]]=1,"Won","Lost")</f>
        <v>Lost</v>
      </c>
      <c r="BG554" s="8"/>
    </row>
    <row r="555" spans="1:59" x14ac:dyDescent="0.3">
      <c r="A555" s="10" t="s">
        <v>1962</v>
      </c>
      <c r="B555" s="9">
        <v>45799</v>
      </c>
      <c r="C555" s="10" t="s">
        <v>282</v>
      </c>
      <c r="D555" s="10" t="s">
        <v>238</v>
      </c>
      <c r="E555" s="10" t="s">
        <v>20</v>
      </c>
      <c r="F555" s="10" t="s">
        <v>196</v>
      </c>
      <c r="G555" s="10" t="s">
        <v>62</v>
      </c>
      <c r="H555" s="10" t="s">
        <v>263</v>
      </c>
      <c r="I555" s="10" t="s">
        <v>246</v>
      </c>
      <c r="J555" s="10" t="s">
        <v>136</v>
      </c>
      <c r="K555" s="10" t="s">
        <v>204</v>
      </c>
      <c r="L555" s="10" t="s">
        <v>1963</v>
      </c>
      <c r="M555" s="9">
        <v>45775</v>
      </c>
      <c r="N555" s="9" t="s">
        <v>1964</v>
      </c>
      <c r="O555" s="9">
        <v>45856</v>
      </c>
      <c r="P555" s="11">
        <v>17</v>
      </c>
      <c r="Q555" s="12">
        <v>39165312</v>
      </c>
      <c r="R555">
        <v>10664714.457599999</v>
      </c>
      <c r="S555" s="22">
        <v>0.33</v>
      </c>
      <c r="T555" s="22">
        <v>-0.01</v>
      </c>
      <c r="U555" s="12">
        <v>25978351.449999999</v>
      </c>
      <c r="V555" s="24">
        <v>7073905.0998349991</v>
      </c>
      <c r="W555" s="8">
        <v>19413966.57</v>
      </c>
      <c r="X555" s="24">
        <v>5286423.0970109999</v>
      </c>
      <c r="Y555" s="22">
        <v>0.35</v>
      </c>
      <c r="Z555" s="22">
        <v>0.19</v>
      </c>
      <c r="AA555" s="8" t="s">
        <v>1965</v>
      </c>
      <c r="AB555" s="8">
        <v>10841172.27</v>
      </c>
      <c r="AC555" s="24">
        <v>2952051.2091209996</v>
      </c>
      <c r="AD555" s="8">
        <v>8588499.0800000001</v>
      </c>
      <c r="AE555" s="24">
        <v>2338648.2994840001</v>
      </c>
      <c r="AF555" s="8">
        <v>30</v>
      </c>
      <c r="AG555" s="8">
        <v>24</v>
      </c>
      <c r="AH555" s="8" t="s">
        <v>353</v>
      </c>
      <c r="AI555" s="8" t="s">
        <v>320</v>
      </c>
      <c r="AJ555" s="22">
        <v>7.0000000000000007E-2</v>
      </c>
      <c r="AK555" s="8" t="s">
        <v>153</v>
      </c>
      <c r="AL555" s="22">
        <v>0.05</v>
      </c>
      <c r="AM555" s="22">
        <v>0.08</v>
      </c>
      <c r="AN555" s="8">
        <v>9</v>
      </c>
      <c r="AO555" s="8">
        <v>2173</v>
      </c>
      <c r="AP555" s="8">
        <v>6072625.6100000003</v>
      </c>
      <c r="AQ555" s="24">
        <v>1653575.9536029999</v>
      </c>
      <c r="AR555" s="8">
        <v>5609637.7000000002</v>
      </c>
      <c r="AS555" s="37">
        <v>1527504.34571</v>
      </c>
      <c r="AT555" s="8" t="s">
        <v>332</v>
      </c>
      <c r="AU555" s="8" t="s">
        <v>322</v>
      </c>
      <c r="AV555" s="8">
        <v>58</v>
      </c>
      <c r="AW555" s="8">
        <v>12</v>
      </c>
      <c r="AX555" s="8" t="s">
        <v>392</v>
      </c>
      <c r="AY555" s="8" t="s">
        <v>229</v>
      </c>
      <c r="AZ555" s="8" t="s">
        <v>332</v>
      </c>
      <c r="BA555" s="21">
        <f>IF(OR(tblsales[[#This Row],[Invoice Value USD]]="",tblsales[[#This Row],[Collected Amount USD]]=""),"",tblsales[[#This Row],[Invoice Value USD]]-tblsales[[#This Row],[Collected Amount USD]])</f>
        <v>613402.90963699948</v>
      </c>
      <c r="BB555" s="21">
        <f>IF(OR(tblsales[[#This Row],[Contract Value USD]]="",tblsales[[#This Row],[Cost Estimate USD]]=""),"",tblsales[[#This Row],[Contract Value USD]]-tblsales[[#This Row],[Cost Estimate USD]])</f>
        <v>1787482.0028239992</v>
      </c>
      <c r="BC555" s="21">
        <f>IF(OR(tblsales[[#This Row],[Contract Value USD]]="",tblsales[[#This Row],[Cost Estimate USD]]=""),"",tblsales[[#This Row],[Contract Value USD]]-tblsales[[#This Row],[Cost Estimate USD]])</f>
        <v>1787482.0028239992</v>
      </c>
      <c r="BD555" s="23">
        <f>IF(tblsales[[#This Row],[Invoice Value USD]]="","",tblsales[[#This Row],[Collected Amount USD]]/tblsales[[#This Row],[Invoice Value USD]])</f>
        <v>0.79221129100275811</v>
      </c>
      <c r="BE555" s="11">
        <f>IF(tblsales[[#This Row],[SalesStage]]="Won",1,0)</f>
        <v>1</v>
      </c>
      <c r="BF555" s="21" t="str">
        <f>IF(tblsales[[#This Row],[Win Flag]]=1,"Won","Lost")</f>
        <v>Won</v>
      </c>
      <c r="BG555" s="8"/>
    </row>
    <row r="556" spans="1:59" x14ac:dyDescent="0.3">
      <c r="A556" s="10" t="s">
        <v>1966</v>
      </c>
      <c r="B556" s="9">
        <v>45816</v>
      </c>
      <c r="C556" s="10" t="s">
        <v>219</v>
      </c>
      <c r="D556" s="10" t="s">
        <v>262</v>
      </c>
      <c r="E556" s="10" t="s">
        <v>52</v>
      </c>
      <c r="F556" s="10" t="s">
        <v>75</v>
      </c>
      <c r="G556" s="10" t="s">
        <v>50</v>
      </c>
      <c r="H556" s="10" t="s">
        <v>332</v>
      </c>
      <c r="I556" s="10" t="s">
        <v>191</v>
      </c>
      <c r="J556" s="10" t="s">
        <v>133</v>
      </c>
      <c r="K556" s="10" t="s">
        <v>204</v>
      </c>
      <c r="L556" s="10" t="s">
        <v>1967</v>
      </c>
      <c r="M556" s="9">
        <v>45745</v>
      </c>
      <c r="N556" s="9">
        <v>45824</v>
      </c>
      <c r="O556" s="9">
        <v>45873</v>
      </c>
      <c r="P556" s="11">
        <v>3</v>
      </c>
      <c r="Q556" s="12">
        <v>31058782</v>
      </c>
      <c r="R556">
        <v>36059245.902000003</v>
      </c>
      <c r="S556" s="22">
        <v>0.17</v>
      </c>
      <c r="T556" s="22">
        <v>0.16</v>
      </c>
      <c r="U556" s="12">
        <v>29903395.309999999</v>
      </c>
      <c r="V556" s="24">
        <v>34717841.954910003</v>
      </c>
      <c r="W556" s="8">
        <v>24418417.690000001</v>
      </c>
      <c r="X556" s="24">
        <v>28349782.938090004</v>
      </c>
      <c r="Y556" s="22">
        <v>0.26</v>
      </c>
      <c r="Z556" s="22">
        <v>0.18</v>
      </c>
      <c r="AA556" s="8" t="s">
        <v>1968</v>
      </c>
      <c r="AB556" s="8">
        <v>7998039.0099999998</v>
      </c>
      <c r="AC556" s="24">
        <v>9285723.2906100005</v>
      </c>
      <c r="AD556" s="8">
        <v>5336564.16</v>
      </c>
      <c r="AE556" s="24">
        <v>6195750.9897600003</v>
      </c>
      <c r="AF556" s="8">
        <v>45</v>
      </c>
      <c r="AG556" s="8">
        <v>104</v>
      </c>
      <c r="AH556" s="8" t="s">
        <v>329</v>
      </c>
      <c r="AI556" s="8" t="s">
        <v>320</v>
      </c>
      <c r="AJ556" s="22">
        <v>0.41</v>
      </c>
      <c r="AK556" s="8" t="s">
        <v>159</v>
      </c>
      <c r="AL556" s="22">
        <v>0.1</v>
      </c>
      <c r="AM556" s="22">
        <v>0.05</v>
      </c>
      <c r="AN556" s="8">
        <v>0</v>
      </c>
      <c r="AO556" s="8">
        <v>275</v>
      </c>
      <c r="AP556" s="8">
        <v>4333257.2</v>
      </c>
      <c r="AQ556" s="24">
        <v>5030911.6092000008</v>
      </c>
      <c r="AR556" s="8">
        <v>4120696.6</v>
      </c>
      <c r="AS556" s="37">
        <v>4784128.7526000002</v>
      </c>
      <c r="AT556" s="8" t="s">
        <v>385</v>
      </c>
      <c r="AU556" s="8" t="s">
        <v>348</v>
      </c>
      <c r="AV556" s="8">
        <v>88</v>
      </c>
      <c r="AW556" s="8">
        <v>36</v>
      </c>
      <c r="AX556" s="8" t="s">
        <v>332</v>
      </c>
      <c r="AY556" s="8" t="s">
        <v>192</v>
      </c>
      <c r="AZ556" s="8" t="s">
        <v>361</v>
      </c>
      <c r="BA556" s="21">
        <f>IF(OR(tblsales[[#This Row],[Invoice Value USD]]="",tblsales[[#This Row],[Collected Amount USD]]=""),"",tblsales[[#This Row],[Invoice Value USD]]-tblsales[[#This Row],[Collected Amount USD]])</f>
        <v>3089972.3008500002</v>
      </c>
      <c r="BB556" s="21">
        <f>IF(OR(tblsales[[#This Row],[Contract Value USD]]="",tblsales[[#This Row],[Cost Estimate USD]]=""),"",tblsales[[#This Row],[Contract Value USD]]-tblsales[[#This Row],[Cost Estimate USD]])</f>
        <v>6368059.0168199986</v>
      </c>
      <c r="BC556" s="21">
        <f>IF(OR(tblsales[[#This Row],[Contract Value USD]]="",tblsales[[#This Row],[Cost Estimate USD]]=""),"",tblsales[[#This Row],[Contract Value USD]]-tblsales[[#This Row],[Cost Estimate USD]])</f>
        <v>6368059.0168199986</v>
      </c>
      <c r="BD556" s="23">
        <f>IF(tblsales[[#This Row],[Invoice Value USD]]="","",tblsales[[#This Row],[Collected Amount USD]]/tblsales[[#This Row],[Invoice Value USD]])</f>
        <v>0.66723407491857178</v>
      </c>
      <c r="BE556" s="11">
        <f>IF(tblsales[[#This Row],[SalesStage]]="Won",1,0)</f>
        <v>1</v>
      </c>
      <c r="BF556" s="21" t="str">
        <f>IF(tblsales[[#This Row],[Win Flag]]=1,"Won","Lost")</f>
        <v>Won</v>
      </c>
      <c r="BG556" s="8"/>
    </row>
    <row r="557" spans="1:59" x14ac:dyDescent="0.3">
      <c r="A557" s="10" t="s">
        <v>1969</v>
      </c>
      <c r="B557" s="9">
        <v>45715</v>
      </c>
      <c r="C557" s="10" t="s">
        <v>286</v>
      </c>
      <c r="D557" s="10" t="s">
        <v>274</v>
      </c>
      <c r="E557" s="10" t="s">
        <v>36</v>
      </c>
      <c r="F557" s="10" t="s">
        <v>19</v>
      </c>
      <c r="G557" s="10" t="s">
        <v>23</v>
      </c>
      <c r="H557" s="10" t="s">
        <v>182</v>
      </c>
      <c r="I557" s="10" t="s">
        <v>240</v>
      </c>
      <c r="J557" s="10" t="s">
        <v>115</v>
      </c>
      <c r="K557" s="10" t="s">
        <v>223</v>
      </c>
      <c r="L557" s="10" t="s">
        <v>1970</v>
      </c>
      <c r="M557" s="9">
        <v>45631</v>
      </c>
      <c r="N557" s="9">
        <v>45762</v>
      </c>
      <c r="O557" s="9">
        <v>45662</v>
      </c>
      <c r="P557" s="11"/>
      <c r="Q557" s="12">
        <v>35153970</v>
      </c>
      <c r="R557">
        <v>35153970</v>
      </c>
      <c r="S557" s="22">
        <v>0.23</v>
      </c>
      <c r="T557" s="22">
        <v>0.2</v>
      </c>
      <c r="U557" s="12">
        <v>32482268.280000001</v>
      </c>
      <c r="V557" s="24">
        <v>32482268.280000001</v>
      </c>
      <c r="W557" s="8">
        <v>25080939.399999999</v>
      </c>
      <c r="X557" s="24">
        <v>25080939.399999999</v>
      </c>
      <c r="Y557" s="22">
        <v>0.09</v>
      </c>
      <c r="Z557" s="22">
        <v>0.16</v>
      </c>
      <c r="AA557" s="8" t="s">
        <v>1971</v>
      </c>
      <c r="AB557" s="8">
        <v>23666154.550000001</v>
      </c>
      <c r="AC557" s="24">
        <v>23666154.550000001</v>
      </c>
      <c r="AD557" s="8">
        <v>13754469.09</v>
      </c>
      <c r="AE557" s="24">
        <v>13754469.09</v>
      </c>
      <c r="AF557" s="8">
        <v>45</v>
      </c>
      <c r="AG557" s="8">
        <v>67</v>
      </c>
      <c r="AH557" s="8" t="s">
        <v>342</v>
      </c>
      <c r="AI557" s="8" t="s">
        <v>320</v>
      </c>
      <c r="AJ557" s="22">
        <v>0.22</v>
      </c>
      <c r="AK557" s="8" t="s">
        <v>152</v>
      </c>
      <c r="AL557" s="22">
        <v>0.05</v>
      </c>
      <c r="AM557" s="22">
        <v>0.09</v>
      </c>
      <c r="AN557" s="8">
        <v>7</v>
      </c>
      <c r="AO557" s="8">
        <v>3284</v>
      </c>
      <c r="AP557" s="8">
        <v>4532034.97</v>
      </c>
      <c r="AQ557" s="24">
        <v>4532034.97</v>
      </c>
      <c r="AR557" s="8">
        <v>8005024.2300000004</v>
      </c>
      <c r="AS557" s="37">
        <v>8005024.2300000004</v>
      </c>
      <c r="AT557" s="8" t="s">
        <v>391</v>
      </c>
      <c r="AU557" s="8" t="s">
        <v>330</v>
      </c>
      <c r="AV557" s="8">
        <v>84.5</v>
      </c>
      <c r="AW557" s="8">
        <v>60</v>
      </c>
      <c r="AX557" s="8" t="s">
        <v>323</v>
      </c>
      <c r="AY557" s="8" t="s">
        <v>192</v>
      </c>
      <c r="AZ557" s="8" t="s">
        <v>377</v>
      </c>
      <c r="BA557" s="21">
        <f>IF(OR(tblsales[[#This Row],[Invoice Value USD]]="",tblsales[[#This Row],[Collected Amount USD]]=""),"",tblsales[[#This Row],[Invoice Value USD]]-tblsales[[#This Row],[Collected Amount USD]])</f>
        <v>9911685.4600000009</v>
      </c>
      <c r="BB557" s="21">
        <f>IF(OR(tblsales[[#This Row],[Contract Value USD]]="",tblsales[[#This Row],[Cost Estimate USD]]=""),"",tblsales[[#This Row],[Contract Value USD]]-tblsales[[#This Row],[Cost Estimate USD]])</f>
        <v>7401328.8800000027</v>
      </c>
      <c r="BC557" s="21">
        <f>IF(OR(tblsales[[#This Row],[Contract Value USD]]="",tblsales[[#This Row],[Cost Estimate USD]]=""),"",tblsales[[#This Row],[Contract Value USD]]-tblsales[[#This Row],[Cost Estimate USD]])</f>
        <v>7401328.8800000027</v>
      </c>
      <c r="BD557" s="23">
        <f>IF(tblsales[[#This Row],[Invoice Value USD]]="","",tblsales[[#This Row],[Collected Amount USD]]/tblsales[[#This Row],[Invoice Value USD]])</f>
        <v>0.58118732643871795</v>
      </c>
      <c r="BE557" s="11">
        <f>IF(tblsales[[#This Row],[SalesStage]]="Won",1,0)</f>
        <v>1</v>
      </c>
      <c r="BF557" s="21" t="str">
        <f>IF(tblsales[[#This Row],[Win Flag]]=1,"Won","Lost")</f>
        <v>Won</v>
      </c>
      <c r="BG557" s="8"/>
    </row>
    <row r="558" spans="1:59" x14ac:dyDescent="0.3">
      <c r="A558" s="10" t="s">
        <v>1972</v>
      </c>
      <c r="B558" s="9">
        <v>45957</v>
      </c>
      <c r="C558" s="10" t="s">
        <v>214</v>
      </c>
      <c r="D558" s="10" t="s">
        <v>562</v>
      </c>
      <c r="E558" s="10" t="s">
        <v>113</v>
      </c>
      <c r="F558" s="10" t="s">
        <v>181</v>
      </c>
      <c r="G558" s="10" t="s">
        <v>16</v>
      </c>
      <c r="H558" s="10" t="s">
        <v>216</v>
      </c>
      <c r="I558" s="10" t="s">
        <v>240</v>
      </c>
      <c r="J558" s="10" t="s">
        <v>123</v>
      </c>
      <c r="K558" s="10" t="s">
        <v>199</v>
      </c>
      <c r="L558" s="10" t="s">
        <v>1973</v>
      </c>
      <c r="M558" s="9">
        <v>45970</v>
      </c>
      <c r="N558" s="9">
        <v>45983</v>
      </c>
      <c r="O558" s="9">
        <v>46007</v>
      </c>
      <c r="P558" s="11">
        <v>40</v>
      </c>
      <c r="Q558" s="12">
        <v>23422754</v>
      </c>
      <c r="R558">
        <v>27193817.394000001</v>
      </c>
      <c r="S558" s="22">
        <v>0.08</v>
      </c>
      <c r="T558" s="22">
        <v>0.15</v>
      </c>
      <c r="U558" s="12">
        <v>24781273.73</v>
      </c>
      <c r="V558" s="24">
        <v>28771058.800530002</v>
      </c>
      <c r="W558" s="8">
        <v>15515785.220000001</v>
      </c>
      <c r="X558" s="24">
        <v>18013826.640420001</v>
      </c>
      <c r="Y558" s="22">
        <v>0.23</v>
      </c>
      <c r="Z558" s="22">
        <v>0.11</v>
      </c>
      <c r="AA558" s="8" t="s">
        <v>1668</v>
      </c>
      <c r="AB558" s="8">
        <v>12938009.99</v>
      </c>
      <c r="AC558" s="24">
        <v>15021029.59839</v>
      </c>
      <c r="AD558" s="8">
        <v>13817102.289999999</v>
      </c>
      <c r="AE558" s="24">
        <v>16041655.75869</v>
      </c>
      <c r="AF558" s="8">
        <v>120</v>
      </c>
      <c r="AG558" s="8">
        <v>77</v>
      </c>
      <c r="AH558" s="8" t="s">
        <v>342</v>
      </c>
      <c r="AI558" s="8" t="s">
        <v>320</v>
      </c>
      <c r="AJ558" s="22">
        <v>0.22</v>
      </c>
      <c r="AK558" s="8" t="s">
        <v>159</v>
      </c>
      <c r="AL558" s="22">
        <v>0.1</v>
      </c>
      <c r="AM558" s="22">
        <v>0.09</v>
      </c>
      <c r="AN558" s="8">
        <v>6</v>
      </c>
      <c r="AO558" s="8">
        <v>2564</v>
      </c>
      <c r="AP558" s="8">
        <v>6085715.6600000001</v>
      </c>
      <c r="AQ558" s="24">
        <v>7065515.8812600002</v>
      </c>
      <c r="AR558" s="8">
        <v>8135065.71</v>
      </c>
      <c r="AS558" s="37">
        <v>9444811.2893100008</v>
      </c>
      <c r="AT558" s="8" t="s">
        <v>385</v>
      </c>
      <c r="AU558" s="8" t="s">
        <v>332</v>
      </c>
      <c r="AV558" s="8">
        <v>88.9</v>
      </c>
      <c r="AW558" s="8"/>
      <c r="AX558" s="8" t="s">
        <v>323</v>
      </c>
      <c r="AY558" s="8" t="s">
        <v>206</v>
      </c>
      <c r="AZ558" s="8" t="s">
        <v>377</v>
      </c>
      <c r="BA558" s="21">
        <f>IF(OR(tblsales[[#This Row],[Invoice Value USD]]="",tblsales[[#This Row],[Collected Amount USD]]=""),"",tblsales[[#This Row],[Invoice Value USD]]-tblsales[[#This Row],[Collected Amount USD]])</f>
        <v>-1020626.1602999996</v>
      </c>
      <c r="BB558" s="21">
        <f>IF(OR(tblsales[[#This Row],[Contract Value USD]]="",tblsales[[#This Row],[Cost Estimate USD]]=""),"",tblsales[[#This Row],[Contract Value USD]]-tblsales[[#This Row],[Cost Estimate USD]])</f>
        <v>10757232.160110001</v>
      </c>
      <c r="BC558" s="21">
        <f>IF(OR(tblsales[[#This Row],[Contract Value USD]]="",tblsales[[#This Row],[Cost Estimate USD]]=""),"",tblsales[[#This Row],[Contract Value USD]]-tblsales[[#This Row],[Cost Estimate USD]])</f>
        <v>10757232.160110001</v>
      </c>
      <c r="BD558" s="23">
        <f>IF(tblsales[[#This Row],[Invoice Value USD]]="","",tblsales[[#This Row],[Collected Amount USD]]/tblsales[[#This Row],[Invoice Value USD]])</f>
        <v>1.0679464848674149</v>
      </c>
      <c r="BE558" s="11">
        <f>IF(tblsales[[#This Row],[SalesStage]]="Won",1,0)</f>
        <v>1</v>
      </c>
      <c r="BF558" s="21" t="str">
        <f>IF(tblsales[[#This Row],[Win Flag]]=1,"Won","Lost")</f>
        <v>Won</v>
      </c>
      <c r="BG558" s="8"/>
    </row>
    <row r="559" spans="1:59" x14ac:dyDescent="0.3">
      <c r="A559" s="10" t="s">
        <v>1974</v>
      </c>
      <c r="B559" s="9">
        <v>45853</v>
      </c>
      <c r="C559" s="10" t="s">
        <v>258</v>
      </c>
      <c r="D559" s="10" t="s">
        <v>394</v>
      </c>
      <c r="E559" s="10" t="s">
        <v>52</v>
      </c>
      <c r="F559" s="10" t="s">
        <v>75</v>
      </c>
      <c r="G559" s="10" t="s">
        <v>33</v>
      </c>
      <c r="H559" s="10" t="s">
        <v>216</v>
      </c>
      <c r="I559" s="10" t="s">
        <v>191</v>
      </c>
      <c r="J559" s="10" t="s">
        <v>119</v>
      </c>
      <c r="K559" s="10" t="s">
        <v>223</v>
      </c>
      <c r="L559" s="10" t="s">
        <v>1975</v>
      </c>
      <c r="M559" s="9">
        <v>45797</v>
      </c>
      <c r="N559" s="9" t="s">
        <v>1976</v>
      </c>
      <c r="O559" s="9">
        <v>45898</v>
      </c>
      <c r="P559" s="11">
        <v>22</v>
      </c>
      <c r="Q559" s="12">
        <v>31190197</v>
      </c>
      <c r="R559">
        <v>8493090.6430999991</v>
      </c>
      <c r="S559" s="22">
        <v>0.24</v>
      </c>
      <c r="T559" s="22">
        <v>0.05</v>
      </c>
      <c r="U559" s="12">
        <v>24889777.210000001</v>
      </c>
      <c r="V559" s="24">
        <v>6777486.3342829999</v>
      </c>
      <c r="W559" s="8">
        <v>15649758</v>
      </c>
      <c r="X559" s="24">
        <v>4261429.1033999994</v>
      </c>
      <c r="Y559" s="22">
        <v>0.28999999999999998</v>
      </c>
      <c r="Z559" s="22">
        <v>0.08</v>
      </c>
      <c r="AA559" s="8" t="s">
        <v>1977</v>
      </c>
      <c r="AB559" s="8">
        <v>5084512.3499999996</v>
      </c>
      <c r="AC559" s="24">
        <v>1384512.7129049997</v>
      </c>
      <c r="AD559" s="8">
        <v>1674102.6</v>
      </c>
      <c r="AE559" s="24">
        <v>455858.13798</v>
      </c>
      <c r="AF559" s="8">
        <v>90</v>
      </c>
      <c r="AG559" s="8">
        <v>31</v>
      </c>
      <c r="AH559" s="8" t="s">
        <v>342</v>
      </c>
      <c r="AI559" s="8" t="s">
        <v>354</v>
      </c>
      <c r="AJ559" s="22">
        <v>0.09</v>
      </c>
      <c r="AK559" s="8" t="s">
        <v>153</v>
      </c>
      <c r="AL559" s="22">
        <v>0.05</v>
      </c>
      <c r="AM559" s="22">
        <v>0.08</v>
      </c>
      <c r="AN559" s="8">
        <v>14</v>
      </c>
      <c r="AO559" s="8">
        <v>3483</v>
      </c>
      <c r="AP559" s="8">
        <v>2823725.52</v>
      </c>
      <c r="AQ559" s="24">
        <v>768900.45909599995</v>
      </c>
      <c r="AR559" s="8">
        <v>7825751.6100000003</v>
      </c>
      <c r="AS559" s="37">
        <v>2130952.1634030002</v>
      </c>
      <c r="AT559" s="8" t="s">
        <v>332</v>
      </c>
      <c r="AU559" s="8" t="s">
        <v>332</v>
      </c>
      <c r="AV559" s="8">
        <v>91.8</v>
      </c>
      <c r="AW559" s="8">
        <v>60</v>
      </c>
      <c r="AX559" s="8" t="s">
        <v>332</v>
      </c>
      <c r="AY559" s="8" t="s">
        <v>224</v>
      </c>
      <c r="AZ559" s="8" t="s">
        <v>361</v>
      </c>
      <c r="BA559" s="21">
        <f>IF(OR(tblsales[[#This Row],[Invoice Value USD]]="",tblsales[[#This Row],[Collected Amount USD]]=""),"",tblsales[[#This Row],[Invoice Value USD]]-tblsales[[#This Row],[Collected Amount USD]])</f>
        <v>928654.57492499973</v>
      </c>
      <c r="BB559" s="21">
        <f>IF(OR(tblsales[[#This Row],[Contract Value USD]]="",tblsales[[#This Row],[Cost Estimate USD]]=""),"",tblsales[[#This Row],[Contract Value USD]]-tblsales[[#This Row],[Cost Estimate USD]])</f>
        <v>2516057.2308830004</v>
      </c>
      <c r="BC559" s="21">
        <f>IF(OR(tblsales[[#This Row],[Contract Value USD]]="",tblsales[[#This Row],[Cost Estimate USD]]=""),"",tblsales[[#This Row],[Contract Value USD]]-tblsales[[#This Row],[Cost Estimate USD]])</f>
        <v>2516057.2308830004</v>
      </c>
      <c r="BD559" s="23">
        <f>IF(tblsales[[#This Row],[Invoice Value USD]]="","",tblsales[[#This Row],[Collected Amount USD]]/tblsales[[#This Row],[Invoice Value USD]])</f>
        <v>0.32925529229956541</v>
      </c>
      <c r="BE559" s="11">
        <f>IF(tblsales[[#This Row],[SalesStage]]="Won",1,0)</f>
        <v>0</v>
      </c>
      <c r="BF559" s="21" t="str">
        <f>IF(tblsales[[#This Row],[Win Flag]]=1,"Won","Lost")</f>
        <v>Lost</v>
      </c>
      <c r="BG559" s="8"/>
    </row>
    <row r="560" spans="1:59" x14ac:dyDescent="0.3">
      <c r="A560" s="10" t="s">
        <v>1978</v>
      </c>
      <c r="B560" s="9">
        <v>45835</v>
      </c>
      <c r="C560" s="10" t="s">
        <v>277</v>
      </c>
      <c r="D560" s="10" t="s">
        <v>202</v>
      </c>
      <c r="E560" s="10" t="s">
        <v>41</v>
      </c>
      <c r="F560" s="10" t="s">
        <v>350</v>
      </c>
      <c r="G560" s="10" t="s">
        <v>66</v>
      </c>
      <c r="H560" s="10" t="s">
        <v>182</v>
      </c>
      <c r="I560" s="10" t="s">
        <v>191</v>
      </c>
      <c r="J560" s="10" t="s">
        <v>105</v>
      </c>
      <c r="K560" s="10" t="s">
        <v>199</v>
      </c>
      <c r="L560" s="10" t="s">
        <v>1979</v>
      </c>
      <c r="M560" s="9">
        <v>45813</v>
      </c>
      <c r="N560" s="9">
        <v>45859</v>
      </c>
      <c r="O560" s="9">
        <v>45910</v>
      </c>
      <c r="P560" s="11">
        <v>50</v>
      </c>
      <c r="Q560" s="12">
        <v>33818485</v>
      </c>
      <c r="R560">
        <v>33818485</v>
      </c>
      <c r="S560" s="22">
        <v>0.14000000000000001</v>
      </c>
      <c r="T560" s="22">
        <v>0.19</v>
      </c>
      <c r="U560" s="12">
        <v>34609837.549999997</v>
      </c>
      <c r="V560" s="24">
        <v>34609837.549999997</v>
      </c>
      <c r="W560" s="8">
        <v>24437139.899999999</v>
      </c>
      <c r="X560" s="24">
        <v>24437139.899999999</v>
      </c>
      <c r="Y560" s="22">
        <v>0.31</v>
      </c>
      <c r="Z560" s="22">
        <v>0.09</v>
      </c>
      <c r="AA560" s="8" t="s">
        <v>1980</v>
      </c>
      <c r="AB560" s="8">
        <v>27088897.219999999</v>
      </c>
      <c r="AC560" s="24">
        <v>27088897.219999999</v>
      </c>
      <c r="AD560" s="8">
        <v>25850569.98</v>
      </c>
      <c r="AE560" s="24">
        <v>25850569.98</v>
      </c>
      <c r="AF560" s="8">
        <v>120</v>
      </c>
      <c r="AG560" s="8">
        <v>76</v>
      </c>
      <c r="AH560" s="8" t="s">
        <v>376</v>
      </c>
      <c r="AI560" s="8" t="s">
        <v>354</v>
      </c>
      <c r="AJ560" s="22">
        <v>0.83</v>
      </c>
      <c r="AK560" s="8" t="s">
        <v>152</v>
      </c>
      <c r="AL560" s="22">
        <v>0.15</v>
      </c>
      <c r="AM560" s="22">
        <v>0.09</v>
      </c>
      <c r="AN560" s="8">
        <v>13</v>
      </c>
      <c r="AO560" s="8">
        <v>2084</v>
      </c>
      <c r="AP560" s="8"/>
      <c r="AQ560" s="24"/>
      <c r="AR560" s="8">
        <v>9589465.9700000007</v>
      </c>
      <c r="AS560" s="37">
        <v>9589465.9700000007</v>
      </c>
      <c r="AT560" s="8" t="s">
        <v>385</v>
      </c>
      <c r="AU560" s="8" t="s">
        <v>330</v>
      </c>
      <c r="AV560" s="8">
        <v>93.2</v>
      </c>
      <c r="AW560" s="8">
        <v>12</v>
      </c>
      <c r="AX560" s="8" t="s">
        <v>332</v>
      </c>
      <c r="AY560" s="8" t="s">
        <v>186</v>
      </c>
      <c r="AZ560" s="8" t="s">
        <v>324</v>
      </c>
      <c r="BA560" s="21">
        <f>IF(OR(tblsales[[#This Row],[Invoice Value USD]]="",tblsales[[#This Row],[Collected Amount USD]]=""),"",tblsales[[#This Row],[Invoice Value USD]]-tblsales[[#This Row],[Collected Amount USD]])</f>
        <v>1238327.2399999984</v>
      </c>
      <c r="BB560" s="21">
        <f>IF(OR(tblsales[[#This Row],[Contract Value USD]]="",tblsales[[#This Row],[Cost Estimate USD]]=""),"",tblsales[[#This Row],[Contract Value USD]]-tblsales[[#This Row],[Cost Estimate USD]])</f>
        <v>10172697.649999999</v>
      </c>
      <c r="BC560" s="21">
        <f>IF(OR(tblsales[[#This Row],[Contract Value USD]]="",tblsales[[#This Row],[Cost Estimate USD]]=""),"",tblsales[[#This Row],[Contract Value USD]]-tblsales[[#This Row],[Cost Estimate USD]])</f>
        <v>10172697.649999999</v>
      </c>
      <c r="BD560" s="23">
        <f>IF(tblsales[[#This Row],[Invoice Value USD]]="","",tblsales[[#This Row],[Collected Amount USD]]/tblsales[[#This Row],[Invoice Value USD]])</f>
        <v>0.95428653924362306</v>
      </c>
      <c r="BE560" s="11">
        <f>IF(tblsales[[#This Row],[SalesStage]]="Won",1,0)</f>
        <v>0</v>
      </c>
      <c r="BF560" s="21" t="str">
        <f>IF(tblsales[[#This Row],[Win Flag]]=1,"Won","Lost")</f>
        <v>Lost</v>
      </c>
      <c r="BG560" s="8"/>
    </row>
    <row r="561" spans="1:59" x14ac:dyDescent="0.3">
      <c r="A561" s="10" t="s">
        <v>1981</v>
      </c>
      <c r="B561" s="9">
        <v>45774</v>
      </c>
      <c r="C561" s="10" t="s">
        <v>271</v>
      </c>
      <c r="D561" s="10" t="s">
        <v>245</v>
      </c>
      <c r="E561" s="10" t="s">
        <v>20</v>
      </c>
      <c r="F561" s="10" t="s">
        <v>35</v>
      </c>
      <c r="G561" s="10" t="s">
        <v>332</v>
      </c>
      <c r="H561" s="10" t="s">
        <v>216</v>
      </c>
      <c r="I561" s="10" t="s">
        <v>198</v>
      </c>
      <c r="J561" s="10" t="s">
        <v>136</v>
      </c>
      <c r="K561" s="10" t="s">
        <v>184</v>
      </c>
      <c r="L561" s="10" t="s">
        <v>1982</v>
      </c>
      <c r="M561" s="9">
        <v>45729</v>
      </c>
      <c r="N561" s="9">
        <v>45803</v>
      </c>
      <c r="O561" s="9"/>
      <c r="P561" s="11">
        <v>20</v>
      </c>
      <c r="Q561" s="12">
        <v>43262601</v>
      </c>
      <c r="R561">
        <v>11538135.686699999</v>
      </c>
      <c r="S561" s="22">
        <v>0.22</v>
      </c>
      <c r="T561" s="22">
        <v>0.03</v>
      </c>
      <c r="U561" s="12">
        <v>34757173.640000001</v>
      </c>
      <c r="V561" s="24">
        <v>9269738.2097880002</v>
      </c>
      <c r="W561" s="8">
        <v>20867942.43</v>
      </c>
      <c r="X561" s="24">
        <v>5565480.2460810002</v>
      </c>
      <c r="Y561" s="22">
        <v>0.13</v>
      </c>
      <c r="Z561" s="22">
        <v>0.17</v>
      </c>
      <c r="AA561" s="8" t="s">
        <v>1983</v>
      </c>
      <c r="AB561" s="8">
        <v>2535109.14</v>
      </c>
      <c r="AC561" s="24">
        <v>676113.60763800004</v>
      </c>
      <c r="AD561" s="8">
        <v>1654769.73</v>
      </c>
      <c r="AE561" s="24">
        <v>441327.08699099999</v>
      </c>
      <c r="AF561" s="8">
        <v>60</v>
      </c>
      <c r="AG561" s="8">
        <v>72</v>
      </c>
      <c r="AH561" s="8" t="s">
        <v>329</v>
      </c>
      <c r="AI561" s="8" t="s">
        <v>406</v>
      </c>
      <c r="AJ561" s="22">
        <v>0.56999999999999995</v>
      </c>
      <c r="AK561" s="8" t="s">
        <v>162</v>
      </c>
      <c r="AL561" s="22">
        <v>0.05</v>
      </c>
      <c r="AM561" s="22">
        <v>0.08</v>
      </c>
      <c r="AN561" s="8">
        <v>15</v>
      </c>
      <c r="AO561" s="8">
        <v>1166</v>
      </c>
      <c r="AP561" s="8">
        <v>4824324.05</v>
      </c>
      <c r="AQ561" s="24">
        <v>1286647.224135</v>
      </c>
      <c r="AR561" s="8">
        <v>9759197.5700000003</v>
      </c>
      <c r="AS561" s="37">
        <v>2602777.9919190002</v>
      </c>
      <c r="AT561" s="8" t="s">
        <v>332</v>
      </c>
      <c r="AU561" s="8" t="s">
        <v>356</v>
      </c>
      <c r="AV561" s="8">
        <v>51.5</v>
      </c>
      <c r="AW561" s="8">
        <v>24</v>
      </c>
      <c r="AX561" s="8" t="s">
        <v>387</v>
      </c>
      <c r="AY561" s="8" t="s">
        <v>229</v>
      </c>
      <c r="AZ561" s="8" t="s">
        <v>361</v>
      </c>
      <c r="BA561" s="21">
        <f>IF(OR(tblsales[[#This Row],[Invoice Value USD]]="",tblsales[[#This Row],[Collected Amount USD]]=""),"",tblsales[[#This Row],[Invoice Value USD]]-tblsales[[#This Row],[Collected Amount USD]])</f>
        <v>234786.52064700006</v>
      </c>
      <c r="BB561" s="21">
        <f>IF(OR(tblsales[[#This Row],[Contract Value USD]]="",tblsales[[#This Row],[Cost Estimate USD]]=""),"",tblsales[[#This Row],[Contract Value USD]]-tblsales[[#This Row],[Cost Estimate USD]])</f>
        <v>3704257.963707</v>
      </c>
      <c r="BC561" s="21">
        <f>IF(OR(tblsales[[#This Row],[Contract Value USD]]="",tblsales[[#This Row],[Cost Estimate USD]]=""),"",tblsales[[#This Row],[Contract Value USD]]-tblsales[[#This Row],[Cost Estimate USD]])</f>
        <v>3704257.963707</v>
      </c>
      <c r="BD561" s="23">
        <f>IF(tblsales[[#This Row],[Invoice Value USD]]="","",tblsales[[#This Row],[Collected Amount USD]]/tblsales[[#This Row],[Invoice Value USD]])</f>
        <v>0.65274102163506853</v>
      </c>
      <c r="BE561" s="11">
        <f>IF(tblsales[[#This Row],[SalesStage]]="Won",1,0)</f>
        <v>0</v>
      </c>
      <c r="BF561" s="21" t="str">
        <f>IF(tblsales[[#This Row],[Win Flag]]=1,"Won","Lost")</f>
        <v>Lost</v>
      </c>
      <c r="BG561" s="8"/>
    </row>
    <row r="562" spans="1:59" x14ac:dyDescent="0.3">
      <c r="A562" s="10" t="s">
        <v>1984</v>
      </c>
      <c r="B562" s="9">
        <v>45879</v>
      </c>
      <c r="C562" s="10" t="s">
        <v>275</v>
      </c>
      <c r="D562" s="10" t="s">
        <v>332</v>
      </c>
      <c r="E562" s="10" t="s">
        <v>332</v>
      </c>
      <c r="F562" s="10" t="s">
        <v>19</v>
      </c>
      <c r="G562" s="10" t="s">
        <v>73</v>
      </c>
      <c r="H562" s="10" t="s">
        <v>263</v>
      </c>
      <c r="I562" s="10" t="s">
        <v>240</v>
      </c>
      <c r="J562" s="10" t="s">
        <v>99</v>
      </c>
      <c r="K562" s="10" t="s">
        <v>223</v>
      </c>
      <c r="L562" s="10" t="s">
        <v>1985</v>
      </c>
      <c r="M562" s="9">
        <v>45855</v>
      </c>
      <c r="N562" s="9"/>
      <c r="O562" s="9">
        <v>45984</v>
      </c>
      <c r="P562" s="11">
        <v>43</v>
      </c>
      <c r="Q562" s="12">
        <v>2706027</v>
      </c>
      <c r="R562">
        <v>2706027</v>
      </c>
      <c r="S562" s="22">
        <v>0.09</v>
      </c>
      <c r="T562" s="22">
        <v>0.16</v>
      </c>
      <c r="U562" s="12">
        <v>2856482.1</v>
      </c>
      <c r="V562" s="24">
        <v>2856482.1</v>
      </c>
      <c r="W562" s="8">
        <v>2158103.33</v>
      </c>
      <c r="X562" s="24">
        <v>2158103.33</v>
      </c>
      <c r="Y562" s="22">
        <v>0.35</v>
      </c>
      <c r="Z562" s="22">
        <v>0.05</v>
      </c>
      <c r="AA562" s="8" t="s">
        <v>1986</v>
      </c>
      <c r="AB562" s="8">
        <v>2453423.4900000002</v>
      </c>
      <c r="AC562" s="24">
        <v>2453423.4900000002</v>
      </c>
      <c r="AD562" s="8">
        <v>2509222.1</v>
      </c>
      <c r="AE562" s="24">
        <v>2509222.1</v>
      </c>
      <c r="AF562" s="8">
        <v>45</v>
      </c>
      <c r="AG562" s="8">
        <v>147</v>
      </c>
      <c r="AH562" s="8" t="s">
        <v>353</v>
      </c>
      <c r="AI562" s="8" t="s">
        <v>455</v>
      </c>
      <c r="AJ562" s="22">
        <v>0.63</v>
      </c>
      <c r="AK562" s="8" t="s">
        <v>152</v>
      </c>
      <c r="AL562" s="22">
        <v>0.1</v>
      </c>
      <c r="AM562" s="22">
        <v>0.02</v>
      </c>
      <c r="AN562" s="8">
        <v>4</v>
      </c>
      <c r="AO562" s="8">
        <v>2218</v>
      </c>
      <c r="AP562" s="8">
        <v>367924.72</v>
      </c>
      <c r="AQ562" s="24">
        <v>367924.72</v>
      </c>
      <c r="AR562" s="8">
        <v>1262579.95</v>
      </c>
      <c r="AS562" s="37">
        <v>1262579.95</v>
      </c>
      <c r="AT562" s="8" t="s">
        <v>332</v>
      </c>
      <c r="AU562" s="8" t="s">
        <v>321</v>
      </c>
      <c r="AV562" s="8">
        <v>60.7</v>
      </c>
      <c r="AW562" s="8"/>
      <c r="AX562" s="8" t="s">
        <v>332</v>
      </c>
      <c r="AY562" s="8" t="s">
        <v>224</v>
      </c>
      <c r="AZ562" s="8" t="s">
        <v>357</v>
      </c>
      <c r="BA562" s="21">
        <f>IF(OR(tblsales[[#This Row],[Invoice Value USD]]="",tblsales[[#This Row],[Collected Amount USD]]=""),"",tblsales[[#This Row],[Invoice Value USD]]-tblsales[[#This Row],[Collected Amount USD]])</f>
        <v>-55798.60999999987</v>
      </c>
      <c r="BB562" s="21">
        <f>IF(OR(tblsales[[#This Row],[Contract Value USD]]="",tblsales[[#This Row],[Cost Estimate USD]]=""),"",tblsales[[#This Row],[Contract Value USD]]-tblsales[[#This Row],[Cost Estimate USD]])</f>
        <v>698378.77</v>
      </c>
      <c r="BC562" s="21">
        <f>IF(OR(tblsales[[#This Row],[Contract Value USD]]="",tblsales[[#This Row],[Cost Estimate USD]]=""),"",tblsales[[#This Row],[Contract Value USD]]-tblsales[[#This Row],[Cost Estimate USD]])</f>
        <v>698378.77</v>
      </c>
      <c r="BD562" s="23">
        <f>IF(tblsales[[#This Row],[Invoice Value USD]]="","",tblsales[[#This Row],[Collected Amount USD]]/tblsales[[#This Row],[Invoice Value USD]])</f>
        <v>1.0227431628609702</v>
      </c>
      <c r="BE562" s="11">
        <f>IF(tblsales[[#This Row],[SalesStage]]="Won",1,0)</f>
        <v>0</v>
      </c>
      <c r="BF562" s="21" t="str">
        <f>IF(tblsales[[#This Row],[Win Flag]]=1,"Won","Lost")</f>
        <v>Lost</v>
      </c>
      <c r="BG562" s="8"/>
    </row>
    <row r="563" spans="1:59" x14ac:dyDescent="0.3">
      <c r="A563" s="10" t="s">
        <v>1987</v>
      </c>
      <c r="B563" s="9">
        <v>46047</v>
      </c>
      <c r="C563" s="10" t="s">
        <v>260</v>
      </c>
      <c r="D563" s="10" t="s">
        <v>202</v>
      </c>
      <c r="E563" s="10" t="s">
        <v>20</v>
      </c>
      <c r="F563" s="10" t="s">
        <v>35</v>
      </c>
      <c r="G563" s="10" t="s">
        <v>33</v>
      </c>
      <c r="H563" s="10" t="s">
        <v>332</v>
      </c>
      <c r="I563" s="10" t="s">
        <v>233</v>
      </c>
      <c r="J563" s="10" t="s">
        <v>136</v>
      </c>
      <c r="K563" s="10" t="s">
        <v>210</v>
      </c>
      <c r="L563" s="10" t="s">
        <v>1988</v>
      </c>
      <c r="M563" s="9">
        <v>46011</v>
      </c>
      <c r="N563" s="9" t="s">
        <v>1989</v>
      </c>
      <c r="O563" s="9"/>
      <c r="P563" s="11">
        <v>35</v>
      </c>
      <c r="Q563" s="12">
        <v>31562802</v>
      </c>
      <c r="R563">
        <v>31562802</v>
      </c>
      <c r="S563" s="22">
        <v>0.02</v>
      </c>
      <c r="T563" s="22">
        <v>0.05</v>
      </c>
      <c r="U563" s="12">
        <v>32478123.260000002</v>
      </c>
      <c r="V563" s="24">
        <v>32478123.260000002</v>
      </c>
      <c r="W563" s="8">
        <v>19600947.960000001</v>
      </c>
      <c r="X563" s="24">
        <v>19600947.960000001</v>
      </c>
      <c r="Y563" s="22">
        <v>0.32</v>
      </c>
      <c r="Z563" s="22">
        <v>0.14000000000000001</v>
      </c>
      <c r="AA563" s="8" t="s">
        <v>1990</v>
      </c>
      <c r="AB563" s="8">
        <v>16196149.880000001</v>
      </c>
      <c r="AC563" s="24">
        <v>16196149.880000001</v>
      </c>
      <c r="AD563" s="8">
        <v>9188012.8900000006</v>
      </c>
      <c r="AE563" s="24">
        <v>9188012.8900000006</v>
      </c>
      <c r="AF563" s="8">
        <v>90</v>
      </c>
      <c r="AG563" s="8">
        <v>16</v>
      </c>
      <c r="AH563" s="8" t="s">
        <v>342</v>
      </c>
      <c r="AI563" s="8" t="s">
        <v>336</v>
      </c>
      <c r="AJ563" s="22">
        <v>0.5</v>
      </c>
      <c r="AK563" s="8" t="s">
        <v>152</v>
      </c>
      <c r="AL563" s="22">
        <v>0.15</v>
      </c>
      <c r="AM563" s="22">
        <v>0.09</v>
      </c>
      <c r="AN563" s="8">
        <v>3</v>
      </c>
      <c r="AO563" s="8">
        <v>344</v>
      </c>
      <c r="AP563" s="8">
        <v>7862697.8300000001</v>
      </c>
      <c r="AQ563" s="24">
        <v>7862697.8300000001</v>
      </c>
      <c r="AR563" s="8">
        <v>13138723.83</v>
      </c>
      <c r="AS563" s="37">
        <v>13138723.83</v>
      </c>
      <c r="AT563" s="8" t="s">
        <v>332</v>
      </c>
      <c r="AU563" s="8" t="s">
        <v>332</v>
      </c>
      <c r="AV563" s="8">
        <v>82.1</v>
      </c>
      <c r="AW563" s="8">
        <v>36</v>
      </c>
      <c r="AX563" s="8" t="s">
        <v>332</v>
      </c>
      <c r="AY563" s="8" t="s">
        <v>186</v>
      </c>
      <c r="AZ563" s="8" t="s">
        <v>357</v>
      </c>
      <c r="BA563" s="21">
        <f>IF(OR(tblsales[[#This Row],[Invoice Value USD]]="",tblsales[[#This Row],[Collected Amount USD]]=""),"",tblsales[[#This Row],[Invoice Value USD]]-tblsales[[#This Row],[Collected Amount USD]])</f>
        <v>7008136.9900000002</v>
      </c>
      <c r="BB563" s="21">
        <f>IF(OR(tblsales[[#This Row],[Contract Value USD]]="",tblsales[[#This Row],[Cost Estimate USD]]=""),"",tblsales[[#This Row],[Contract Value USD]]-tblsales[[#This Row],[Cost Estimate USD]])</f>
        <v>12877175.300000001</v>
      </c>
      <c r="BC563" s="21">
        <f>IF(OR(tblsales[[#This Row],[Contract Value USD]]="",tblsales[[#This Row],[Cost Estimate USD]]=""),"",tblsales[[#This Row],[Contract Value USD]]-tblsales[[#This Row],[Cost Estimate USD]])</f>
        <v>12877175.300000001</v>
      </c>
      <c r="BD563" s="23">
        <f>IF(tblsales[[#This Row],[Invoice Value USD]]="","",tblsales[[#This Row],[Collected Amount USD]]/tblsales[[#This Row],[Invoice Value USD]])</f>
        <v>0.56729611408115721</v>
      </c>
      <c r="BE563" s="11">
        <f>IF(tblsales[[#This Row],[SalesStage]]="Won",1,0)</f>
        <v>0</v>
      </c>
      <c r="BF563" s="21" t="str">
        <f>IF(tblsales[[#This Row],[Win Flag]]=1,"Won","Lost")</f>
        <v>Lost</v>
      </c>
      <c r="BG563" s="8"/>
    </row>
    <row r="564" spans="1:59" x14ac:dyDescent="0.3">
      <c r="A564" s="10" t="s">
        <v>1991</v>
      </c>
      <c r="B564" s="9">
        <v>45922</v>
      </c>
      <c r="C564" s="10" t="s">
        <v>235</v>
      </c>
      <c r="D564" s="10" t="s">
        <v>180</v>
      </c>
      <c r="E564" s="10" t="s">
        <v>36</v>
      </c>
      <c r="F564" s="10" t="s">
        <v>19</v>
      </c>
      <c r="G564" s="10" t="s">
        <v>16</v>
      </c>
      <c r="H564" s="10" t="s">
        <v>216</v>
      </c>
      <c r="I564" s="10" t="s">
        <v>203</v>
      </c>
      <c r="J564" s="10" t="s">
        <v>115</v>
      </c>
      <c r="K564" s="10" t="s">
        <v>199</v>
      </c>
      <c r="L564" s="10" t="s">
        <v>1992</v>
      </c>
      <c r="M564" s="9">
        <v>45938</v>
      </c>
      <c r="N564" s="9">
        <v>45957</v>
      </c>
      <c r="O564" s="9">
        <v>46027</v>
      </c>
      <c r="P564" s="11"/>
      <c r="Q564" s="12">
        <v>23773276</v>
      </c>
      <c r="R564">
        <v>27600773.436000001</v>
      </c>
      <c r="S564" s="22">
        <v>0.17</v>
      </c>
      <c r="T564" s="22">
        <v>0.06</v>
      </c>
      <c r="U564" s="12">
        <v>20915728.219999999</v>
      </c>
      <c r="V564" s="24">
        <v>24283160.46342</v>
      </c>
      <c r="W564" s="8">
        <v>18646692.289999999</v>
      </c>
      <c r="X564" s="24">
        <v>21648809.748689998</v>
      </c>
      <c r="Y564" s="22"/>
      <c r="Z564" s="22">
        <v>0.14000000000000001</v>
      </c>
      <c r="AA564" s="8" t="s">
        <v>1993</v>
      </c>
      <c r="AB564" s="8">
        <v>16443082.76</v>
      </c>
      <c r="AC564" s="24">
        <v>19090419.08436</v>
      </c>
      <c r="AD564" s="8">
        <v>13614006.310000001</v>
      </c>
      <c r="AE564" s="24">
        <v>15805861.32591</v>
      </c>
      <c r="AF564" s="8">
        <v>30</v>
      </c>
      <c r="AG564" s="8">
        <v>75</v>
      </c>
      <c r="AH564" s="8" t="s">
        <v>329</v>
      </c>
      <c r="AI564" s="8" t="s">
        <v>354</v>
      </c>
      <c r="AJ564" s="22">
        <v>0.87</v>
      </c>
      <c r="AK564" s="8" t="s">
        <v>159</v>
      </c>
      <c r="AL564" s="22">
        <v>0.15</v>
      </c>
      <c r="AM564" s="22">
        <v>0.02</v>
      </c>
      <c r="AN564" s="8">
        <v>5</v>
      </c>
      <c r="AO564" s="8">
        <v>453</v>
      </c>
      <c r="AP564" s="8">
        <v>2157848.46</v>
      </c>
      <c r="AQ564" s="24">
        <v>2505262.0620599999</v>
      </c>
      <c r="AR564" s="8">
        <v>9722307.3399999999</v>
      </c>
      <c r="AS564" s="37">
        <v>11287598.82174</v>
      </c>
      <c r="AT564" s="8" t="s">
        <v>391</v>
      </c>
      <c r="AU564" s="8" t="s">
        <v>386</v>
      </c>
      <c r="AV564" s="8">
        <v>92.2</v>
      </c>
      <c r="AW564" s="8"/>
      <c r="AX564" s="8" t="s">
        <v>332</v>
      </c>
      <c r="AY564" s="8" t="s">
        <v>224</v>
      </c>
      <c r="AZ564" s="8" t="s">
        <v>324</v>
      </c>
      <c r="BA564" s="21">
        <f>IF(OR(tblsales[[#This Row],[Invoice Value USD]]="",tblsales[[#This Row],[Collected Amount USD]]=""),"",tblsales[[#This Row],[Invoice Value USD]]-tblsales[[#This Row],[Collected Amount USD]])</f>
        <v>3284557.7584499996</v>
      </c>
      <c r="BB564" s="21">
        <f>IF(OR(tblsales[[#This Row],[Contract Value USD]]="",tblsales[[#This Row],[Cost Estimate USD]]=""),"",tblsales[[#This Row],[Contract Value USD]]-tblsales[[#This Row],[Cost Estimate USD]])</f>
        <v>2634350.714730002</v>
      </c>
      <c r="BC564" s="21">
        <f>IF(OR(tblsales[[#This Row],[Contract Value USD]]="",tblsales[[#This Row],[Cost Estimate USD]]=""),"",tblsales[[#This Row],[Contract Value USD]]-tblsales[[#This Row],[Cost Estimate USD]])</f>
        <v>2634350.714730002</v>
      </c>
      <c r="BD564" s="23">
        <f>IF(tblsales[[#This Row],[Invoice Value USD]]="","",tblsales[[#This Row],[Collected Amount USD]]/tblsales[[#This Row],[Invoice Value USD]])</f>
        <v>0.82794732038434382</v>
      </c>
      <c r="BE564" s="11">
        <f>IF(tblsales[[#This Row],[SalesStage]]="Won",1,0)</f>
        <v>0</v>
      </c>
      <c r="BF564" s="21" t="str">
        <f>IF(tblsales[[#This Row],[Win Flag]]=1,"Won","Lost")</f>
        <v>Lost</v>
      </c>
      <c r="BG564" s="8"/>
    </row>
    <row r="565" spans="1:59" x14ac:dyDescent="0.3">
      <c r="A565" s="10" t="s">
        <v>1994</v>
      </c>
      <c r="B565" s="9">
        <v>45770</v>
      </c>
      <c r="C565" s="10" t="s">
        <v>278</v>
      </c>
      <c r="D565" s="10" t="s">
        <v>209</v>
      </c>
      <c r="E565" s="10" t="s">
        <v>20</v>
      </c>
      <c r="F565" s="10" t="s">
        <v>31</v>
      </c>
      <c r="G565" s="10" t="s">
        <v>62</v>
      </c>
      <c r="H565" s="10" t="s">
        <v>263</v>
      </c>
      <c r="I565" s="10" t="s">
        <v>240</v>
      </c>
      <c r="J565" s="10" t="s">
        <v>136</v>
      </c>
      <c r="K565" s="10" t="s">
        <v>223</v>
      </c>
      <c r="L565" s="10" t="s">
        <v>1995</v>
      </c>
      <c r="M565" s="9">
        <v>45733</v>
      </c>
      <c r="N565" s="9">
        <v>45828</v>
      </c>
      <c r="O565" s="9"/>
      <c r="P565" s="11">
        <v>15</v>
      </c>
      <c r="Q565" s="12">
        <v>1631484</v>
      </c>
      <c r="R565">
        <v>444253.0932</v>
      </c>
      <c r="S565" s="22">
        <v>0.34</v>
      </c>
      <c r="T565" s="22">
        <v>0.16</v>
      </c>
      <c r="U565" s="12">
        <v>1249064.1499999999</v>
      </c>
      <c r="V565" s="24">
        <v>340120.16804499994</v>
      </c>
      <c r="W565" s="8">
        <v>1104436.55</v>
      </c>
      <c r="X565" s="24">
        <v>300738.07256499998</v>
      </c>
      <c r="Y565" s="22">
        <v>0.06</v>
      </c>
      <c r="Z565" s="22">
        <v>0.2</v>
      </c>
      <c r="AA565" s="8" t="s">
        <v>1996</v>
      </c>
      <c r="AB565" s="8">
        <v>237775.1</v>
      </c>
      <c r="AC565" s="24">
        <v>64746.159729999999</v>
      </c>
      <c r="AD565" s="8">
        <v>118105.31</v>
      </c>
      <c r="AE565" s="24">
        <v>32160.075912999997</v>
      </c>
      <c r="AF565" s="8">
        <v>90</v>
      </c>
      <c r="AG565" s="8">
        <v>91</v>
      </c>
      <c r="AH565" s="8" t="s">
        <v>376</v>
      </c>
      <c r="AI565" s="8" t="s">
        <v>354</v>
      </c>
      <c r="AJ565" s="22">
        <v>0.3</v>
      </c>
      <c r="AK565" s="8" t="s">
        <v>153</v>
      </c>
      <c r="AL565" s="22">
        <v>0.05</v>
      </c>
      <c r="AM565" s="22">
        <v>0.1</v>
      </c>
      <c r="AN565" s="8">
        <v>0</v>
      </c>
      <c r="AO565" s="8">
        <v>276</v>
      </c>
      <c r="AP565" s="8">
        <v>286424.09000000003</v>
      </c>
      <c r="AQ565" s="24">
        <v>77993.279707000009</v>
      </c>
      <c r="AR565" s="8"/>
      <c r="AS565" s="37"/>
      <c r="AT565" s="8" t="s">
        <v>73</v>
      </c>
      <c r="AU565" s="8" t="s">
        <v>332</v>
      </c>
      <c r="AV565" s="8">
        <v>75.900000000000006</v>
      </c>
      <c r="AW565" s="8">
        <v>36</v>
      </c>
      <c r="AX565" s="8" t="s">
        <v>392</v>
      </c>
      <c r="AY565" s="8" t="s">
        <v>229</v>
      </c>
      <c r="AZ565" s="8" t="s">
        <v>324</v>
      </c>
      <c r="BA565" s="21">
        <f>IF(OR(tblsales[[#This Row],[Invoice Value USD]]="",tblsales[[#This Row],[Collected Amount USD]]=""),"",tblsales[[#This Row],[Invoice Value USD]]-tblsales[[#This Row],[Collected Amount USD]])</f>
        <v>32586.083817000002</v>
      </c>
      <c r="BB565" s="21">
        <f>IF(OR(tblsales[[#This Row],[Contract Value USD]]="",tblsales[[#This Row],[Cost Estimate USD]]=""),"",tblsales[[#This Row],[Contract Value USD]]-tblsales[[#This Row],[Cost Estimate USD]])</f>
        <v>39382.09547999996</v>
      </c>
      <c r="BC565" s="21">
        <f>IF(OR(tblsales[[#This Row],[Contract Value USD]]="",tblsales[[#This Row],[Cost Estimate USD]]=""),"",tblsales[[#This Row],[Contract Value USD]]-tblsales[[#This Row],[Cost Estimate USD]])</f>
        <v>39382.09547999996</v>
      </c>
      <c r="BD565" s="23">
        <f>IF(tblsales[[#This Row],[Invoice Value USD]]="","",tblsales[[#This Row],[Collected Amount USD]]/tblsales[[#This Row],[Invoice Value USD]])</f>
        <v>0.49671016855844025</v>
      </c>
      <c r="BE565" s="11">
        <f>IF(tblsales[[#This Row],[SalesStage]]="Won",1,0)</f>
        <v>0</v>
      </c>
      <c r="BF565" s="21" t="str">
        <f>IF(tblsales[[#This Row],[Win Flag]]=1,"Won","Lost")</f>
        <v>Lost</v>
      </c>
      <c r="BG565" s="8"/>
    </row>
    <row r="566" spans="1:59" x14ac:dyDescent="0.3">
      <c r="A566" s="10" t="s">
        <v>1997</v>
      </c>
      <c r="B566" s="9">
        <v>45758</v>
      </c>
      <c r="C566" s="10" t="s">
        <v>239</v>
      </c>
      <c r="D566" s="10" t="s">
        <v>248</v>
      </c>
      <c r="E566" s="10" t="s">
        <v>52</v>
      </c>
      <c r="F566" s="10" t="s">
        <v>75</v>
      </c>
      <c r="G566" s="10" t="s">
        <v>57</v>
      </c>
      <c r="H566" s="10" t="s">
        <v>236</v>
      </c>
      <c r="I566" s="10" t="s">
        <v>246</v>
      </c>
      <c r="J566" s="10" t="s">
        <v>133</v>
      </c>
      <c r="K566" s="10" t="s">
        <v>223</v>
      </c>
      <c r="L566" s="10" t="s">
        <v>1998</v>
      </c>
      <c r="M566" s="9">
        <v>45909</v>
      </c>
      <c r="N566" s="9">
        <v>46014</v>
      </c>
      <c r="O566" s="9">
        <v>46038</v>
      </c>
      <c r="P566" s="11">
        <v>35</v>
      </c>
      <c r="Q566" s="12">
        <v>30202419</v>
      </c>
      <c r="R566">
        <v>35065008.458999999</v>
      </c>
      <c r="S566" s="22">
        <v>0.31</v>
      </c>
      <c r="T566" s="22">
        <v>0.1</v>
      </c>
      <c r="U566" s="12">
        <v>22923636.02</v>
      </c>
      <c r="V566" s="24">
        <v>26614341.419220001</v>
      </c>
      <c r="W566" s="8">
        <v>16664717.15</v>
      </c>
      <c r="X566" s="24">
        <v>19347736.61115</v>
      </c>
      <c r="Y566" s="22">
        <v>0.34</v>
      </c>
      <c r="Z566" s="22">
        <v>0.1</v>
      </c>
      <c r="AA566" s="8"/>
      <c r="AB566" s="8">
        <v>11384334.75</v>
      </c>
      <c r="AC566" s="24">
        <v>13217212.644750001</v>
      </c>
      <c r="AD566" s="8">
        <v>10231959.130000001</v>
      </c>
      <c r="AE566" s="24">
        <v>11879304.549930001</v>
      </c>
      <c r="AF566" s="8">
        <v>60</v>
      </c>
      <c r="AG566" s="8">
        <v>85</v>
      </c>
      <c r="AH566" s="8" t="s">
        <v>332</v>
      </c>
      <c r="AI566" s="8" t="s">
        <v>406</v>
      </c>
      <c r="AJ566" s="22">
        <v>0.65</v>
      </c>
      <c r="AK566" s="8" t="s">
        <v>159</v>
      </c>
      <c r="AL566" s="22">
        <v>0.1</v>
      </c>
      <c r="AM566" s="22">
        <v>0.03</v>
      </c>
      <c r="AN566" s="8">
        <v>3</v>
      </c>
      <c r="AO566" s="8">
        <v>132</v>
      </c>
      <c r="AP566" s="8">
        <v>4477160.7</v>
      </c>
      <c r="AQ566" s="24">
        <v>5197983.5727000004</v>
      </c>
      <c r="AR566" s="8">
        <v>4875627.4000000004</v>
      </c>
      <c r="AS566" s="37">
        <v>5660603.4114000006</v>
      </c>
      <c r="AT566" s="8" t="s">
        <v>385</v>
      </c>
      <c r="AU566" s="8" t="s">
        <v>386</v>
      </c>
      <c r="AV566" s="8">
        <v>75.099999999999994</v>
      </c>
      <c r="AW566" s="8">
        <v>36</v>
      </c>
      <c r="AX566" s="8" t="s">
        <v>332</v>
      </c>
      <c r="AY566" s="8" t="s">
        <v>229</v>
      </c>
      <c r="AZ566" s="8" t="s">
        <v>357</v>
      </c>
      <c r="BA566" s="21">
        <f>IF(OR(tblsales[[#This Row],[Invoice Value USD]]="",tblsales[[#This Row],[Collected Amount USD]]=""),"",tblsales[[#This Row],[Invoice Value USD]]-tblsales[[#This Row],[Collected Amount USD]])</f>
        <v>1337908.0948200002</v>
      </c>
      <c r="BB566" s="21">
        <f>IF(OR(tblsales[[#This Row],[Contract Value USD]]="",tblsales[[#This Row],[Cost Estimate USD]]=""),"",tblsales[[#This Row],[Contract Value USD]]-tblsales[[#This Row],[Cost Estimate USD]])</f>
        <v>7266604.8080700003</v>
      </c>
      <c r="BC566" s="21">
        <f>IF(OR(tblsales[[#This Row],[Contract Value USD]]="",tblsales[[#This Row],[Cost Estimate USD]]=""),"",tblsales[[#This Row],[Contract Value USD]]-tblsales[[#This Row],[Cost Estimate USD]])</f>
        <v>7266604.8080700003</v>
      </c>
      <c r="BD566" s="23">
        <f>IF(tblsales[[#This Row],[Invoice Value USD]]="","",tblsales[[#This Row],[Collected Amount USD]]/tblsales[[#This Row],[Invoice Value USD]])</f>
        <v>0.89877532193965048</v>
      </c>
      <c r="BE566" s="11">
        <f>IF(tblsales[[#This Row],[SalesStage]]="Won",1,0)</f>
        <v>0</v>
      </c>
      <c r="BF566" s="21" t="str">
        <f>IF(tblsales[[#This Row],[Win Flag]]=1,"Won","Lost")</f>
        <v>Lost</v>
      </c>
      <c r="BG566" s="8"/>
    </row>
    <row r="567" spans="1:59" x14ac:dyDescent="0.3">
      <c r="A567" s="10" t="s">
        <v>1999</v>
      </c>
      <c r="B567" s="9">
        <v>46022</v>
      </c>
      <c r="C567" s="10" t="s">
        <v>243</v>
      </c>
      <c r="D567" s="10" t="s">
        <v>215</v>
      </c>
      <c r="E567" s="10" t="s">
        <v>113</v>
      </c>
      <c r="F567" s="10" t="s">
        <v>181</v>
      </c>
      <c r="G567" s="10" t="s">
        <v>57</v>
      </c>
      <c r="H567" s="10" t="s">
        <v>236</v>
      </c>
      <c r="I567" s="10" t="s">
        <v>203</v>
      </c>
      <c r="J567" s="10" t="s">
        <v>123</v>
      </c>
      <c r="K567" s="10" t="s">
        <v>204</v>
      </c>
      <c r="L567" s="10" t="s">
        <v>2000</v>
      </c>
      <c r="M567" s="9">
        <v>45758</v>
      </c>
      <c r="N567" s="9">
        <v>46204</v>
      </c>
      <c r="O567" s="9">
        <v>46109</v>
      </c>
      <c r="P567" s="11">
        <v>50</v>
      </c>
      <c r="Q567" s="12">
        <v>19693838</v>
      </c>
      <c r="R567">
        <v>5362632.0873999996</v>
      </c>
      <c r="S567" s="22">
        <v>0.02</v>
      </c>
      <c r="T567" s="22">
        <v>0.18</v>
      </c>
      <c r="U567" s="12">
        <v>22773954.260000002</v>
      </c>
      <c r="V567" s="24">
        <v>6201347.7449980006</v>
      </c>
      <c r="W567" s="8">
        <v>19208147.510000002</v>
      </c>
      <c r="X567" s="24">
        <v>5230378.5669729998</v>
      </c>
      <c r="Y567" s="22">
        <v>0.21</v>
      </c>
      <c r="Z567" s="22">
        <v>0.06</v>
      </c>
      <c r="AA567" s="8" t="s">
        <v>2001</v>
      </c>
      <c r="AB567" s="8">
        <v>1656756.34</v>
      </c>
      <c r="AC567" s="24">
        <v>451134.75138199999</v>
      </c>
      <c r="AD567" s="8">
        <v>1733333.63</v>
      </c>
      <c r="AE567" s="24">
        <v>471986.74744899996</v>
      </c>
      <c r="AF567" s="8">
        <v>90</v>
      </c>
      <c r="AG567" s="8">
        <v>153</v>
      </c>
      <c r="AH567" s="8" t="s">
        <v>342</v>
      </c>
      <c r="AI567" s="8" t="s">
        <v>226</v>
      </c>
      <c r="AJ567" s="22">
        <v>0.92</v>
      </c>
      <c r="AK567" s="8" t="s">
        <v>153</v>
      </c>
      <c r="AL567" s="22">
        <v>0.1</v>
      </c>
      <c r="AM567" s="22">
        <v>0.08</v>
      </c>
      <c r="AN567" s="8">
        <v>6</v>
      </c>
      <c r="AO567" s="8">
        <v>2338</v>
      </c>
      <c r="AP567" s="8">
        <v>2082088.38</v>
      </c>
      <c r="AQ567" s="24">
        <v>566952.66587399994</v>
      </c>
      <c r="AR567" s="8">
        <v>6067479.5</v>
      </c>
      <c r="AS567" s="37">
        <v>1652174.6678499999</v>
      </c>
      <c r="AT567" s="8" t="s">
        <v>355</v>
      </c>
      <c r="AU567" s="8" t="s">
        <v>330</v>
      </c>
      <c r="AV567" s="8"/>
      <c r="AW567" s="8">
        <v>12</v>
      </c>
      <c r="AX567" s="8" t="s">
        <v>332</v>
      </c>
      <c r="AY567" s="8" t="s">
        <v>229</v>
      </c>
      <c r="AZ567" s="8" t="s">
        <v>324</v>
      </c>
      <c r="BA567" s="21">
        <f>IF(OR(tblsales[[#This Row],[Invoice Value USD]]="",tblsales[[#This Row],[Collected Amount USD]]=""),"",tblsales[[#This Row],[Invoice Value USD]]-tblsales[[#This Row],[Collected Amount USD]])</f>
        <v>-20851.996066999971</v>
      </c>
      <c r="BB567" s="21">
        <f>IF(OR(tblsales[[#This Row],[Contract Value USD]]="",tblsales[[#This Row],[Cost Estimate USD]]=""),"",tblsales[[#This Row],[Contract Value USD]]-tblsales[[#This Row],[Cost Estimate USD]])</f>
        <v>970969.17802500073</v>
      </c>
      <c r="BC567" s="21">
        <f>IF(OR(tblsales[[#This Row],[Contract Value USD]]="",tblsales[[#This Row],[Cost Estimate USD]]=""),"",tblsales[[#This Row],[Contract Value USD]]-tblsales[[#This Row],[Cost Estimate USD]])</f>
        <v>970969.17802500073</v>
      </c>
      <c r="BD567" s="23">
        <f>IF(tblsales[[#This Row],[Invoice Value USD]]="","",tblsales[[#This Row],[Collected Amount USD]]/tblsales[[#This Row],[Invoice Value USD]])</f>
        <v>1.0462212144001815</v>
      </c>
      <c r="BE567" s="11">
        <f>IF(tblsales[[#This Row],[SalesStage]]="Won",1,0)</f>
        <v>0</v>
      </c>
      <c r="BF567" s="21" t="str">
        <f>IF(tblsales[[#This Row],[Win Flag]]=1,"Won","Lost")</f>
        <v>Lost</v>
      </c>
      <c r="BG567" s="8"/>
    </row>
    <row r="568" spans="1:59" x14ac:dyDescent="0.3">
      <c r="A568" s="10" t="s">
        <v>2002</v>
      </c>
      <c r="B568" s="9">
        <v>45995</v>
      </c>
      <c r="C568" s="10" t="s">
        <v>230</v>
      </c>
      <c r="D568" s="10" t="s">
        <v>190</v>
      </c>
      <c r="E568" s="10" t="s">
        <v>20</v>
      </c>
      <c r="F568" s="10" t="s">
        <v>196</v>
      </c>
      <c r="G568" s="10" t="s">
        <v>73</v>
      </c>
      <c r="H568" s="10" t="s">
        <v>236</v>
      </c>
      <c r="I568" s="10" t="s">
        <v>240</v>
      </c>
      <c r="J568" s="10" t="s">
        <v>136</v>
      </c>
      <c r="K568" s="10" t="s">
        <v>221</v>
      </c>
      <c r="L568" s="10" t="s">
        <v>2003</v>
      </c>
      <c r="M568" s="9">
        <v>45950</v>
      </c>
      <c r="N568" s="9">
        <v>46024</v>
      </c>
      <c r="O568" s="9"/>
      <c r="P568" s="11">
        <v>26</v>
      </c>
      <c r="Q568" s="12">
        <v>32987978</v>
      </c>
      <c r="R568">
        <v>38299042.458000004</v>
      </c>
      <c r="S568" s="22">
        <v>0.05</v>
      </c>
      <c r="T568" s="22">
        <v>0.03</v>
      </c>
      <c r="U568" s="12">
        <v>32278736.469999999</v>
      </c>
      <c r="V568" s="24">
        <v>37475613.041670002</v>
      </c>
      <c r="W568" s="8">
        <v>21697698.59</v>
      </c>
      <c r="X568" s="24">
        <v>25191028.062990002</v>
      </c>
      <c r="Y568" s="22">
        <v>0.17</v>
      </c>
      <c r="Z568" s="22">
        <v>0.19</v>
      </c>
      <c r="AA568" s="8" t="s">
        <v>2004</v>
      </c>
      <c r="AB568" s="8">
        <v>17695360.18</v>
      </c>
      <c r="AC568" s="24">
        <v>20544313.168979999</v>
      </c>
      <c r="AD568" s="8">
        <v>10171379.029999999</v>
      </c>
      <c r="AE568" s="24">
        <v>11808971.05383</v>
      </c>
      <c r="AF568" s="8">
        <v>30</v>
      </c>
      <c r="AG568" s="8">
        <v>44</v>
      </c>
      <c r="AH568" s="8" t="s">
        <v>342</v>
      </c>
      <c r="AI568" s="8" t="s">
        <v>406</v>
      </c>
      <c r="AJ568" s="22">
        <v>0.78</v>
      </c>
      <c r="AK568" s="8" t="s">
        <v>159</v>
      </c>
      <c r="AL568" s="22">
        <v>0.1</v>
      </c>
      <c r="AM568" s="22">
        <v>0.05</v>
      </c>
      <c r="AN568" s="8">
        <v>0</v>
      </c>
      <c r="AO568" s="8">
        <v>1768</v>
      </c>
      <c r="AP568" s="8">
        <v>6542782.3099999996</v>
      </c>
      <c r="AQ568" s="24">
        <v>7596170.2619099999</v>
      </c>
      <c r="AR568" s="8">
        <v>9472574.2400000002</v>
      </c>
      <c r="AS568" s="37">
        <v>10997658.692640001</v>
      </c>
      <c r="AT568" s="8" t="s">
        <v>391</v>
      </c>
      <c r="AU568" s="8" t="s">
        <v>332</v>
      </c>
      <c r="AV568" s="8">
        <v>71.8</v>
      </c>
      <c r="AW568" s="8">
        <v>48</v>
      </c>
      <c r="AX568" s="8" t="s">
        <v>332</v>
      </c>
      <c r="AY568" s="8" t="s">
        <v>206</v>
      </c>
      <c r="AZ568" s="8" t="s">
        <v>361</v>
      </c>
      <c r="BA568" s="21">
        <f>IF(OR(tblsales[[#This Row],[Invoice Value USD]]="",tblsales[[#This Row],[Collected Amount USD]]=""),"",tblsales[[#This Row],[Invoice Value USD]]-tblsales[[#This Row],[Collected Amount USD]])</f>
        <v>8735342.115149999</v>
      </c>
      <c r="BB568" s="21">
        <f>IF(OR(tblsales[[#This Row],[Contract Value USD]]="",tblsales[[#This Row],[Cost Estimate USD]]=""),"",tblsales[[#This Row],[Contract Value USD]]-tblsales[[#This Row],[Cost Estimate USD]])</f>
        <v>12284584.97868</v>
      </c>
      <c r="BC568" s="21">
        <f>IF(OR(tblsales[[#This Row],[Contract Value USD]]="",tblsales[[#This Row],[Cost Estimate USD]]=""),"",tblsales[[#This Row],[Contract Value USD]]-tblsales[[#This Row],[Cost Estimate USD]])</f>
        <v>12284584.97868</v>
      </c>
      <c r="BD568" s="23">
        <f>IF(tblsales[[#This Row],[Invoice Value USD]]="","",tblsales[[#This Row],[Collected Amount USD]]/tblsales[[#This Row],[Invoice Value USD]])</f>
        <v>0.5748048599483212</v>
      </c>
      <c r="BE568" s="11">
        <f>IF(tblsales[[#This Row],[SalesStage]]="Won",1,0)</f>
        <v>0</v>
      </c>
      <c r="BF568" s="21" t="str">
        <f>IF(tblsales[[#This Row],[Win Flag]]=1,"Won","Lost")</f>
        <v>Lost</v>
      </c>
      <c r="BG568" s="8"/>
    </row>
    <row r="569" spans="1:59" x14ac:dyDescent="0.3">
      <c r="A569" s="10" t="s">
        <v>2005</v>
      </c>
      <c r="B569" s="9">
        <v>45704</v>
      </c>
      <c r="C569" s="10" t="s">
        <v>285</v>
      </c>
      <c r="D569" s="10" t="s">
        <v>562</v>
      </c>
      <c r="E569" s="10" t="s">
        <v>332</v>
      </c>
      <c r="F569" s="10" t="s">
        <v>31</v>
      </c>
      <c r="G569" s="10" t="s">
        <v>66</v>
      </c>
      <c r="H569" s="10" t="s">
        <v>332</v>
      </c>
      <c r="I569" s="10" t="s">
        <v>191</v>
      </c>
      <c r="J569" s="10" t="s">
        <v>99</v>
      </c>
      <c r="K569" s="10" t="s">
        <v>184</v>
      </c>
      <c r="L569" s="10" t="s">
        <v>2006</v>
      </c>
      <c r="M569" s="9">
        <v>45627</v>
      </c>
      <c r="N569" s="9">
        <v>45705</v>
      </c>
      <c r="O569" s="9"/>
      <c r="P569" s="11">
        <v>51</v>
      </c>
      <c r="Q569" s="12">
        <v>2211205</v>
      </c>
      <c r="R569">
        <v>2567209.0049999999</v>
      </c>
      <c r="S569" s="22">
        <v>0.18</v>
      </c>
      <c r="T569" s="22">
        <v>0.14000000000000001</v>
      </c>
      <c r="U569" s="12">
        <v>2067034.43</v>
      </c>
      <c r="V569" s="24">
        <v>2399826.9732300001</v>
      </c>
      <c r="W569" s="8">
        <v>1610561.25</v>
      </c>
      <c r="X569" s="24">
        <v>1869861.6112500001</v>
      </c>
      <c r="Y569" s="22">
        <v>0.18</v>
      </c>
      <c r="Z569" s="22">
        <v>0.08</v>
      </c>
      <c r="AA569" s="8" t="s">
        <v>2007</v>
      </c>
      <c r="AB569" s="8">
        <v>192632.81</v>
      </c>
      <c r="AC569" s="24">
        <v>223646.69241000002</v>
      </c>
      <c r="AD569" s="8">
        <v>88753.34</v>
      </c>
      <c r="AE569" s="24">
        <v>103042.62774</v>
      </c>
      <c r="AF569" s="8">
        <v>90</v>
      </c>
      <c r="AG569" s="8">
        <v>23</v>
      </c>
      <c r="AH569" s="8" t="s">
        <v>347</v>
      </c>
      <c r="AI569" s="8" t="s">
        <v>320</v>
      </c>
      <c r="AJ569" s="22">
        <v>0.4</v>
      </c>
      <c r="AK569" s="8" t="s">
        <v>159</v>
      </c>
      <c r="AL569" s="22">
        <v>0.1</v>
      </c>
      <c r="AM569" s="22">
        <v>7.0000000000000007E-2</v>
      </c>
      <c r="AN569" s="8">
        <v>10</v>
      </c>
      <c r="AO569" s="8">
        <v>1954</v>
      </c>
      <c r="AP569" s="8">
        <v>488438.44</v>
      </c>
      <c r="AQ569" s="24">
        <v>567077.02884000004</v>
      </c>
      <c r="AR569" s="8">
        <v>619923.66</v>
      </c>
      <c r="AS569" s="37">
        <v>719731.36926000006</v>
      </c>
      <c r="AT569" s="8" t="s">
        <v>385</v>
      </c>
      <c r="AU569" s="8" t="s">
        <v>321</v>
      </c>
      <c r="AV569" s="8">
        <v>64.3</v>
      </c>
      <c r="AW569" s="8"/>
      <c r="AX569" s="8" t="s">
        <v>332</v>
      </c>
      <c r="AY569" s="8" t="s">
        <v>224</v>
      </c>
      <c r="AZ569" s="8" t="s">
        <v>324</v>
      </c>
      <c r="BA569" s="21">
        <f>IF(OR(tblsales[[#This Row],[Invoice Value USD]]="",tblsales[[#This Row],[Collected Amount USD]]=""),"",tblsales[[#This Row],[Invoice Value USD]]-tblsales[[#This Row],[Collected Amount USD]])</f>
        <v>120604.06467000002</v>
      </c>
      <c r="BB569" s="21">
        <f>IF(OR(tblsales[[#This Row],[Contract Value USD]]="",tblsales[[#This Row],[Cost Estimate USD]]=""),"",tblsales[[#This Row],[Contract Value USD]]-tblsales[[#This Row],[Cost Estimate USD]])</f>
        <v>529965.36198000005</v>
      </c>
      <c r="BC569" s="21">
        <f>IF(OR(tblsales[[#This Row],[Contract Value USD]]="",tblsales[[#This Row],[Cost Estimate USD]]=""),"",tblsales[[#This Row],[Contract Value USD]]-tblsales[[#This Row],[Cost Estimate USD]])</f>
        <v>529965.36198000005</v>
      </c>
      <c r="BD569" s="23">
        <f>IF(tblsales[[#This Row],[Invoice Value USD]]="","",tblsales[[#This Row],[Collected Amount USD]]/tblsales[[#This Row],[Invoice Value USD]])</f>
        <v>0.46073843806774134</v>
      </c>
      <c r="BE569" s="11">
        <f>IF(tblsales[[#This Row],[SalesStage]]="Won",1,0)</f>
        <v>1</v>
      </c>
      <c r="BF569" s="21" t="str">
        <f>IF(tblsales[[#This Row],[Win Flag]]=1,"Won","Lost")</f>
        <v>Won</v>
      </c>
      <c r="BG569" s="8"/>
    </row>
    <row r="570" spans="1:59" x14ac:dyDescent="0.3">
      <c r="A570" s="10" t="s">
        <v>2008</v>
      </c>
      <c r="B570" s="9">
        <v>45993</v>
      </c>
      <c r="C570" s="10" t="s">
        <v>227</v>
      </c>
      <c r="D570" s="10" t="s">
        <v>238</v>
      </c>
      <c r="E570" s="10" t="s">
        <v>36</v>
      </c>
      <c r="F570" s="10" t="s">
        <v>339</v>
      </c>
      <c r="G570" s="10" t="s">
        <v>80</v>
      </c>
      <c r="H570" s="10" t="s">
        <v>212</v>
      </c>
      <c r="I570" s="10" t="s">
        <v>332</v>
      </c>
      <c r="J570" s="10" t="s">
        <v>115</v>
      </c>
      <c r="K570" s="10" t="s">
        <v>326</v>
      </c>
      <c r="L570" s="10" t="s">
        <v>2009</v>
      </c>
      <c r="M570" s="9">
        <v>45944</v>
      </c>
      <c r="N570" s="9" t="s">
        <v>2010</v>
      </c>
      <c r="O570" s="9">
        <v>46047</v>
      </c>
      <c r="P570" s="11">
        <v>41</v>
      </c>
      <c r="Q570" s="12">
        <v>4413357</v>
      </c>
      <c r="R570">
        <v>5123907.477</v>
      </c>
      <c r="S570" s="22">
        <v>0.2</v>
      </c>
      <c r="T570" s="22">
        <v>0.1</v>
      </c>
      <c r="U570" s="12">
        <v>3883754.16</v>
      </c>
      <c r="V570" s="24">
        <v>4509038.5797600001</v>
      </c>
      <c r="W570" s="8">
        <v>2803835.63</v>
      </c>
      <c r="X570" s="24">
        <v>3255253.1664299998</v>
      </c>
      <c r="Y570" s="22">
        <v>0.32</v>
      </c>
      <c r="Z570" s="22">
        <v>0.1</v>
      </c>
      <c r="AA570" s="8" t="s">
        <v>2011</v>
      </c>
      <c r="AB570" s="8">
        <v>1937920.85</v>
      </c>
      <c r="AC570" s="24">
        <v>2249926.1068500001</v>
      </c>
      <c r="AD570" s="8">
        <v>1020627.83</v>
      </c>
      <c r="AE570" s="24">
        <v>1184948.9106300001</v>
      </c>
      <c r="AF570" s="8">
        <v>90</v>
      </c>
      <c r="AG570" s="8">
        <v>134</v>
      </c>
      <c r="AH570" s="8" t="s">
        <v>376</v>
      </c>
      <c r="AI570" s="8" t="s">
        <v>336</v>
      </c>
      <c r="AJ570" s="22">
        <v>0.14000000000000001</v>
      </c>
      <c r="AK570" s="8" t="s">
        <v>159</v>
      </c>
      <c r="AL570" s="22">
        <v>0.1</v>
      </c>
      <c r="AM570" s="22">
        <v>0.08</v>
      </c>
      <c r="AN570" s="8">
        <v>13</v>
      </c>
      <c r="AO570" s="8">
        <v>1392</v>
      </c>
      <c r="AP570" s="8">
        <v>547955.54</v>
      </c>
      <c r="AQ570" s="24">
        <v>636176.38194000011</v>
      </c>
      <c r="AR570" s="8">
        <v>863677.62</v>
      </c>
      <c r="AS570" s="37">
        <v>1002729.71682</v>
      </c>
      <c r="AT570" s="8" t="s">
        <v>355</v>
      </c>
      <c r="AU570" s="8" t="s">
        <v>321</v>
      </c>
      <c r="AV570" s="8">
        <v>77.5</v>
      </c>
      <c r="AW570" s="8">
        <v>48</v>
      </c>
      <c r="AX570" s="8" t="s">
        <v>332</v>
      </c>
      <c r="AY570" s="8" t="s">
        <v>192</v>
      </c>
      <c r="AZ570" s="8" t="s">
        <v>188</v>
      </c>
      <c r="BA570" s="21">
        <f>IF(OR(tblsales[[#This Row],[Invoice Value USD]]="",tblsales[[#This Row],[Collected Amount USD]]=""),"",tblsales[[#This Row],[Invoice Value USD]]-tblsales[[#This Row],[Collected Amount USD]])</f>
        <v>1064977.19622</v>
      </c>
      <c r="BB570" s="21">
        <f>IF(OR(tblsales[[#This Row],[Contract Value USD]]="",tblsales[[#This Row],[Cost Estimate USD]]=""),"",tblsales[[#This Row],[Contract Value USD]]-tblsales[[#This Row],[Cost Estimate USD]])</f>
        <v>1253785.4133300004</v>
      </c>
      <c r="BC570" s="21">
        <f>IF(OR(tblsales[[#This Row],[Contract Value USD]]="",tblsales[[#This Row],[Cost Estimate USD]]=""),"",tblsales[[#This Row],[Contract Value USD]]-tblsales[[#This Row],[Cost Estimate USD]])</f>
        <v>1253785.4133300004</v>
      </c>
      <c r="BD570" s="23">
        <f>IF(tblsales[[#This Row],[Invoice Value USD]]="","",tblsales[[#This Row],[Collected Amount USD]]/tblsales[[#This Row],[Invoice Value USD]])</f>
        <v>0.52666125657299157</v>
      </c>
      <c r="BE570" s="11">
        <f>IF(tblsales[[#This Row],[SalesStage]]="Won",1,0)</f>
        <v>0</v>
      </c>
      <c r="BF570" s="21" t="str">
        <f>IF(tblsales[[#This Row],[Win Flag]]=1,"Won","Lost")</f>
        <v>Lost</v>
      </c>
      <c r="BG570" s="8"/>
    </row>
    <row r="571" spans="1:59" x14ac:dyDescent="0.3">
      <c r="A571" s="10" t="s">
        <v>2012</v>
      </c>
      <c r="B571" s="9">
        <v>46072</v>
      </c>
      <c r="C571" s="10" t="s">
        <v>208</v>
      </c>
      <c r="D571" s="10" t="s">
        <v>253</v>
      </c>
      <c r="E571" s="10" t="s">
        <v>332</v>
      </c>
      <c r="F571" s="10" t="s">
        <v>363</v>
      </c>
      <c r="G571" s="10" t="s">
        <v>62</v>
      </c>
      <c r="H571" s="10" t="s">
        <v>332</v>
      </c>
      <c r="I571" s="10" t="s">
        <v>233</v>
      </c>
      <c r="J571" s="10" t="s">
        <v>99</v>
      </c>
      <c r="K571" s="10" t="s">
        <v>204</v>
      </c>
      <c r="L571" s="10" t="s">
        <v>2013</v>
      </c>
      <c r="M571" s="9">
        <v>46266</v>
      </c>
      <c r="N571" s="9"/>
      <c r="O571" s="9">
        <v>46207</v>
      </c>
      <c r="P571" s="11">
        <v>17</v>
      </c>
      <c r="Q571" s="12">
        <v>22147045</v>
      </c>
      <c r="R571">
        <v>6083793.2615</v>
      </c>
      <c r="S571" s="22">
        <v>0.12</v>
      </c>
      <c r="T571" s="22">
        <v>0.06</v>
      </c>
      <c r="U571" s="12">
        <v>20658763.579999998</v>
      </c>
      <c r="V571" s="24">
        <v>5674962.3554259995</v>
      </c>
      <c r="W571" s="8">
        <v>13823215.43</v>
      </c>
      <c r="X571" s="24">
        <v>3797237.2786209998</v>
      </c>
      <c r="Y571" s="22">
        <v>0.32</v>
      </c>
      <c r="Z571" s="22">
        <v>0.06</v>
      </c>
      <c r="AA571" s="8" t="s">
        <v>2014</v>
      </c>
      <c r="AB571" s="8">
        <v>6493246.3499999996</v>
      </c>
      <c r="AC571" s="24">
        <v>1783694.7723449999</v>
      </c>
      <c r="AD571" s="8">
        <v>2696893.14</v>
      </c>
      <c r="AE571" s="24">
        <v>740836.54555799998</v>
      </c>
      <c r="AF571" s="8">
        <v>120</v>
      </c>
      <c r="AG571" s="8">
        <v>72</v>
      </c>
      <c r="AH571" s="8" t="s">
        <v>376</v>
      </c>
      <c r="AI571" s="8" t="s">
        <v>381</v>
      </c>
      <c r="AJ571" s="22">
        <v>0.06</v>
      </c>
      <c r="AK571" s="8" t="s">
        <v>155</v>
      </c>
      <c r="AL571" s="22">
        <v>0.05</v>
      </c>
      <c r="AM571" s="22">
        <v>7.0000000000000007E-2</v>
      </c>
      <c r="AN571" s="8">
        <v>0</v>
      </c>
      <c r="AO571" s="8">
        <v>4276</v>
      </c>
      <c r="AP571" s="8">
        <v>2768845.52</v>
      </c>
      <c r="AQ571" s="24">
        <v>760601.864344</v>
      </c>
      <c r="AR571" s="8">
        <v>9736411.75</v>
      </c>
      <c r="AS571" s="37">
        <v>2674592.3077250002</v>
      </c>
      <c r="AT571" s="8" t="s">
        <v>391</v>
      </c>
      <c r="AU571" s="8" t="s">
        <v>330</v>
      </c>
      <c r="AV571" s="8">
        <v>53.2</v>
      </c>
      <c r="AW571" s="8">
        <v>36</v>
      </c>
      <c r="AX571" s="8" t="s">
        <v>332</v>
      </c>
      <c r="AY571" s="8" t="s">
        <v>229</v>
      </c>
      <c r="AZ571" s="8" t="s">
        <v>332</v>
      </c>
      <c r="BA571" s="21">
        <f>IF(OR(tblsales[[#This Row],[Invoice Value USD]]="",tblsales[[#This Row],[Collected Amount USD]]=""),"",tblsales[[#This Row],[Invoice Value USD]]-tblsales[[#This Row],[Collected Amount USD]])</f>
        <v>1042858.226787</v>
      </c>
      <c r="BB571" s="21">
        <f>IF(OR(tblsales[[#This Row],[Contract Value USD]]="",tblsales[[#This Row],[Cost Estimate USD]]=""),"",tblsales[[#This Row],[Contract Value USD]]-tblsales[[#This Row],[Cost Estimate USD]])</f>
        <v>1877725.0768049997</v>
      </c>
      <c r="BC571" s="21">
        <f>IF(OR(tblsales[[#This Row],[Contract Value USD]]="",tblsales[[#This Row],[Cost Estimate USD]]=""),"",tblsales[[#This Row],[Contract Value USD]]-tblsales[[#This Row],[Cost Estimate USD]])</f>
        <v>1877725.0768049997</v>
      </c>
      <c r="BD571" s="23">
        <f>IF(tblsales[[#This Row],[Invoice Value USD]]="","",tblsales[[#This Row],[Collected Amount USD]]/tblsales[[#This Row],[Invoice Value USD]])</f>
        <v>0.41533818287981633</v>
      </c>
      <c r="BE571" s="11">
        <f>IF(tblsales[[#This Row],[SalesStage]]="Won",1,0)</f>
        <v>0</v>
      </c>
      <c r="BF571" s="21" t="str">
        <f>IF(tblsales[[#This Row],[Win Flag]]=1,"Won","Lost")</f>
        <v>Lost</v>
      </c>
      <c r="BG571" s="8"/>
    </row>
    <row r="572" spans="1:59" x14ac:dyDescent="0.3">
      <c r="A572" s="10" t="s">
        <v>2015</v>
      </c>
      <c r="B572" s="9">
        <v>45991</v>
      </c>
      <c r="C572" s="10" t="s">
        <v>272</v>
      </c>
      <c r="D572" s="10" t="s">
        <v>180</v>
      </c>
      <c r="E572" s="10" t="s">
        <v>36</v>
      </c>
      <c r="F572" s="10" t="s">
        <v>19</v>
      </c>
      <c r="G572" s="10" t="s">
        <v>28</v>
      </c>
      <c r="H572" s="10" t="s">
        <v>182</v>
      </c>
      <c r="I572" s="10" t="s">
        <v>203</v>
      </c>
      <c r="J572" s="10" t="s">
        <v>115</v>
      </c>
      <c r="K572" s="10" t="s">
        <v>326</v>
      </c>
      <c r="L572" s="10" t="s">
        <v>2016</v>
      </c>
      <c r="M572" s="9">
        <v>45849</v>
      </c>
      <c r="N572" s="9">
        <v>46013</v>
      </c>
      <c r="O572" s="9">
        <v>46053</v>
      </c>
      <c r="P572" s="11"/>
      <c r="Q572" s="12">
        <v>44900180</v>
      </c>
      <c r="R572">
        <v>44900180</v>
      </c>
      <c r="S572" s="22">
        <v>0.32</v>
      </c>
      <c r="T572" s="22">
        <v>0.2</v>
      </c>
      <c r="U572" s="12">
        <v>36638546.880000003</v>
      </c>
      <c r="V572" s="24">
        <v>36638546.880000003</v>
      </c>
      <c r="W572" s="8">
        <v>22947969.079999998</v>
      </c>
      <c r="X572" s="24">
        <v>22947969.079999998</v>
      </c>
      <c r="Y572" s="22">
        <v>0.2</v>
      </c>
      <c r="Z572" s="22">
        <v>0.09</v>
      </c>
      <c r="AA572" s="8" t="s">
        <v>2017</v>
      </c>
      <c r="AB572" s="8">
        <v>27545720.48</v>
      </c>
      <c r="AC572" s="24">
        <v>27545720.48</v>
      </c>
      <c r="AD572" s="8">
        <v>18408800.07</v>
      </c>
      <c r="AE572" s="24">
        <v>18408800.07</v>
      </c>
      <c r="AF572" s="8">
        <v>90</v>
      </c>
      <c r="AG572" s="8">
        <v>144</v>
      </c>
      <c r="AH572" s="8" t="s">
        <v>353</v>
      </c>
      <c r="AI572" s="8" t="s">
        <v>406</v>
      </c>
      <c r="AJ572" s="22">
        <v>0.69</v>
      </c>
      <c r="AK572" s="8" t="s">
        <v>152</v>
      </c>
      <c r="AL572" s="22">
        <v>0.05</v>
      </c>
      <c r="AM572" s="22">
        <v>0.09</v>
      </c>
      <c r="AN572" s="8">
        <v>10</v>
      </c>
      <c r="AO572" s="8">
        <v>688</v>
      </c>
      <c r="AP572" s="8">
        <v>1513842.58</v>
      </c>
      <c r="AQ572" s="24">
        <v>1513842.58</v>
      </c>
      <c r="AR572" s="8">
        <v>8758099.6899999995</v>
      </c>
      <c r="AS572" s="37">
        <v>8758099.6899999995</v>
      </c>
      <c r="AT572" s="8" t="s">
        <v>321</v>
      </c>
      <c r="AU572" s="8" t="s">
        <v>356</v>
      </c>
      <c r="AV572" s="8"/>
      <c r="AW572" s="8">
        <v>12</v>
      </c>
      <c r="AX572" s="8" t="s">
        <v>323</v>
      </c>
      <c r="AY572" s="8" t="s">
        <v>206</v>
      </c>
      <c r="AZ572" s="8" t="s">
        <v>357</v>
      </c>
      <c r="BA572" s="21">
        <f>IF(OR(tblsales[[#This Row],[Invoice Value USD]]="",tblsales[[#This Row],[Collected Amount USD]]=""),"",tblsales[[#This Row],[Invoice Value USD]]-tblsales[[#This Row],[Collected Amount USD]])</f>
        <v>9136920.4100000001</v>
      </c>
      <c r="BB572" s="21">
        <f>IF(OR(tblsales[[#This Row],[Contract Value USD]]="",tblsales[[#This Row],[Cost Estimate USD]]=""),"",tblsales[[#This Row],[Contract Value USD]]-tblsales[[#This Row],[Cost Estimate USD]])</f>
        <v>13690577.800000004</v>
      </c>
      <c r="BC572" s="21">
        <f>IF(OR(tblsales[[#This Row],[Contract Value USD]]="",tblsales[[#This Row],[Cost Estimate USD]]=""),"",tblsales[[#This Row],[Contract Value USD]]-tblsales[[#This Row],[Cost Estimate USD]])</f>
        <v>13690577.800000004</v>
      </c>
      <c r="BD572" s="23">
        <f>IF(tblsales[[#This Row],[Invoice Value USD]]="","",tblsales[[#This Row],[Collected Amount USD]]/tblsales[[#This Row],[Invoice Value USD]])</f>
        <v>0.6682998211415816</v>
      </c>
      <c r="BE572" s="11">
        <f>IF(tblsales[[#This Row],[SalesStage]]="Won",1,0)</f>
        <v>0</v>
      </c>
      <c r="BF572" s="21" t="str">
        <f>IF(tblsales[[#This Row],[Win Flag]]=1,"Won","Lost")</f>
        <v>Lost</v>
      </c>
      <c r="BG572" s="8"/>
    </row>
    <row r="573" spans="1:59" x14ac:dyDescent="0.3">
      <c r="A573" s="10" t="s">
        <v>2018</v>
      </c>
      <c r="B573" s="9">
        <v>45821</v>
      </c>
      <c r="C573" s="10" t="s">
        <v>269</v>
      </c>
      <c r="D573" s="10" t="s">
        <v>220</v>
      </c>
      <c r="E573" s="10" t="s">
        <v>113</v>
      </c>
      <c r="F573" s="10" t="s">
        <v>367</v>
      </c>
      <c r="G573" s="10" t="s">
        <v>28</v>
      </c>
      <c r="H573" s="10" t="s">
        <v>212</v>
      </c>
      <c r="I573" s="10" t="s">
        <v>246</v>
      </c>
      <c r="J573" s="10" t="s">
        <v>127</v>
      </c>
      <c r="K573" s="10" t="s">
        <v>210</v>
      </c>
      <c r="L573" s="10" t="s">
        <v>2019</v>
      </c>
      <c r="M573" s="9">
        <v>45692</v>
      </c>
      <c r="N573" s="9"/>
      <c r="O573" s="9"/>
      <c r="P573" s="11">
        <v>36</v>
      </c>
      <c r="Q573" s="12">
        <v>3532765</v>
      </c>
      <c r="R573">
        <v>3532765</v>
      </c>
      <c r="S573" s="22">
        <v>0.19</v>
      </c>
      <c r="T573" s="22">
        <v>0.11</v>
      </c>
      <c r="U573" s="12">
        <v>3176309.01</v>
      </c>
      <c r="V573" s="24">
        <v>3176309.01</v>
      </c>
      <c r="W573" s="8">
        <v>2343285.19</v>
      </c>
      <c r="X573" s="24">
        <v>2343285.19</v>
      </c>
      <c r="Y573" s="22">
        <v>0.32</v>
      </c>
      <c r="Z573" s="22">
        <v>0.19</v>
      </c>
      <c r="AA573" s="8" t="s">
        <v>2020</v>
      </c>
      <c r="AB573" s="8">
        <v>2828685.11</v>
      </c>
      <c r="AC573" s="24">
        <v>2828685.11</v>
      </c>
      <c r="AD573" s="8">
        <v>2913412.37</v>
      </c>
      <c r="AE573" s="24">
        <v>2913412.37</v>
      </c>
      <c r="AF573" s="8">
        <v>45</v>
      </c>
      <c r="AG573" s="8">
        <v>145</v>
      </c>
      <c r="AH573" s="8" t="s">
        <v>347</v>
      </c>
      <c r="AI573" s="8" t="s">
        <v>455</v>
      </c>
      <c r="AJ573" s="22">
        <v>0.52</v>
      </c>
      <c r="AK573" s="8" t="s">
        <v>152</v>
      </c>
      <c r="AL573" s="22">
        <v>0.1</v>
      </c>
      <c r="AM573" s="22">
        <v>0.09</v>
      </c>
      <c r="AN573" s="8">
        <v>13</v>
      </c>
      <c r="AO573" s="8">
        <v>1097</v>
      </c>
      <c r="AP573" s="8">
        <v>577315.80000000005</v>
      </c>
      <c r="AQ573" s="24">
        <v>577315.80000000005</v>
      </c>
      <c r="AR573" s="8">
        <v>1105910.28</v>
      </c>
      <c r="AS573" s="37">
        <v>1105910.28</v>
      </c>
      <c r="AT573" s="8" t="s">
        <v>321</v>
      </c>
      <c r="AU573" s="8" t="s">
        <v>348</v>
      </c>
      <c r="AV573" s="8">
        <v>70.3</v>
      </c>
      <c r="AW573" s="8"/>
      <c r="AX573" s="8" t="s">
        <v>337</v>
      </c>
      <c r="AY573" s="8" t="s">
        <v>186</v>
      </c>
      <c r="AZ573" s="8" t="s">
        <v>324</v>
      </c>
      <c r="BA573" s="21">
        <f>IF(OR(tblsales[[#This Row],[Invoice Value USD]]="",tblsales[[#This Row],[Collected Amount USD]]=""),"",tblsales[[#This Row],[Invoice Value USD]]-tblsales[[#This Row],[Collected Amount USD]])</f>
        <v>-84727.260000000242</v>
      </c>
      <c r="BB573" s="21">
        <f>IF(OR(tblsales[[#This Row],[Contract Value USD]]="",tblsales[[#This Row],[Cost Estimate USD]]=""),"",tblsales[[#This Row],[Contract Value USD]]-tblsales[[#This Row],[Cost Estimate USD]])</f>
        <v>833023.81999999983</v>
      </c>
      <c r="BC573" s="21">
        <f>IF(OR(tblsales[[#This Row],[Contract Value USD]]="",tblsales[[#This Row],[Cost Estimate USD]]=""),"",tblsales[[#This Row],[Contract Value USD]]-tblsales[[#This Row],[Cost Estimate USD]])</f>
        <v>833023.81999999983</v>
      </c>
      <c r="BD573" s="23">
        <f>IF(tblsales[[#This Row],[Invoice Value USD]]="","",tblsales[[#This Row],[Collected Amount USD]]/tblsales[[#This Row],[Invoice Value USD]])</f>
        <v>1.029952877999913</v>
      </c>
      <c r="BE573" s="11">
        <f>IF(tblsales[[#This Row],[SalesStage]]="Won",1,0)</f>
        <v>0</v>
      </c>
      <c r="BF573" s="21" t="str">
        <f>IF(tblsales[[#This Row],[Win Flag]]=1,"Won","Lost")</f>
        <v>Lost</v>
      </c>
      <c r="BG573" s="8"/>
    </row>
    <row r="574" spans="1:59" x14ac:dyDescent="0.3">
      <c r="A574" s="10" t="s">
        <v>2021</v>
      </c>
      <c r="B574" s="9">
        <v>45748</v>
      </c>
      <c r="C574" s="10" t="s">
        <v>217</v>
      </c>
      <c r="D574" s="10" t="s">
        <v>242</v>
      </c>
      <c r="E574" s="10" t="s">
        <v>20</v>
      </c>
      <c r="F574" s="10" t="s">
        <v>196</v>
      </c>
      <c r="G574" s="10" t="s">
        <v>57</v>
      </c>
      <c r="H574" s="10" t="s">
        <v>263</v>
      </c>
      <c r="I574" s="10" t="s">
        <v>246</v>
      </c>
      <c r="J574" s="10" t="s">
        <v>136</v>
      </c>
      <c r="K574" s="10" t="s">
        <v>210</v>
      </c>
      <c r="L574" s="10" t="s">
        <v>2022</v>
      </c>
      <c r="M574" s="9">
        <v>45514</v>
      </c>
      <c r="N574" s="9">
        <v>45676</v>
      </c>
      <c r="O574" s="9"/>
      <c r="P574" s="11">
        <v>25</v>
      </c>
      <c r="Q574" s="12">
        <v>42311561</v>
      </c>
      <c r="R574">
        <v>11622985.806700001</v>
      </c>
      <c r="S574" s="22">
        <v>0.17</v>
      </c>
      <c r="T574" s="22">
        <v>0.13</v>
      </c>
      <c r="U574" s="12">
        <v>39684013.060000002</v>
      </c>
      <c r="V574" s="24">
        <v>10901198.387582</v>
      </c>
      <c r="W574" s="8">
        <v>24325138.170000002</v>
      </c>
      <c r="X574" s="24">
        <v>6682115.4552990003</v>
      </c>
      <c r="Y574" s="22">
        <v>0.19</v>
      </c>
      <c r="Z574" s="22">
        <v>0.19</v>
      </c>
      <c r="AA574" s="8" t="s">
        <v>2023</v>
      </c>
      <c r="AB574" s="8">
        <v>27013314.710000001</v>
      </c>
      <c r="AC574" s="24">
        <v>7420557.5508369999</v>
      </c>
      <c r="AD574" s="8">
        <v>16019552.43</v>
      </c>
      <c r="AE574" s="24">
        <v>4400571.0525209997</v>
      </c>
      <c r="AF574" s="8">
        <v>45</v>
      </c>
      <c r="AG574" s="8">
        <v>11</v>
      </c>
      <c r="AH574" s="8" t="s">
        <v>332</v>
      </c>
      <c r="AI574" s="8" t="s">
        <v>455</v>
      </c>
      <c r="AJ574" s="22">
        <v>0.45</v>
      </c>
      <c r="AK574" s="8" t="s">
        <v>155</v>
      </c>
      <c r="AL574" s="22">
        <v>0.05</v>
      </c>
      <c r="AM574" s="22">
        <v>0.06</v>
      </c>
      <c r="AN574" s="8">
        <v>4</v>
      </c>
      <c r="AO574" s="8">
        <v>2781</v>
      </c>
      <c r="AP574" s="8">
        <v>4963979.92</v>
      </c>
      <c r="AQ574" s="24">
        <v>1363605.2840239999</v>
      </c>
      <c r="AR574" s="8">
        <v>4827781.4800000004</v>
      </c>
      <c r="AS574" s="37">
        <v>1326191.5725560002</v>
      </c>
      <c r="AT574" s="8" t="s">
        <v>391</v>
      </c>
      <c r="AU574" s="8" t="s">
        <v>386</v>
      </c>
      <c r="AV574" s="8">
        <v>51.1</v>
      </c>
      <c r="AW574" s="8">
        <v>48</v>
      </c>
      <c r="AX574" s="8" t="s">
        <v>332</v>
      </c>
      <c r="AY574" s="8" t="s">
        <v>192</v>
      </c>
      <c r="AZ574" s="8" t="s">
        <v>361</v>
      </c>
      <c r="BA574" s="21">
        <f>IF(OR(tblsales[[#This Row],[Invoice Value USD]]="",tblsales[[#This Row],[Collected Amount USD]]=""),"",tblsales[[#This Row],[Invoice Value USD]]-tblsales[[#This Row],[Collected Amount USD]])</f>
        <v>3019986.4983160002</v>
      </c>
      <c r="BB574" s="21">
        <f>IF(OR(tblsales[[#This Row],[Contract Value USD]]="",tblsales[[#This Row],[Cost Estimate USD]]=""),"",tblsales[[#This Row],[Contract Value USD]]-tblsales[[#This Row],[Cost Estimate USD]])</f>
        <v>4219082.9322830001</v>
      </c>
      <c r="BC574" s="21">
        <f>IF(OR(tblsales[[#This Row],[Contract Value USD]]="",tblsales[[#This Row],[Cost Estimate USD]]=""),"",tblsales[[#This Row],[Contract Value USD]]-tblsales[[#This Row],[Cost Estimate USD]])</f>
        <v>4219082.9322830001</v>
      </c>
      <c r="BD574" s="23">
        <f>IF(tblsales[[#This Row],[Invoice Value USD]]="","",tblsales[[#This Row],[Collected Amount USD]]/tblsales[[#This Row],[Invoice Value USD]])</f>
        <v>0.5930243141938355</v>
      </c>
      <c r="BE574" s="11">
        <f>IF(tblsales[[#This Row],[SalesStage]]="Won",1,0)</f>
        <v>0</v>
      </c>
      <c r="BF574" s="21" t="str">
        <f>IF(tblsales[[#This Row],[Win Flag]]=1,"Won","Lost")</f>
        <v>Lost</v>
      </c>
      <c r="BG574" s="8"/>
    </row>
    <row r="575" spans="1:59" x14ac:dyDescent="0.3">
      <c r="A575" s="10" t="s">
        <v>2024</v>
      </c>
      <c r="B575" s="9">
        <v>45695</v>
      </c>
      <c r="C575" s="10" t="s">
        <v>286</v>
      </c>
      <c r="D575" s="10" t="s">
        <v>190</v>
      </c>
      <c r="E575" s="10" t="s">
        <v>113</v>
      </c>
      <c r="F575" s="10" t="s">
        <v>181</v>
      </c>
      <c r="G575" s="10" t="s">
        <v>78</v>
      </c>
      <c r="H575" s="10" t="s">
        <v>182</v>
      </c>
      <c r="I575" s="10" t="s">
        <v>246</v>
      </c>
      <c r="J575" s="10" t="s">
        <v>111</v>
      </c>
      <c r="K575" s="10" t="s">
        <v>223</v>
      </c>
      <c r="L575" s="10" t="s">
        <v>2025</v>
      </c>
      <c r="M575" s="9">
        <v>45796</v>
      </c>
      <c r="N575" s="9">
        <v>45884</v>
      </c>
      <c r="O575" s="9">
        <v>45923</v>
      </c>
      <c r="P575" s="11">
        <v>6</v>
      </c>
      <c r="Q575" s="12">
        <v>46181968</v>
      </c>
      <c r="R575">
        <v>46181968</v>
      </c>
      <c r="S575" s="22">
        <v>0.32</v>
      </c>
      <c r="T575" s="22">
        <v>0.09</v>
      </c>
      <c r="U575" s="12">
        <v>34230074.68</v>
      </c>
      <c r="V575" s="24">
        <v>34230074.68</v>
      </c>
      <c r="W575" s="8">
        <v>26511347</v>
      </c>
      <c r="X575" s="24">
        <v>26511347</v>
      </c>
      <c r="Y575" s="22">
        <v>0.35</v>
      </c>
      <c r="Z575" s="22">
        <v>0.16</v>
      </c>
      <c r="AA575" s="8" t="s">
        <v>2026</v>
      </c>
      <c r="AB575" s="8">
        <v>2923895.21</v>
      </c>
      <c r="AC575" s="24">
        <v>2923895.21</v>
      </c>
      <c r="AD575" s="8">
        <v>2231627.46</v>
      </c>
      <c r="AE575" s="24">
        <v>2231627.46</v>
      </c>
      <c r="AF575" s="8">
        <v>60</v>
      </c>
      <c r="AG575" s="8">
        <v>119</v>
      </c>
      <c r="AH575" s="8" t="s">
        <v>347</v>
      </c>
      <c r="AI575" s="8" t="s">
        <v>406</v>
      </c>
      <c r="AJ575" s="22">
        <v>0.95</v>
      </c>
      <c r="AK575" s="8" t="s">
        <v>152</v>
      </c>
      <c r="AL575" s="22">
        <v>0.05</v>
      </c>
      <c r="AM575" s="22">
        <v>0.1</v>
      </c>
      <c r="AN575" s="8">
        <v>2</v>
      </c>
      <c r="AO575" s="8">
        <v>3387</v>
      </c>
      <c r="AP575" s="8">
        <v>6857923.5999999996</v>
      </c>
      <c r="AQ575" s="24">
        <v>6857923.5999999996</v>
      </c>
      <c r="AR575" s="8">
        <v>12789846.050000001</v>
      </c>
      <c r="AS575" s="37">
        <v>12789846.050000001</v>
      </c>
      <c r="AT575" s="8" t="s">
        <v>391</v>
      </c>
      <c r="AU575" s="8" t="s">
        <v>322</v>
      </c>
      <c r="AV575" s="8"/>
      <c r="AW575" s="8">
        <v>60</v>
      </c>
      <c r="AX575" s="8" t="s">
        <v>337</v>
      </c>
      <c r="AY575" s="8" t="s">
        <v>186</v>
      </c>
      <c r="AZ575" s="8" t="s">
        <v>332</v>
      </c>
      <c r="BA575" s="21">
        <f>IF(OR(tblsales[[#This Row],[Invoice Value USD]]="",tblsales[[#This Row],[Collected Amount USD]]=""),"",tblsales[[#This Row],[Invoice Value USD]]-tblsales[[#This Row],[Collected Amount USD]])</f>
        <v>692267.75</v>
      </c>
      <c r="BB575" s="21">
        <f>IF(OR(tblsales[[#This Row],[Contract Value USD]]="",tblsales[[#This Row],[Cost Estimate USD]]=""),"",tblsales[[#This Row],[Contract Value USD]]-tblsales[[#This Row],[Cost Estimate USD]])</f>
        <v>7718727.6799999997</v>
      </c>
      <c r="BC575" s="21">
        <f>IF(OR(tblsales[[#This Row],[Contract Value USD]]="",tblsales[[#This Row],[Cost Estimate USD]]=""),"",tblsales[[#This Row],[Contract Value USD]]-tblsales[[#This Row],[Cost Estimate USD]])</f>
        <v>7718727.6799999997</v>
      </c>
      <c r="BD575" s="23">
        <f>IF(tblsales[[#This Row],[Invoice Value USD]]="","",tblsales[[#This Row],[Collected Amount USD]]/tblsales[[#This Row],[Invoice Value USD]])</f>
        <v>0.76323783847233018</v>
      </c>
      <c r="BE575" s="11">
        <f>IF(tblsales[[#This Row],[SalesStage]]="Won",1,0)</f>
        <v>0</v>
      </c>
      <c r="BF575" s="21" t="str">
        <f>IF(tblsales[[#This Row],[Win Flag]]=1,"Won","Lost")</f>
        <v>Lost</v>
      </c>
      <c r="BG575" s="8"/>
    </row>
    <row r="576" spans="1:59" x14ac:dyDescent="0.3">
      <c r="A576" s="10" t="s">
        <v>2027</v>
      </c>
      <c r="B576" s="9">
        <v>45818</v>
      </c>
      <c r="C576" s="10" t="s">
        <v>179</v>
      </c>
      <c r="D576" s="10" t="s">
        <v>562</v>
      </c>
      <c r="E576" s="10" t="s">
        <v>41</v>
      </c>
      <c r="F576" s="10" t="s">
        <v>350</v>
      </c>
      <c r="G576" s="10" t="s">
        <v>16</v>
      </c>
      <c r="H576" s="10" t="s">
        <v>197</v>
      </c>
      <c r="I576" s="10" t="s">
        <v>246</v>
      </c>
      <c r="J576" s="10" t="s">
        <v>105</v>
      </c>
      <c r="K576" s="10" t="s">
        <v>221</v>
      </c>
      <c r="L576" s="10" t="s">
        <v>2028</v>
      </c>
      <c r="M576" s="9">
        <v>45869</v>
      </c>
      <c r="N576" s="9"/>
      <c r="O576" s="9">
        <v>45978</v>
      </c>
      <c r="P576" s="11"/>
      <c r="Q576" s="12">
        <v>34051338</v>
      </c>
      <c r="R576">
        <v>34051338</v>
      </c>
      <c r="S576" s="22">
        <v>0.02</v>
      </c>
      <c r="T576" s="22">
        <v>0.03</v>
      </c>
      <c r="U576" s="12">
        <v>34371420.579999998</v>
      </c>
      <c r="V576" s="24">
        <v>34371420.579999998</v>
      </c>
      <c r="W576" s="8">
        <v>23402343.670000002</v>
      </c>
      <c r="X576" s="24">
        <v>23402343.670000002</v>
      </c>
      <c r="Y576" s="22">
        <v>0.34</v>
      </c>
      <c r="Z576" s="22">
        <v>0.1</v>
      </c>
      <c r="AA576" s="8" t="s">
        <v>2029</v>
      </c>
      <c r="AB576" s="8">
        <v>3176539.53</v>
      </c>
      <c r="AC576" s="24">
        <v>3176539.53</v>
      </c>
      <c r="AD576" s="8">
        <v>1515482.72</v>
      </c>
      <c r="AE576" s="24">
        <v>1515482.72</v>
      </c>
      <c r="AF576" s="8">
        <v>60</v>
      </c>
      <c r="AG576" s="8">
        <v>101</v>
      </c>
      <c r="AH576" s="8" t="s">
        <v>347</v>
      </c>
      <c r="AI576" s="8" t="s">
        <v>406</v>
      </c>
      <c r="AJ576" s="22">
        <v>0.78</v>
      </c>
      <c r="AK576" s="8" t="s">
        <v>152</v>
      </c>
      <c r="AL576" s="22">
        <v>0.15</v>
      </c>
      <c r="AM576" s="22">
        <v>0.03</v>
      </c>
      <c r="AN576" s="8">
        <v>13</v>
      </c>
      <c r="AO576" s="8">
        <v>4641</v>
      </c>
      <c r="AP576" s="8">
        <v>1418953.66</v>
      </c>
      <c r="AQ576" s="24">
        <v>1418953.66</v>
      </c>
      <c r="AR576" s="8">
        <v>15080115.08</v>
      </c>
      <c r="AS576" s="37">
        <v>15080115.08</v>
      </c>
      <c r="AT576" s="8" t="s">
        <v>332</v>
      </c>
      <c r="AU576" s="8" t="s">
        <v>356</v>
      </c>
      <c r="AV576" s="8">
        <v>58.5</v>
      </c>
      <c r="AW576" s="8">
        <v>60</v>
      </c>
      <c r="AX576" s="8" t="s">
        <v>387</v>
      </c>
      <c r="AY576" s="8" t="s">
        <v>206</v>
      </c>
      <c r="AZ576" s="8" t="s">
        <v>361</v>
      </c>
      <c r="BA576" s="21">
        <f>IF(OR(tblsales[[#This Row],[Invoice Value USD]]="",tblsales[[#This Row],[Collected Amount USD]]=""),"",tblsales[[#This Row],[Invoice Value USD]]-tblsales[[#This Row],[Collected Amount USD]])</f>
        <v>1661056.8099999998</v>
      </c>
      <c r="BB576" s="21">
        <f>IF(OR(tblsales[[#This Row],[Contract Value USD]]="",tblsales[[#This Row],[Cost Estimate USD]]=""),"",tblsales[[#This Row],[Contract Value USD]]-tblsales[[#This Row],[Cost Estimate USD]])</f>
        <v>10969076.909999996</v>
      </c>
      <c r="BC576" s="21">
        <f>IF(OR(tblsales[[#This Row],[Contract Value USD]]="",tblsales[[#This Row],[Cost Estimate USD]]=""),"",tblsales[[#This Row],[Contract Value USD]]-tblsales[[#This Row],[Cost Estimate USD]])</f>
        <v>10969076.909999996</v>
      </c>
      <c r="BD576" s="23">
        <f>IF(tblsales[[#This Row],[Invoice Value USD]]="","",tblsales[[#This Row],[Collected Amount USD]]/tblsales[[#This Row],[Invoice Value USD]])</f>
        <v>0.47708605722907532</v>
      </c>
      <c r="BE576" s="11">
        <f>IF(tblsales[[#This Row],[SalesStage]]="Won",1,0)</f>
        <v>0</v>
      </c>
      <c r="BF576" s="21" t="str">
        <f>IF(tblsales[[#This Row],[Win Flag]]=1,"Won","Lost")</f>
        <v>Lost</v>
      </c>
      <c r="BG576" s="8"/>
    </row>
    <row r="577" spans="1:59" x14ac:dyDescent="0.3">
      <c r="A577" s="10" t="s">
        <v>2030</v>
      </c>
      <c r="B577" s="9">
        <v>45706</v>
      </c>
      <c r="C577" s="10" t="s">
        <v>271</v>
      </c>
      <c r="D577" s="10" t="s">
        <v>202</v>
      </c>
      <c r="E577" s="10" t="s">
        <v>332</v>
      </c>
      <c r="F577" s="10" t="s">
        <v>181</v>
      </c>
      <c r="G577" s="10" t="s">
        <v>73</v>
      </c>
      <c r="H577" s="10" t="s">
        <v>182</v>
      </c>
      <c r="I577" s="10" t="s">
        <v>191</v>
      </c>
      <c r="J577" s="10" t="s">
        <v>99</v>
      </c>
      <c r="K577" s="10" t="s">
        <v>199</v>
      </c>
      <c r="L577" s="10" t="s">
        <v>2031</v>
      </c>
      <c r="M577" s="9">
        <v>45658</v>
      </c>
      <c r="N577" s="9">
        <v>45751</v>
      </c>
      <c r="O577" s="9">
        <v>45752</v>
      </c>
      <c r="P577" s="11">
        <v>24</v>
      </c>
      <c r="Q577" s="12">
        <v>33323639</v>
      </c>
      <c r="R577">
        <v>9074026.899699999</v>
      </c>
      <c r="S577" s="22">
        <v>0.33</v>
      </c>
      <c r="T577" s="22">
        <v>0.01</v>
      </c>
      <c r="U577" s="12">
        <v>22550106.510000002</v>
      </c>
      <c r="V577" s="24">
        <v>6140394.0026730001</v>
      </c>
      <c r="W577" s="8">
        <v>19830985.68</v>
      </c>
      <c r="X577" s="24">
        <v>5399977.4006639998</v>
      </c>
      <c r="Y577" s="22">
        <v>0.06</v>
      </c>
      <c r="Z577" s="22">
        <v>0.12</v>
      </c>
      <c r="AA577" s="8" t="s">
        <v>2032</v>
      </c>
      <c r="AB577" s="8">
        <v>14342067.68</v>
      </c>
      <c r="AC577" s="24">
        <v>3905345.0292639998</v>
      </c>
      <c r="AD577" s="8">
        <v>10760043.710000001</v>
      </c>
      <c r="AE577" s="24">
        <v>2929959.9022329999</v>
      </c>
      <c r="AF577" s="8">
        <v>30</v>
      </c>
      <c r="AG577" s="8">
        <v>180</v>
      </c>
      <c r="AH577" s="8" t="s">
        <v>347</v>
      </c>
      <c r="AI577" s="8" t="s">
        <v>226</v>
      </c>
      <c r="AJ577" s="22">
        <v>0.12</v>
      </c>
      <c r="AK577" s="8" t="s">
        <v>153</v>
      </c>
      <c r="AL577" s="22">
        <v>0.05</v>
      </c>
      <c r="AM577" s="22">
        <v>7.0000000000000007E-2</v>
      </c>
      <c r="AN577" s="8">
        <v>11</v>
      </c>
      <c r="AO577" s="8">
        <v>3851</v>
      </c>
      <c r="AP577" s="8">
        <v>3812038.59</v>
      </c>
      <c r="AQ577" s="24">
        <v>1038018.1080569999</v>
      </c>
      <c r="AR577" s="8">
        <v>8141066.1699999999</v>
      </c>
      <c r="AS577" s="37">
        <v>2216812.318091</v>
      </c>
      <c r="AT577" s="8" t="s">
        <v>343</v>
      </c>
      <c r="AU577" s="8" t="s">
        <v>330</v>
      </c>
      <c r="AV577" s="8">
        <v>50.3</v>
      </c>
      <c r="AW577" s="8">
        <v>48</v>
      </c>
      <c r="AX577" s="8" t="s">
        <v>387</v>
      </c>
      <c r="AY577" s="8" t="s">
        <v>229</v>
      </c>
      <c r="AZ577" s="8" t="s">
        <v>332</v>
      </c>
      <c r="BA577" s="21">
        <f>IF(OR(tblsales[[#This Row],[Invoice Value USD]]="",tblsales[[#This Row],[Collected Amount USD]]=""),"",tblsales[[#This Row],[Invoice Value USD]]-tblsales[[#This Row],[Collected Amount USD]])</f>
        <v>975385.12703099987</v>
      </c>
      <c r="BB577" s="21">
        <f>IF(OR(tblsales[[#This Row],[Contract Value USD]]="",tblsales[[#This Row],[Cost Estimate USD]]=""),"",tblsales[[#This Row],[Contract Value USD]]-tblsales[[#This Row],[Cost Estimate USD]])</f>
        <v>740416.60200900026</v>
      </c>
      <c r="BC577" s="21">
        <f>IF(OR(tblsales[[#This Row],[Contract Value USD]]="",tblsales[[#This Row],[Cost Estimate USD]]=""),"",tblsales[[#This Row],[Contract Value USD]]-tblsales[[#This Row],[Cost Estimate USD]])</f>
        <v>740416.60200900026</v>
      </c>
      <c r="BD577" s="23">
        <f>IF(tblsales[[#This Row],[Invoice Value USD]]="","",tblsales[[#This Row],[Collected Amount USD]]/tblsales[[#This Row],[Invoice Value USD]])</f>
        <v>0.75024354577582086</v>
      </c>
      <c r="BE577" s="11">
        <f>IF(tblsales[[#This Row],[SalesStage]]="Won",1,0)</f>
        <v>0</v>
      </c>
      <c r="BF577" s="21" t="str">
        <f>IF(tblsales[[#This Row],[Win Flag]]=1,"Won","Lost")</f>
        <v>Lost</v>
      </c>
      <c r="BG577" s="8"/>
    </row>
    <row r="578" spans="1:59" x14ac:dyDescent="0.3">
      <c r="A578" s="10" t="s">
        <v>2033</v>
      </c>
      <c r="B578" s="9">
        <v>46061</v>
      </c>
      <c r="C578" s="10" t="s">
        <v>269</v>
      </c>
      <c r="D578" s="10" t="s">
        <v>332</v>
      </c>
      <c r="E578" s="10" t="s">
        <v>41</v>
      </c>
      <c r="F578" s="10" t="s">
        <v>350</v>
      </c>
      <c r="G578" s="10" t="s">
        <v>62</v>
      </c>
      <c r="H578" s="10" t="s">
        <v>216</v>
      </c>
      <c r="I578" s="10" t="s">
        <v>203</v>
      </c>
      <c r="J578" s="10" t="s">
        <v>105</v>
      </c>
      <c r="K578" s="10" t="s">
        <v>326</v>
      </c>
      <c r="L578" s="10" t="s">
        <v>2034</v>
      </c>
      <c r="M578" s="9">
        <v>46235</v>
      </c>
      <c r="N578" s="9">
        <v>46085</v>
      </c>
      <c r="O578" s="9">
        <v>46331</v>
      </c>
      <c r="P578" s="11">
        <v>8</v>
      </c>
      <c r="Q578" s="12">
        <v>49834847</v>
      </c>
      <c r="R578">
        <v>13570028.838099999</v>
      </c>
      <c r="S578" s="22">
        <v>0.28999999999999998</v>
      </c>
      <c r="T578" s="22">
        <v>-0.03</v>
      </c>
      <c r="U578" s="12">
        <v>34321259.130000003</v>
      </c>
      <c r="V578" s="24">
        <v>9345678.861099001</v>
      </c>
      <c r="W578" s="8">
        <v>26653919.829999998</v>
      </c>
      <c r="X578" s="24">
        <v>7257862.3697089991</v>
      </c>
      <c r="Y578" s="22">
        <v>0.18</v>
      </c>
      <c r="Z578" s="22">
        <v>7.0000000000000007E-2</v>
      </c>
      <c r="AA578" s="8" t="s">
        <v>2035</v>
      </c>
      <c r="AB578" s="8">
        <v>18085452.02</v>
      </c>
      <c r="AC578" s="24">
        <v>4924668.5850459998</v>
      </c>
      <c r="AD578" s="8">
        <v>12841144.41</v>
      </c>
      <c r="AE578" s="24">
        <v>3496643.6228429996</v>
      </c>
      <c r="AF578" s="8">
        <v>30</v>
      </c>
      <c r="AG578" s="8">
        <v>31</v>
      </c>
      <c r="AH578" s="8" t="s">
        <v>353</v>
      </c>
      <c r="AI578" s="8" t="s">
        <v>226</v>
      </c>
      <c r="AJ578" s="22">
        <v>7.0000000000000007E-2</v>
      </c>
      <c r="AK578" s="8" t="s">
        <v>153</v>
      </c>
      <c r="AL578" s="22">
        <v>0.15</v>
      </c>
      <c r="AM578" s="22">
        <v>0.09</v>
      </c>
      <c r="AN578" s="8">
        <v>7</v>
      </c>
      <c r="AO578" s="8">
        <v>3296</v>
      </c>
      <c r="AP578" s="8">
        <v>908807.08</v>
      </c>
      <c r="AQ578" s="24">
        <v>247468.16788399997</v>
      </c>
      <c r="AR578" s="8">
        <v>6209132.4000000004</v>
      </c>
      <c r="AS578" s="37">
        <v>1690746.7525200001</v>
      </c>
      <c r="AT578" s="8" t="s">
        <v>332</v>
      </c>
      <c r="AU578" s="8" t="s">
        <v>321</v>
      </c>
      <c r="AV578" s="8">
        <v>66.8</v>
      </c>
      <c r="AW578" s="8">
        <v>60</v>
      </c>
      <c r="AX578" s="8" t="s">
        <v>332</v>
      </c>
      <c r="AY578" s="8" t="s">
        <v>224</v>
      </c>
      <c r="AZ578" s="8" t="s">
        <v>332</v>
      </c>
      <c r="BA578" s="21">
        <f>IF(OR(tblsales[[#This Row],[Invoice Value USD]]="",tblsales[[#This Row],[Collected Amount USD]]=""),"",tblsales[[#This Row],[Invoice Value USD]]-tblsales[[#This Row],[Collected Amount USD]])</f>
        <v>1428024.9622030002</v>
      </c>
      <c r="BB578" s="21">
        <f>IF(OR(tblsales[[#This Row],[Contract Value USD]]="",tblsales[[#This Row],[Cost Estimate USD]]=""),"",tblsales[[#This Row],[Contract Value USD]]-tblsales[[#This Row],[Cost Estimate USD]])</f>
        <v>2087816.491390002</v>
      </c>
      <c r="BC578" s="21">
        <f>IF(OR(tblsales[[#This Row],[Contract Value USD]]="",tblsales[[#This Row],[Cost Estimate USD]]=""),"",tblsales[[#This Row],[Contract Value USD]]-tblsales[[#This Row],[Cost Estimate USD]])</f>
        <v>2087816.491390002</v>
      </c>
      <c r="BD578" s="23">
        <f>IF(tblsales[[#This Row],[Invoice Value USD]]="","",tblsales[[#This Row],[Collected Amount USD]]/tblsales[[#This Row],[Invoice Value USD]])</f>
        <v>0.71002617992624539</v>
      </c>
      <c r="BE578" s="11">
        <f>IF(tblsales[[#This Row],[SalesStage]]="Won",1,0)</f>
        <v>0</v>
      </c>
      <c r="BF578" s="21" t="str">
        <f>IF(tblsales[[#This Row],[Win Flag]]=1,"Won","Lost")</f>
        <v>Lost</v>
      </c>
      <c r="BG578" s="8"/>
    </row>
    <row r="579" spans="1:59" x14ac:dyDescent="0.3">
      <c r="A579" s="10" t="s">
        <v>2036</v>
      </c>
      <c r="B579" s="9">
        <v>45734</v>
      </c>
      <c r="C579" s="10" t="s">
        <v>214</v>
      </c>
      <c r="D579" s="10" t="s">
        <v>190</v>
      </c>
      <c r="E579" s="10" t="s">
        <v>332</v>
      </c>
      <c r="F579" s="10" t="s">
        <v>19</v>
      </c>
      <c r="G579" s="10" t="s">
        <v>57</v>
      </c>
      <c r="H579" s="10" t="s">
        <v>332</v>
      </c>
      <c r="I579" s="10" t="s">
        <v>203</v>
      </c>
      <c r="J579" s="10" t="s">
        <v>99</v>
      </c>
      <c r="K579" s="10" t="s">
        <v>333</v>
      </c>
      <c r="L579" s="10" t="s">
        <v>2037</v>
      </c>
      <c r="M579" s="9">
        <v>45700</v>
      </c>
      <c r="N579" s="9">
        <v>45769</v>
      </c>
      <c r="O579" s="9">
        <v>45826</v>
      </c>
      <c r="P579" s="11">
        <v>31</v>
      </c>
      <c r="Q579" s="12">
        <v>2677581</v>
      </c>
      <c r="R579">
        <v>729105.30629999994</v>
      </c>
      <c r="S579" s="22">
        <v>0.13</v>
      </c>
      <c r="T579" s="22">
        <v>0.15</v>
      </c>
      <c r="U579" s="12">
        <v>2678919.79</v>
      </c>
      <c r="V579" s="24">
        <v>729469.85881699994</v>
      </c>
      <c r="W579" s="8">
        <v>1834111.43</v>
      </c>
      <c r="X579" s="24">
        <v>499428.54238899995</v>
      </c>
      <c r="Y579" s="22">
        <v>0.13</v>
      </c>
      <c r="Z579" s="22">
        <v>0.18</v>
      </c>
      <c r="AA579" s="8" t="s">
        <v>2038</v>
      </c>
      <c r="AB579" s="8">
        <v>2056488.67</v>
      </c>
      <c r="AC579" s="24">
        <v>559981.86484099994</v>
      </c>
      <c r="AD579" s="8">
        <v>2214319.04</v>
      </c>
      <c r="AE579" s="24">
        <v>602959.07459199999</v>
      </c>
      <c r="AF579" s="8">
        <v>60</v>
      </c>
      <c r="AG579" s="8">
        <v>103</v>
      </c>
      <c r="AH579" s="8" t="s">
        <v>329</v>
      </c>
      <c r="AI579" s="8" t="s">
        <v>381</v>
      </c>
      <c r="AJ579" s="22">
        <v>0.28000000000000003</v>
      </c>
      <c r="AK579" s="8" t="s">
        <v>153</v>
      </c>
      <c r="AL579" s="22">
        <v>0.15</v>
      </c>
      <c r="AM579" s="22">
        <v>0.09</v>
      </c>
      <c r="AN579" s="8">
        <v>14</v>
      </c>
      <c r="AO579" s="8">
        <v>4409</v>
      </c>
      <c r="AP579" s="8">
        <v>291800.2</v>
      </c>
      <c r="AQ579" s="24">
        <v>79457.194459999999</v>
      </c>
      <c r="AR579" s="8">
        <v>771181.47</v>
      </c>
      <c r="AS579" s="37">
        <v>209992.71428099999</v>
      </c>
      <c r="AT579" s="8" t="s">
        <v>73</v>
      </c>
      <c r="AU579" s="8" t="s">
        <v>348</v>
      </c>
      <c r="AV579" s="8">
        <v>83.3</v>
      </c>
      <c r="AW579" s="8">
        <v>36</v>
      </c>
      <c r="AX579" s="8" t="s">
        <v>332</v>
      </c>
      <c r="AY579" s="8" t="s">
        <v>229</v>
      </c>
      <c r="AZ579" s="8" t="s">
        <v>357</v>
      </c>
      <c r="BA579" s="21">
        <f>IF(OR(tblsales[[#This Row],[Invoice Value USD]]="",tblsales[[#This Row],[Collected Amount USD]]=""),"",tblsales[[#This Row],[Invoice Value USD]]-tblsales[[#This Row],[Collected Amount USD]])</f>
        <v>-42977.209751000046</v>
      </c>
      <c r="BB579" s="21">
        <f>IF(OR(tblsales[[#This Row],[Contract Value USD]]="",tblsales[[#This Row],[Cost Estimate USD]]=""),"",tblsales[[#This Row],[Contract Value USD]]-tblsales[[#This Row],[Cost Estimate USD]])</f>
        <v>230041.31642799999</v>
      </c>
      <c r="BC579" s="21">
        <f>IF(OR(tblsales[[#This Row],[Contract Value USD]]="",tblsales[[#This Row],[Cost Estimate USD]]=""),"",tblsales[[#This Row],[Contract Value USD]]-tblsales[[#This Row],[Cost Estimate USD]])</f>
        <v>230041.31642799999</v>
      </c>
      <c r="BD579" s="23">
        <f>IF(tblsales[[#This Row],[Invoice Value USD]]="","",tblsales[[#This Row],[Collected Amount USD]]/tblsales[[#This Row],[Invoice Value USD]])</f>
        <v>1.0767475028199402</v>
      </c>
      <c r="BE579" s="11">
        <f>IF(tblsales[[#This Row],[SalesStage]]="Won",1,0)</f>
        <v>0</v>
      </c>
      <c r="BF579" s="21" t="str">
        <f>IF(tblsales[[#This Row],[Win Flag]]=1,"Won","Lost")</f>
        <v>Lost</v>
      </c>
      <c r="BG579" s="8"/>
    </row>
    <row r="580" spans="1:59" x14ac:dyDescent="0.3">
      <c r="A580" s="10" t="s">
        <v>2039</v>
      </c>
      <c r="B580" s="9">
        <v>45966</v>
      </c>
      <c r="C580" s="10" t="s">
        <v>195</v>
      </c>
      <c r="D580" s="10" t="s">
        <v>220</v>
      </c>
      <c r="E580" s="10" t="s">
        <v>20</v>
      </c>
      <c r="F580" s="10" t="s">
        <v>196</v>
      </c>
      <c r="G580" s="10" t="s">
        <v>16</v>
      </c>
      <c r="H580" s="10" t="s">
        <v>216</v>
      </c>
      <c r="I580" s="10" t="s">
        <v>203</v>
      </c>
      <c r="J580" s="10" t="s">
        <v>136</v>
      </c>
      <c r="K580" s="10" t="s">
        <v>333</v>
      </c>
      <c r="L580" s="10" t="s">
        <v>2040</v>
      </c>
      <c r="M580" s="9">
        <v>45731</v>
      </c>
      <c r="N580" s="9"/>
      <c r="O580" s="9">
        <v>45695</v>
      </c>
      <c r="P580" s="11">
        <v>6</v>
      </c>
      <c r="Q580" s="12">
        <v>28773998</v>
      </c>
      <c r="R580">
        <v>28773998</v>
      </c>
      <c r="S580" s="22">
        <v>0.23</v>
      </c>
      <c r="T580" s="22">
        <v>-0.02</v>
      </c>
      <c r="U580" s="12">
        <v>21712858.890000001</v>
      </c>
      <c r="V580" s="24">
        <v>21712858.890000001</v>
      </c>
      <c r="W580" s="8">
        <v>17428065.84</v>
      </c>
      <c r="X580" s="24">
        <v>17428065.84</v>
      </c>
      <c r="Y580" s="22">
        <v>0.38</v>
      </c>
      <c r="Z580" s="22">
        <v>0.09</v>
      </c>
      <c r="AA580" s="8" t="s">
        <v>2041</v>
      </c>
      <c r="AB580" s="8">
        <v>8127016.5099999998</v>
      </c>
      <c r="AC580" s="24">
        <v>8127016.5099999998</v>
      </c>
      <c r="AD580" s="8">
        <v>5629763.1299999999</v>
      </c>
      <c r="AE580" s="24">
        <v>5629763.1299999999</v>
      </c>
      <c r="AF580" s="8">
        <v>120</v>
      </c>
      <c r="AG580" s="8">
        <v>23</v>
      </c>
      <c r="AH580" s="8" t="s">
        <v>329</v>
      </c>
      <c r="AI580" s="8" t="s">
        <v>320</v>
      </c>
      <c r="AJ580" s="22">
        <v>0.57999999999999996</v>
      </c>
      <c r="AK580" s="8" t="s">
        <v>152</v>
      </c>
      <c r="AL580" s="22">
        <v>0.15</v>
      </c>
      <c r="AM580" s="22">
        <v>0.06</v>
      </c>
      <c r="AN580" s="8">
        <v>6</v>
      </c>
      <c r="AO580" s="8">
        <v>4837</v>
      </c>
      <c r="AP580" s="8">
        <v>4159792.42</v>
      </c>
      <c r="AQ580" s="24">
        <v>4159792.42</v>
      </c>
      <c r="AR580" s="8">
        <v>4175454.58</v>
      </c>
      <c r="AS580" s="37">
        <v>4175454.58</v>
      </c>
      <c r="AT580" s="8" t="s">
        <v>73</v>
      </c>
      <c r="AU580" s="8" t="s">
        <v>348</v>
      </c>
      <c r="AV580" s="8">
        <v>59.3</v>
      </c>
      <c r="AW580" s="8">
        <v>24</v>
      </c>
      <c r="AX580" s="8" t="s">
        <v>387</v>
      </c>
      <c r="AY580" s="8" t="s">
        <v>229</v>
      </c>
      <c r="AZ580" s="8" t="s">
        <v>188</v>
      </c>
      <c r="BA580" s="21">
        <f>IF(OR(tblsales[[#This Row],[Invoice Value USD]]="",tblsales[[#This Row],[Collected Amount USD]]=""),"",tblsales[[#This Row],[Invoice Value USD]]-tblsales[[#This Row],[Collected Amount USD]])</f>
        <v>2497253.38</v>
      </c>
      <c r="BB580" s="21">
        <f>IF(OR(tblsales[[#This Row],[Contract Value USD]]="",tblsales[[#This Row],[Cost Estimate USD]]=""),"",tblsales[[#This Row],[Contract Value USD]]-tblsales[[#This Row],[Cost Estimate USD]])</f>
        <v>4284793.0500000007</v>
      </c>
      <c r="BC580" s="21">
        <f>IF(OR(tblsales[[#This Row],[Contract Value USD]]="",tblsales[[#This Row],[Cost Estimate USD]]=""),"",tblsales[[#This Row],[Contract Value USD]]-tblsales[[#This Row],[Cost Estimate USD]])</f>
        <v>4284793.0500000007</v>
      </c>
      <c r="BD580" s="23">
        <f>IF(tblsales[[#This Row],[Invoice Value USD]]="","",tblsales[[#This Row],[Collected Amount USD]]/tblsales[[#This Row],[Invoice Value USD]])</f>
        <v>0.69272199989661398</v>
      </c>
      <c r="BE580" s="11">
        <f>IF(tblsales[[#This Row],[SalesStage]]="Won",1,0)</f>
        <v>1</v>
      </c>
      <c r="BF580" s="21" t="str">
        <f>IF(tblsales[[#This Row],[Win Flag]]=1,"Won","Lost")</f>
        <v>Won</v>
      </c>
      <c r="BG580" s="8"/>
    </row>
    <row r="581" spans="1:59" x14ac:dyDescent="0.3">
      <c r="A581" s="10" t="s">
        <v>2042</v>
      </c>
      <c r="B581" s="9">
        <v>45829</v>
      </c>
      <c r="C581" s="10" t="s">
        <v>243</v>
      </c>
      <c r="D581" s="10" t="s">
        <v>242</v>
      </c>
      <c r="E581" s="10" t="s">
        <v>52</v>
      </c>
      <c r="F581" s="10" t="s">
        <v>332</v>
      </c>
      <c r="G581" s="10" t="s">
        <v>70</v>
      </c>
      <c r="H581" s="10" t="s">
        <v>216</v>
      </c>
      <c r="I581" s="10" t="s">
        <v>246</v>
      </c>
      <c r="J581" s="10" t="s">
        <v>119</v>
      </c>
      <c r="K581" s="10" t="s">
        <v>221</v>
      </c>
      <c r="L581" s="10" t="s">
        <v>2043</v>
      </c>
      <c r="M581" s="9">
        <v>45775</v>
      </c>
      <c r="N581" s="9">
        <v>45755</v>
      </c>
      <c r="O581" s="9"/>
      <c r="P581" s="11">
        <v>25</v>
      </c>
      <c r="Q581" s="12">
        <v>741896</v>
      </c>
      <c r="R581">
        <v>741896</v>
      </c>
      <c r="S581" s="22">
        <v>0.28000000000000003</v>
      </c>
      <c r="T581" s="22">
        <v>0.09</v>
      </c>
      <c r="U581" s="12">
        <v>582239.98</v>
      </c>
      <c r="V581" s="24">
        <v>582239.98</v>
      </c>
      <c r="W581" s="8"/>
      <c r="X581" s="24"/>
      <c r="Y581" s="22">
        <v>0.36</v>
      </c>
      <c r="Z581" s="22">
        <v>0.12</v>
      </c>
      <c r="AA581" s="8" t="s">
        <v>2044</v>
      </c>
      <c r="AB581" s="8">
        <v>166152.39000000001</v>
      </c>
      <c r="AC581" s="24">
        <v>166152.39000000001</v>
      </c>
      <c r="AD581" s="8">
        <v>145711.79999999999</v>
      </c>
      <c r="AE581" s="24">
        <v>145711.79999999999</v>
      </c>
      <c r="AF581" s="8">
        <v>90</v>
      </c>
      <c r="AG581" s="8">
        <v>96</v>
      </c>
      <c r="AH581" s="8" t="s">
        <v>376</v>
      </c>
      <c r="AI581" s="8" t="s">
        <v>455</v>
      </c>
      <c r="AJ581" s="22">
        <v>0.84</v>
      </c>
      <c r="AK581" s="8" t="s">
        <v>152</v>
      </c>
      <c r="AL581" s="22">
        <v>0.15</v>
      </c>
      <c r="AM581" s="22">
        <v>7.0000000000000007E-2</v>
      </c>
      <c r="AN581" s="8">
        <v>10</v>
      </c>
      <c r="AO581" s="8">
        <v>3066</v>
      </c>
      <c r="AP581" s="8">
        <v>58828.3</v>
      </c>
      <c r="AQ581" s="24">
        <v>58828.3</v>
      </c>
      <c r="AR581" s="8">
        <v>263652.34000000003</v>
      </c>
      <c r="AS581" s="37">
        <v>263652.34000000003</v>
      </c>
      <c r="AT581" s="8" t="s">
        <v>391</v>
      </c>
      <c r="AU581" s="8" t="s">
        <v>321</v>
      </c>
      <c r="AV581" s="8">
        <v>75.8</v>
      </c>
      <c r="AW581" s="8">
        <v>24</v>
      </c>
      <c r="AX581" s="8" t="s">
        <v>387</v>
      </c>
      <c r="AY581" s="8" t="s">
        <v>206</v>
      </c>
      <c r="AZ581" s="8" t="s">
        <v>332</v>
      </c>
      <c r="BA581" s="21">
        <f>IF(OR(tblsales[[#This Row],[Invoice Value USD]]="",tblsales[[#This Row],[Collected Amount USD]]=""),"",tblsales[[#This Row],[Invoice Value USD]]-tblsales[[#This Row],[Collected Amount USD]])</f>
        <v>20440.590000000026</v>
      </c>
      <c r="BB581" s="21" t="str">
        <f>IF(OR(tblsales[[#This Row],[Contract Value USD]]="",tblsales[[#This Row],[Cost Estimate USD]]=""),"",tblsales[[#This Row],[Contract Value USD]]-tblsales[[#This Row],[Cost Estimate USD]])</f>
        <v/>
      </c>
      <c r="BC581" s="21" t="str">
        <f>IF(OR(tblsales[[#This Row],[Contract Value USD]]="",tblsales[[#This Row],[Cost Estimate USD]]=""),"",tblsales[[#This Row],[Contract Value USD]]-tblsales[[#This Row],[Cost Estimate USD]])</f>
        <v/>
      </c>
      <c r="BD581" s="23">
        <f>IF(tblsales[[#This Row],[Invoice Value USD]]="","",tblsales[[#This Row],[Collected Amount USD]]/tblsales[[#This Row],[Invoice Value USD]])</f>
        <v>0.87697685239435907</v>
      </c>
      <c r="BE581" s="11">
        <f>IF(tblsales[[#This Row],[SalesStage]]="Won",1,0)</f>
        <v>0</v>
      </c>
      <c r="BF581" s="21" t="str">
        <f>IF(tblsales[[#This Row],[Win Flag]]=1,"Won","Lost")</f>
        <v>Lost</v>
      </c>
      <c r="BG581" s="8"/>
    </row>
    <row r="582" spans="1:59" x14ac:dyDescent="0.3">
      <c r="A582" s="10" t="s">
        <v>2045</v>
      </c>
      <c r="B582" s="9">
        <v>45932</v>
      </c>
      <c r="C582" s="10" t="s">
        <v>271</v>
      </c>
      <c r="D582" s="10" t="s">
        <v>180</v>
      </c>
      <c r="E582" s="10" t="s">
        <v>332</v>
      </c>
      <c r="F582" s="10" t="s">
        <v>35</v>
      </c>
      <c r="G582" s="10" t="s">
        <v>16</v>
      </c>
      <c r="H582" s="10" t="s">
        <v>212</v>
      </c>
      <c r="I582" s="10" t="s">
        <v>191</v>
      </c>
      <c r="J582" s="10" t="s">
        <v>99</v>
      </c>
      <c r="K582" s="10" t="s">
        <v>326</v>
      </c>
      <c r="L582" s="10" t="s">
        <v>2046</v>
      </c>
      <c r="M582" s="9">
        <v>45815</v>
      </c>
      <c r="N582" s="9"/>
      <c r="O582" s="9"/>
      <c r="P582" s="11">
        <v>43</v>
      </c>
      <c r="Q582" s="12">
        <v>21367703</v>
      </c>
      <c r="R582">
        <v>24807903.183000002</v>
      </c>
      <c r="S582" s="22">
        <v>0.12</v>
      </c>
      <c r="T582" s="22">
        <v>0.05</v>
      </c>
      <c r="U582" s="12">
        <v>19743757.57</v>
      </c>
      <c r="V582" s="24">
        <v>22922502.538770001</v>
      </c>
      <c r="W582" s="8">
        <v>14036099.41</v>
      </c>
      <c r="X582" s="24">
        <v>16295911.415010002</v>
      </c>
      <c r="Y582" s="22">
        <v>0.16</v>
      </c>
      <c r="Z582" s="22">
        <v>0.13</v>
      </c>
      <c r="AA582" s="8" t="s">
        <v>2047</v>
      </c>
      <c r="AB582" s="8">
        <v>13725159</v>
      </c>
      <c r="AC582" s="24">
        <v>15934909.599000001</v>
      </c>
      <c r="AD582" s="8"/>
      <c r="AE582" s="24"/>
      <c r="AF582" s="8">
        <v>120</v>
      </c>
      <c r="AG582" s="8">
        <v>165</v>
      </c>
      <c r="AH582" s="8" t="s">
        <v>342</v>
      </c>
      <c r="AI582" s="8" t="s">
        <v>226</v>
      </c>
      <c r="AJ582" s="22">
        <v>0.91</v>
      </c>
      <c r="AK582" s="8" t="s">
        <v>159</v>
      </c>
      <c r="AL582" s="22">
        <v>0.1</v>
      </c>
      <c r="AM582" s="22">
        <v>0.08</v>
      </c>
      <c r="AN582" s="8">
        <v>1</v>
      </c>
      <c r="AO582" s="8">
        <v>317</v>
      </c>
      <c r="AP582" s="8">
        <v>1755233.4</v>
      </c>
      <c r="AQ582" s="24">
        <v>2037825.9774</v>
      </c>
      <c r="AR582" s="8">
        <v>2394606.86</v>
      </c>
      <c r="AS582" s="37">
        <v>2780138.56446</v>
      </c>
      <c r="AT582" s="8" t="s">
        <v>355</v>
      </c>
      <c r="AU582" s="8" t="s">
        <v>332</v>
      </c>
      <c r="AV582" s="8">
        <v>81.7</v>
      </c>
      <c r="AW582" s="8"/>
      <c r="AX582" s="8" t="s">
        <v>387</v>
      </c>
      <c r="AY582" s="8" t="s">
        <v>186</v>
      </c>
      <c r="AZ582" s="8" t="s">
        <v>357</v>
      </c>
      <c r="BA582" s="21" t="str">
        <f>IF(OR(tblsales[[#This Row],[Invoice Value USD]]="",tblsales[[#This Row],[Collected Amount USD]]=""),"",tblsales[[#This Row],[Invoice Value USD]]-tblsales[[#This Row],[Collected Amount USD]])</f>
        <v/>
      </c>
      <c r="BB582" s="21">
        <f>IF(OR(tblsales[[#This Row],[Contract Value USD]]="",tblsales[[#This Row],[Cost Estimate USD]]=""),"",tblsales[[#This Row],[Contract Value USD]]-tblsales[[#This Row],[Cost Estimate USD]])</f>
        <v>6626591.1237599999</v>
      </c>
      <c r="BC582" s="21">
        <f>IF(OR(tblsales[[#This Row],[Contract Value USD]]="",tblsales[[#This Row],[Cost Estimate USD]]=""),"",tblsales[[#This Row],[Contract Value USD]]-tblsales[[#This Row],[Cost Estimate USD]])</f>
        <v>6626591.1237599999</v>
      </c>
      <c r="BD582" s="23">
        <f>IF(tblsales[[#This Row],[Invoice Value USD]]="","",tblsales[[#This Row],[Collected Amount USD]]/tblsales[[#This Row],[Invoice Value USD]])</f>
        <v>0</v>
      </c>
      <c r="BE582" s="11">
        <f>IF(tblsales[[#This Row],[SalesStage]]="Won",1,0)</f>
        <v>0</v>
      </c>
      <c r="BF582" s="21" t="str">
        <f>IF(tblsales[[#This Row],[Win Flag]]=1,"Won","Lost")</f>
        <v>Lost</v>
      </c>
      <c r="BG582" s="8"/>
    </row>
    <row r="583" spans="1:59" x14ac:dyDescent="0.3">
      <c r="A583" s="10" t="s">
        <v>2048</v>
      </c>
      <c r="B583" s="9">
        <v>45823</v>
      </c>
      <c r="C583" s="10" t="s">
        <v>234</v>
      </c>
      <c r="D583" s="10" t="s">
        <v>232</v>
      </c>
      <c r="E583" s="10" t="s">
        <v>113</v>
      </c>
      <c r="F583" s="10" t="s">
        <v>332</v>
      </c>
      <c r="G583" s="10" t="s">
        <v>62</v>
      </c>
      <c r="H583" s="10" t="s">
        <v>212</v>
      </c>
      <c r="I583" s="10" t="s">
        <v>198</v>
      </c>
      <c r="J583" s="10" t="s">
        <v>123</v>
      </c>
      <c r="K583" s="10" t="s">
        <v>223</v>
      </c>
      <c r="L583" s="10" t="s">
        <v>2049</v>
      </c>
      <c r="M583" s="9">
        <v>45721</v>
      </c>
      <c r="N583" s="9">
        <v>45869</v>
      </c>
      <c r="O583" s="9">
        <v>45884</v>
      </c>
      <c r="P583" s="11"/>
      <c r="Q583" s="12">
        <v>19247666</v>
      </c>
      <c r="R583">
        <v>22346540.226</v>
      </c>
      <c r="S583" s="22">
        <v>0.15</v>
      </c>
      <c r="T583" s="22">
        <v>-0.01</v>
      </c>
      <c r="U583" s="12">
        <v>16196910.939999999</v>
      </c>
      <c r="V583" s="24">
        <v>18804613.60134</v>
      </c>
      <c r="W583" s="8">
        <v>13478051.720000001</v>
      </c>
      <c r="X583" s="24">
        <v>15648018.046920002</v>
      </c>
      <c r="Y583" s="22">
        <v>0.12</v>
      </c>
      <c r="Z583" s="22">
        <v>7.0000000000000007E-2</v>
      </c>
      <c r="AA583" s="8" t="s">
        <v>2050</v>
      </c>
      <c r="AB583" s="8">
        <v>13366140.109999999</v>
      </c>
      <c r="AC583" s="24">
        <v>15518088.667710001</v>
      </c>
      <c r="AD583" s="8">
        <v>14291217.35</v>
      </c>
      <c r="AE583" s="24">
        <v>16592103.343350001</v>
      </c>
      <c r="AF583" s="8">
        <v>45</v>
      </c>
      <c r="AG583" s="8">
        <v>88</v>
      </c>
      <c r="AH583" s="8" t="s">
        <v>353</v>
      </c>
      <c r="AI583" s="8" t="s">
        <v>406</v>
      </c>
      <c r="AJ583" s="22">
        <v>0.72</v>
      </c>
      <c r="AK583" s="8" t="s">
        <v>159</v>
      </c>
      <c r="AL583" s="22">
        <v>0.1</v>
      </c>
      <c r="AM583" s="22">
        <v>7.0000000000000007E-2</v>
      </c>
      <c r="AN583" s="8">
        <v>5</v>
      </c>
      <c r="AO583" s="8">
        <v>1365</v>
      </c>
      <c r="AP583" s="8">
        <v>721404.49</v>
      </c>
      <c r="AQ583" s="24">
        <v>837550.61288999999</v>
      </c>
      <c r="AR583" s="8">
        <v>2056197.94</v>
      </c>
      <c r="AS583" s="37">
        <v>2387245.80834</v>
      </c>
      <c r="AT583" s="8" t="s">
        <v>321</v>
      </c>
      <c r="AU583" s="8" t="s">
        <v>386</v>
      </c>
      <c r="AV583" s="8">
        <v>86.9</v>
      </c>
      <c r="AW583" s="8">
        <v>60</v>
      </c>
      <c r="AX583" s="8" t="s">
        <v>323</v>
      </c>
      <c r="AY583" s="8" t="s">
        <v>192</v>
      </c>
      <c r="AZ583" s="8" t="s">
        <v>324</v>
      </c>
      <c r="BA583" s="21">
        <f>IF(OR(tblsales[[#This Row],[Invoice Value USD]]="",tblsales[[#This Row],[Collected Amount USD]]=""),"",tblsales[[#This Row],[Invoice Value USD]]-tblsales[[#This Row],[Collected Amount USD]])</f>
        <v>-1074014.67564</v>
      </c>
      <c r="BB583" s="21">
        <f>IF(OR(tblsales[[#This Row],[Contract Value USD]]="",tblsales[[#This Row],[Cost Estimate USD]]=""),"",tblsales[[#This Row],[Contract Value USD]]-tblsales[[#This Row],[Cost Estimate USD]])</f>
        <v>3156595.5544199981</v>
      </c>
      <c r="BC583" s="21">
        <f>IF(OR(tblsales[[#This Row],[Contract Value USD]]="",tblsales[[#This Row],[Cost Estimate USD]]=""),"",tblsales[[#This Row],[Contract Value USD]]-tblsales[[#This Row],[Cost Estimate USD]])</f>
        <v>3156595.5544199981</v>
      </c>
      <c r="BD583" s="23">
        <f>IF(tblsales[[#This Row],[Invoice Value USD]]="","",tblsales[[#This Row],[Collected Amount USD]]/tblsales[[#This Row],[Invoice Value USD]])</f>
        <v>1.0692104999937786</v>
      </c>
      <c r="BE583" s="11">
        <f>IF(tblsales[[#This Row],[SalesStage]]="Won",1,0)</f>
        <v>0</v>
      </c>
      <c r="BF583" s="21" t="str">
        <f>IF(tblsales[[#This Row],[Win Flag]]=1,"Won","Lost")</f>
        <v>Lost</v>
      </c>
      <c r="BG583" s="8"/>
    </row>
    <row r="584" spans="1:59" x14ac:dyDescent="0.3">
      <c r="A584" s="10" t="s">
        <v>2051</v>
      </c>
      <c r="B584" s="9">
        <v>45756</v>
      </c>
      <c r="C584" s="10" t="s">
        <v>282</v>
      </c>
      <c r="D584" s="10" t="s">
        <v>190</v>
      </c>
      <c r="E584" s="10" t="s">
        <v>41</v>
      </c>
      <c r="F584" s="10" t="s">
        <v>363</v>
      </c>
      <c r="G584" s="10" t="s">
        <v>70</v>
      </c>
      <c r="H584" s="10" t="s">
        <v>332</v>
      </c>
      <c r="I584" s="10" t="s">
        <v>213</v>
      </c>
      <c r="J584" s="10" t="s">
        <v>105</v>
      </c>
      <c r="K584" s="10" t="s">
        <v>199</v>
      </c>
      <c r="L584" s="10" t="s">
        <v>2052</v>
      </c>
      <c r="M584" s="9">
        <v>45671</v>
      </c>
      <c r="N584" s="9"/>
      <c r="O584" s="9">
        <v>45800</v>
      </c>
      <c r="P584" s="11">
        <v>13</v>
      </c>
      <c r="Q584" s="12">
        <v>14852007</v>
      </c>
      <c r="R584">
        <v>4044201.5060999999</v>
      </c>
      <c r="S584" s="22">
        <v>0.24</v>
      </c>
      <c r="T584" s="22">
        <v>0.06</v>
      </c>
      <c r="U584" s="12">
        <v>11964776.84</v>
      </c>
      <c r="V584" s="24">
        <v>3258008.7335319999</v>
      </c>
      <c r="W584" s="8">
        <v>10447003.43</v>
      </c>
      <c r="X584" s="24">
        <v>2844719.0339889997</v>
      </c>
      <c r="Y584" s="22">
        <v>0.09</v>
      </c>
      <c r="Z584" s="22">
        <v>7.0000000000000007E-2</v>
      </c>
      <c r="AA584" s="8" t="s">
        <v>2053</v>
      </c>
      <c r="AB584" s="8">
        <v>4255966.72</v>
      </c>
      <c r="AC584" s="24">
        <v>1158899.737856</v>
      </c>
      <c r="AD584" s="8">
        <v>4012930.35</v>
      </c>
      <c r="AE584" s="24">
        <v>1092720.9343049999</v>
      </c>
      <c r="AF584" s="8">
        <v>45</v>
      </c>
      <c r="AG584" s="8">
        <v>133</v>
      </c>
      <c r="AH584" s="8" t="s">
        <v>347</v>
      </c>
      <c r="AI584" s="8" t="s">
        <v>455</v>
      </c>
      <c r="AJ584" s="22">
        <v>0.37</v>
      </c>
      <c r="AK584" s="8" t="s">
        <v>153</v>
      </c>
      <c r="AL584" s="22">
        <v>0.15</v>
      </c>
      <c r="AM584" s="22">
        <v>0.08</v>
      </c>
      <c r="AN584" s="8">
        <v>2</v>
      </c>
      <c r="AO584" s="8">
        <v>4738</v>
      </c>
      <c r="AP584" s="8">
        <v>1836739.03</v>
      </c>
      <c r="AQ584" s="24">
        <v>500144.03786899999</v>
      </c>
      <c r="AR584" s="8">
        <v>2002465.45</v>
      </c>
      <c r="AS584" s="37">
        <v>545271.34203499998</v>
      </c>
      <c r="AT584" s="8" t="s">
        <v>385</v>
      </c>
      <c r="AU584" s="8" t="s">
        <v>321</v>
      </c>
      <c r="AV584" s="8">
        <v>60.8</v>
      </c>
      <c r="AW584" s="8">
        <v>12</v>
      </c>
      <c r="AX584" s="8" t="s">
        <v>323</v>
      </c>
      <c r="AY584" s="8" t="s">
        <v>224</v>
      </c>
      <c r="AZ584" s="8" t="s">
        <v>377</v>
      </c>
      <c r="BA584" s="21">
        <f>IF(OR(tblsales[[#This Row],[Invoice Value USD]]="",tblsales[[#This Row],[Collected Amount USD]]=""),"",tblsales[[#This Row],[Invoice Value USD]]-tblsales[[#This Row],[Collected Amount USD]])</f>
        <v>66178.803551000077</v>
      </c>
      <c r="BB584" s="21">
        <f>IF(OR(tblsales[[#This Row],[Contract Value USD]]="",tblsales[[#This Row],[Cost Estimate USD]]=""),"",tblsales[[#This Row],[Contract Value USD]]-tblsales[[#This Row],[Cost Estimate USD]])</f>
        <v>413289.6995430002</v>
      </c>
      <c r="BC584" s="21">
        <f>IF(OR(tblsales[[#This Row],[Contract Value USD]]="",tblsales[[#This Row],[Cost Estimate USD]]=""),"",tblsales[[#This Row],[Contract Value USD]]-tblsales[[#This Row],[Cost Estimate USD]])</f>
        <v>413289.6995430002</v>
      </c>
      <c r="BD584" s="23">
        <f>IF(tblsales[[#This Row],[Invoice Value USD]]="","",tblsales[[#This Row],[Collected Amount USD]]/tblsales[[#This Row],[Invoice Value USD]])</f>
        <v>0.94289514322142065</v>
      </c>
      <c r="BE584" s="11">
        <f>IF(tblsales[[#This Row],[SalesStage]]="Won",1,0)</f>
        <v>0</v>
      </c>
      <c r="BF584" s="21" t="str">
        <f>IF(tblsales[[#This Row],[Win Flag]]=1,"Won","Lost")</f>
        <v>Lost</v>
      </c>
      <c r="BG584" s="8"/>
    </row>
    <row r="585" spans="1:59" x14ac:dyDescent="0.3">
      <c r="A585" s="10" t="s">
        <v>2054</v>
      </c>
      <c r="B585" s="9">
        <v>45684</v>
      </c>
      <c r="C585" s="10" t="s">
        <v>272</v>
      </c>
      <c r="D585" s="10" t="s">
        <v>215</v>
      </c>
      <c r="E585" s="10" t="s">
        <v>41</v>
      </c>
      <c r="F585" s="10" t="s">
        <v>228</v>
      </c>
      <c r="G585" s="10" t="s">
        <v>57</v>
      </c>
      <c r="H585" s="10" t="s">
        <v>236</v>
      </c>
      <c r="I585" s="10" t="s">
        <v>246</v>
      </c>
      <c r="J585" s="10" t="s">
        <v>105</v>
      </c>
      <c r="K585" s="10" t="s">
        <v>210</v>
      </c>
      <c r="L585" s="10" t="s">
        <v>2055</v>
      </c>
      <c r="M585" s="9">
        <v>45634</v>
      </c>
      <c r="N585" s="9">
        <v>45730</v>
      </c>
      <c r="O585" s="9">
        <v>45660</v>
      </c>
      <c r="P585" s="11"/>
      <c r="Q585" s="12">
        <v>41759165</v>
      </c>
      <c r="R585">
        <v>48482390.564999998</v>
      </c>
      <c r="S585" s="22">
        <v>0.32</v>
      </c>
      <c r="T585" s="22">
        <v>0.11</v>
      </c>
      <c r="U585" s="12">
        <v>31519817.739999998</v>
      </c>
      <c r="V585" s="24">
        <v>36594508.396140002</v>
      </c>
      <c r="W585" s="8">
        <v>21887160.420000002</v>
      </c>
      <c r="X585" s="24">
        <v>25410993.247620001</v>
      </c>
      <c r="Y585" s="22">
        <v>0.09</v>
      </c>
      <c r="Z585" s="22">
        <v>0.11</v>
      </c>
      <c r="AA585" s="8" t="s">
        <v>2056</v>
      </c>
      <c r="AB585" s="8">
        <v>20379603.210000001</v>
      </c>
      <c r="AC585" s="24">
        <v>23660719.326810002</v>
      </c>
      <c r="AD585" s="8">
        <v>13219674.699999999</v>
      </c>
      <c r="AE585" s="24">
        <v>15348042.3267</v>
      </c>
      <c r="AF585" s="8">
        <v>120</v>
      </c>
      <c r="AG585" s="8">
        <v>132</v>
      </c>
      <c r="AH585" s="8" t="s">
        <v>342</v>
      </c>
      <c r="AI585" s="8" t="s">
        <v>455</v>
      </c>
      <c r="AJ585" s="22">
        <v>0.95</v>
      </c>
      <c r="AK585" s="8" t="s">
        <v>159</v>
      </c>
      <c r="AL585" s="22">
        <v>0.1</v>
      </c>
      <c r="AM585" s="22">
        <v>0.05</v>
      </c>
      <c r="AN585" s="8">
        <v>9</v>
      </c>
      <c r="AO585" s="8">
        <v>111</v>
      </c>
      <c r="AP585" s="8">
        <v>1700079.3</v>
      </c>
      <c r="AQ585" s="24">
        <v>1973792.0673</v>
      </c>
      <c r="AR585" s="8">
        <v>12415985.289999999</v>
      </c>
      <c r="AS585" s="37">
        <v>14414958.92169</v>
      </c>
      <c r="AT585" s="8" t="s">
        <v>343</v>
      </c>
      <c r="AU585" s="8" t="s">
        <v>348</v>
      </c>
      <c r="AV585" s="8">
        <v>94.4</v>
      </c>
      <c r="AW585" s="8">
        <v>24</v>
      </c>
      <c r="AX585" s="8" t="s">
        <v>332</v>
      </c>
      <c r="AY585" s="8" t="s">
        <v>224</v>
      </c>
      <c r="AZ585" s="8" t="s">
        <v>357</v>
      </c>
      <c r="BA585" s="21">
        <f>IF(OR(tblsales[[#This Row],[Invoice Value USD]]="",tblsales[[#This Row],[Collected Amount USD]]=""),"",tblsales[[#This Row],[Invoice Value USD]]-tblsales[[#This Row],[Collected Amount USD]])</f>
        <v>8312677.0001100022</v>
      </c>
      <c r="BB585" s="21">
        <f>IF(OR(tblsales[[#This Row],[Contract Value USD]]="",tblsales[[#This Row],[Cost Estimate USD]]=""),"",tblsales[[#This Row],[Contract Value USD]]-tblsales[[#This Row],[Cost Estimate USD]])</f>
        <v>11183515.14852</v>
      </c>
      <c r="BC585" s="21">
        <f>IF(OR(tblsales[[#This Row],[Contract Value USD]]="",tblsales[[#This Row],[Cost Estimate USD]]=""),"",tblsales[[#This Row],[Contract Value USD]]-tblsales[[#This Row],[Cost Estimate USD]])</f>
        <v>11183515.14852</v>
      </c>
      <c r="BD585" s="23">
        <f>IF(tblsales[[#This Row],[Invoice Value USD]]="","",tblsales[[#This Row],[Collected Amount USD]]/tblsales[[#This Row],[Invoice Value USD]])</f>
        <v>0.64867183937679807</v>
      </c>
      <c r="BE585" s="11">
        <f>IF(tblsales[[#This Row],[SalesStage]]="Won",1,0)</f>
        <v>0</v>
      </c>
      <c r="BF585" s="21" t="str">
        <f>IF(tblsales[[#This Row],[Win Flag]]=1,"Won","Lost")</f>
        <v>Lost</v>
      </c>
      <c r="BG585" s="8"/>
    </row>
    <row r="586" spans="1:59" x14ac:dyDescent="0.3">
      <c r="A586" s="10" t="s">
        <v>2057</v>
      </c>
      <c r="B586" s="9">
        <v>45936</v>
      </c>
      <c r="C586" s="10" t="s">
        <v>284</v>
      </c>
      <c r="D586" s="10" t="s">
        <v>394</v>
      </c>
      <c r="E586" s="10" t="s">
        <v>36</v>
      </c>
      <c r="F586" s="10" t="s">
        <v>19</v>
      </c>
      <c r="G586" s="10" t="s">
        <v>332</v>
      </c>
      <c r="H586" s="10" t="s">
        <v>332</v>
      </c>
      <c r="I586" s="10" t="s">
        <v>191</v>
      </c>
      <c r="J586" s="10" t="s">
        <v>115</v>
      </c>
      <c r="K586" s="10" t="s">
        <v>333</v>
      </c>
      <c r="L586" s="10" t="s">
        <v>2058</v>
      </c>
      <c r="M586" s="9">
        <v>45770</v>
      </c>
      <c r="N586" s="9" t="s">
        <v>2059</v>
      </c>
      <c r="O586" s="9">
        <v>45865</v>
      </c>
      <c r="P586" s="11"/>
      <c r="Q586" s="12">
        <v>16768978</v>
      </c>
      <c r="R586">
        <v>4566192.7094000001</v>
      </c>
      <c r="S586" s="22">
        <v>0.33</v>
      </c>
      <c r="T586" s="22">
        <v>0.19</v>
      </c>
      <c r="U586" s="12">
        <v>13369906.16</v>
      </c>
      <c r="V586" s="24">
        <v>3640625.4473679997</v>
      </c>
      <c r="W586" s="8">
        <v>8737814.5</v>
      </c>
      <c r="X586" s="24">
        <v>2379306.8883499997</v>
      </c>
      <c r="Y586" s="22">
        <v>0.28999999999999998</v>
      </c>
      <c r="Z586" s="22">
        <v>0.05</v>
      </c>
      <c r="AA586" s="8" t="s">
        <v>2060</v>
      </c>
      <c r="AB586" s="8">
        <v>10682242.869999999</v>
      </c>
      <c r="AC586" s="24">
        <v>2908774.7335009999</v>
      </c>
      <c r="AD586" s="8">
        <v>4562821.68</v>
      </c>
      <c r="AE586" s="24">
        <v>1242456.3434639999</v>
      </c>
      <c r="AF586" s="8">
        <v>120</v>
      </c>
      <c r="AG586" s="8">
        <v>109</v>
      </c>
      <c r="AH586" s="8" t="s">
        <v>353</v>
      </c>
      <c r="AI586" s="8" t="s">
        <v>354</v>
      </c>
      <c r="AJ586" s="22">
        <v>0.46</v>
      </c>
      <c r="AK586" s="8" t="s">
        <v>153</v>
      </c>
      <c r="AL586" s="22">
        <v>0.05</v>
      </c>
      <c r="AM586" s="22">
        <v>0.08</v>
      </c>
      <c r="AN586" s="8">
        <v>15</v>
      </c>
      <c r="AO586" s="8">
        <v>4911</v>
      </c>
      <c r="AP586" s="8">
        <v>1783554.8</v>
      </c>
      <c r="AQ586" s="24">
        <v>485661.97203999996</v>
      </c>
      <c r="AR586" s="8">
        <v>2853979.19</v>
      </c>
      <c r="AS586" s="37">
        <v>777138.53343699989</v>
      </c>
      <c r="AT586" s="8" t="s">
        <v>321</v>
      </c>
      <c r="AU586" s="8" t="s">
        <v>332</v>
      </c>
      <c r="AV586" s="8">
        <v>51.8</v>
      </c>
      <c r="AW586" s="8">
        <v>24</v>
      </c>
      <c r="AX586" s="8" t="s">
        <v>337</v>
      </c>
      <c r="AY586" s="8" t="s">
        <v>206</v>
      </c>
      <c r="AZ586" s="8" t="s">
        <v>361</v>
      </c>
      <c r="BA586" s="21">
        <f>IF(OR(tblsales[[#This Row],[Invoice Value USD]]="",tblsales[[#This Row],[Collected Amount USD]]=""),"",tblsales[[#This Row],[Invoice Value USD]]-tblsales[[#This Row],[Collected Amount USD]])</f>
        <v>1666318.3900369999</v>
      </c>
      <c r="BB586" s="21">
        <f>IF(OR(tblsales[[#This Row],[Contract Value USD]]="",tblsales[[#This Row],[Cost Estimate USD]]=""),"",tblsales[[#This Row],[Contract Value USD]]-tblsales[[#This Row],[Cost Estimate USD]])</f>
        <v>1261318.559018</v>
      </c>
      <c r="BC586" s="21">
        <f>IF(OR(tblsales[[#This Row],[Contract Value USD]]="",tblsales[[#This Row],[Cost Estimate USD]]=""),"",tblsales[[#This Row],[Contract Value USD]]-tblsales[[#This Row],[Cost Estimate USD]])</f>
        <v>1261318.559018</v>
      </c>
      <c r="BD586" s="23">
        <f>IF(tblsales[[#This Row],[Invoice Value USD]]="","",tblsales[[#This Row],[Collected Amount USD]]/tblsales[[#This Row],[Invoice Value USD]])</f>
        <v>0.42714079201608718</v>
      </c>
      <c r="BE586" s="11">
        <f>IF(tblsales[[#This Row],[SalesStage]]="Won",1,0)</f>
        <v>0</v>
      </c>
      <c r="BF586" s="21" t="str">
        <f>IF(tblsales[[#This Row],[Win Flag]]=1,"Won","Lost")</f>
        <v>Lost</v>
      </c>
      <c r="BG586" s="8"/>
    </row>
    <row r="587" spans="1:59" x14ac:dyDescent="0.3">
      <c r="A587" s="10" t="s">
        <v>2061</v>
      </c>
      <c r="B587" s="9">
        <v>45961</v>
      </c>
      <c r="C587" s="10" t="s">
        <v>285</v>
      </c>
      <c r="D587" s="10" t="s">
        <v>209</v>
      </c>
      <c r="E587" s="10" t="s">
        <v>332</v>
      </c>
      <c r="F587" s="10" t="s">
        <v>35</v>
      </c>
      <c r="G587" s="10" t="s">
        <v>73</v>
      </c>
      <c r="H587" s="10" t="s">
        <v>236</v>
      </c>
      <c r="I587" s="10" t="s">
        <v>191</v>
      </c>
      <c r="J587" s="10" t="s">
        <v>99</v>
      </c>
      <c r="K587" s="10" t="s">
        <v>184</v>
      </c>
      <c r="L587" s="10" t="s">
        <v>2062</v>
      </c>
      <c r="M587" s="9">
        <v>45916</v>
      </c>
      <c r="N587" s="9">
        <v>45975</v>
      </c>
      <c r="O587" s="9">
        <v>46049</v>
      </c>
      <c r="P587" s="11"/>
      <c r="Q587" s="12">
        <v>45224134</v>
      </c>
      <c r="R587">
        <v>12061276.537799999</v>
      </c>
      <c r="S587" s="22">
        <v>0.08</v>
      </c>
      <c r="T587" s="22">
        <v>-0.01</v>
      </c>
      <c r="U587" s="12">
        <v>41190141.25</v>
      </c>
      <c r="V587" s="24">
        <v>10985410.671374999</v>
      </c>
      <c r="W587" s="8">
        <v>29251785.050000001</v>
      </c>
      <c r="X587" s="24">
        <v>7801451.0728350002</v>
      </c>
      <c r="Y587" s="22">
        <v>0.34</v>
      </c>
      <c r="Z587" s="22">
        <v>0.16</v>
      </c>
      <c r="AA587" s="8" t="s">
        <v>2063</v>
      </c>
      <c r="AB587" s="8">
        <v>37004225.380000003</v>
      </c>
      <c r="AC587" s="24">
        <v>9869026.9088460002</v>
      </c>
      <c r="AD587" s="8">
        <v>23961033.739999998</v>
      </c>
      <c r="AE587" s="24">
        <v>6390407.6984579992</v>
      </c>
      <c r="AF587" s="8">
        <v>45</v>
      </c>
      <c r="AG587" s="8">
        <v>149</v>
      </c>
      <c r="AH587" s="8" t="s">
        <v>342</v>
      </c>
      <c r="AI587" s="8" t="s">
        <v>226</v>
      </c>
      <c r="AJ587" s="22">
        <v>0.56999999999999995</v>
      </c>
      <c r="AK587" s="8" t="s">
        <v>162</v>
      </c>
      <c r="AL587" s="22">
        <v>0.15</v>
      </c>
      <c r="AM587" s="22">
        <v>0.03</v>
      </c>
      <c r="AN587" s="8">
        <v>3</v>
      </c>
      <c r="AO587" s="8">
        <v>2569</v>
      </c>
      <c r="AP587" s="8">
        <v>7644083.5700000003</v>
      </c>
      <c r="AQ587" s="24">
        <v>2038677.088119</v>
      </c>
      <c r="AR587" s="8">
        <v>17548578.34</v>
      </c>
      <c r="AS587" s="37">
        <v>4680205.8432780001</v>
      </c>
      <c r="AT587" s="8" t="s">
        <v>343</v>
      </c>
      <c r="AU587" s="8" t="s">
        <v>356</v>
      </c>
      <c r="AV587" s="8">
        <v>59.4</v>
      </c>
      <c r="AW587" s="8">
        <v>12</v>
      </c>
      <c r="AX587" s="8" t="s">
        <v>332</v>
      </c>
      <c r="AY587" s="8" t="s">
        <v>186</v>
      </c>
      <c r="AZ587" s="8" t="s">
        <v>324</v>
      </c>
      <c r="BA587" s="21">
        <f>IF(OR(tblsales[[#This Row],[Invoice Value USD]]="",tblsales[[#This Row],[Collected Amount USD]]=""),"",tblsales[[#This Row],[Invoice Value USD]]-tblsales[[#This Row],[Collected Amount USD]])</f>
        <v>3478619.2103880011</v>
      </c>
      <c r="BB587" s="21">
        <f>IF(OR(tblsales[[#This Row],[Contract Value USD]]="",tblsales[[#This Row],[Cost Estimate USD]]=""),"",tblsales[[#This Row],[Contract Value USD]]-tblsales[[#This Row],[Cost Estimate USD]])</f>
        <v>3183959.5985399988</v>
      </c>
      <c r="BC587" s="21">
        <f>IF(OR(tblsales[[#This Row],[Contract Value USD]]="",tblsales[[#This Row],[Cost Estimate USD]]=""),"",tblsales[[#This Row],[Contract Value USD]]-tblsales[[#This Row],[Cost Estimate USD]])</f>
        <v>3183959.5985399988</v>
      </c>
      <c r="BD587" s="23">
        <f>IF(tblsales[[#This Row],[Invoice Value USD]]="","",tblsales[[#This Row],[Collected Amount USD]]/tblsales[[#This Row],[Invoice Value USD]])</f>
        <v>0.64752155987436044</v>
      </c>
      <c r="BE587" s="11">
        <f>IF(tblsales[[#This Row],[SalesStage]]="Won",1,0)</f>
        <v>0</v>
      </c>
      <c r="BF587" s="21" t="str">
        <f>IF(tblsales[[#This Row],[Win Flag]]=1,"Won","Lost")</f>
        <v>Lost</v>
      </c>
      <c r="BG587" s="8"/>
    </row>
    <row r="588" spans="1:59" x14ac:dyDescent="0.3">
      <c r="A588" s="10" t="s">
        <v>2064</v>
      </c>
      <c r="B588" s="9">
        <v>45947</v>
      </c>
      <c r="C588" s="10" t="s">
        <v>269</v>
      </c>
      <c r="D588" s="10" t="s">
        <v>180</v>
      </c>
      <c r="E588" s="10" t="s">
        <v>20</v>
      </c>
      <c r="F588" s="10" t="s">
        <v>35</v>
      </c>
      <c r="G588" s="10" t="s">
        <v>33</v>
      </c>
      <c r="H588" s="10" t="s">
        <v>236</v>
      </c>
      <c r="I588" s="10" t="s">
        <v>198</v>
      </c>
      <c r="J588" s="10" t="s">
        <v>136</v>
      </c>
      <c r="K588" s="10" t="s">
        <v>223</v>
      </c>
      <c r="L588" s="10" t="s">
        <v>2065</v>
      </c>
      <c r="M588" s="9">
        <v>45894</v>
      </c>
      <c r="N588" s="9"/>
      <c r="O588" s="9">
        <v>45942</v>
      </c>
      <c r="P588" s="11">
        <v>42</v>
      </c>
      <c r="Q588" s="12">
        <v>19161785</v>
      </c>
      <c r="R588">
        <v>5217754.0554999998</v>
      </c>
      <c r="S588" s="22">
        <v>0.23</v>
      </c>
      <c r="T588" s="22">
        <v>0.1</v>
      </c>
      <c r="U588" s="12">
        <v>16230031.9</v>
      </c>
      <c r="V588" s="24">
        <v>4419437.6863700002</v>
      </c>
      <c r="W588" s="8">
        <v>11170215.25</v>
      </c>
      <c r="X588" s="24">
        <v>3041649.6125749997</v>
      </c>
      <c r="Y588" s="22">
        <v>0.12</v>
      </c>
      <c r="Z588" s="22">
        <v>0.15</v>
      </c>
      <c r="AA588" s="8" t="s">
        <v>2066</v>
      </c>
      <c r="AB588" s="8">
        <v>11742644.58</v>
      </c>
      <c r="AC588" s="24">
        <v>3197522.119134</v>
      </c>
      <c r="AD588" s="8">
        <v>7275730.8799999999</v>
      </c>
      <c r="AE588" s="24">
        <v>1981181.5186239998</v>
      </c>
      <c r="AF588" s="8">
        <v>60</v>
      </c>
      <c r="AG588" s="8">
        <v>117</v>
      </c>
      <c r="AH588" s="8" t="s">
        <v>353</v>
      </c>
      <c r="AI588" s="8" t="s">
        <v>406</v>
      </c>
      <c r="AJ588" s="22">
        <v>0.41</v>
      </c>
      <c r="AK588" s="8" t="s">
        <v>153</v>
      </c>
      <c r="AL588" s="22">
        <v>0.1</v>
      </c>
      <c r="AM588" s="22">
        <v>7.0000000000000007E-2</v>
      </c>
      <c r="AN588" s="8">
        <v>13</v>
      </c>
      <c r="AO588" s="8">
        <v>2538</v>
      </c>
      <c r="AP588" s="8">
        <v>2835071.83</v>
      </c>
      <c r="AQ588" s="24">
        <v>771990.05930900003</v>
      </c>
      <c r="AR588" s="8">
        <v>6860025.1799999997</v>
      </c>
      <c r="AS588" s="37">
        <v>1867984.8565139999</v>
      </c>
      <c r="AT588" s="8" t="s">
        <v>73</v>
      </c>
      <c r="AU588" s="8" t="s">
        <v>321</v>
      </c>
      <c r="AV588" s="8">
        <v>85.2</v>
      </c>
      <c r="AW588" s="8">
        <v>48</v>
      </c>
      <c r="AX588" s="8" t="s">
        <v>337</v>
      </c>
      <c r="AY588" s="8" t="s">
        <v>192</v>
      </c>
      <c r="AZ588" s="8" t="s">
        <v>188</v>
      </c>
      <c r="BA588" s="21">
        <f>IF(OR(tblsales[[#This Row],[Invoice Value USD]]="",tblsales[[#This Row],[Collected Amount USD]]=""),"",tblsales[[#This Row],[Invoice Value USD]]-tblsales[[#This Row],[Collected Amount USD]])</f>
        <v>1216340.6005100003</v>
      </c>
      <c r="BB588" s="21">
        <f>IF(OR(tblsales[[#This Row],[Contract Value USD]]="",tblsales[[#This Row],[Cost Estimate USD]]=""),"",tblsales[[#This Row],[Contract Value USD]]-tblsales[[#This Row],[Cost Estimate USD]])</f>
        <v>1377788.0737950006</v>
      </c>
      <c r="BC588" s="21">
        <f>IF(OR(tblsales[[#This Row],[Contract Value USD]]="",tblsales[[#This Row],[Cost Estimate USD]]=""),"",tblsales[[#This Row],[Contract Value USD]]-tblsales[[#This Row],[Cost Estimate USD]])</f>
        <v>1377788.0737950006</v>
      </c>
      <c r="BD588" s="23">
        <f>IF(tblsales[[#This Row],[Invoice Value USD]]="","",tblsales[[#This Row],[Collected Amount USD]]/tblsales[[#This Row],[Invoice Value USD]])</f>
        <v>0.61959900348103691</v>
      </c>
      <c r="BE588" s="11">
        <f>IF(tblsales[[#This Row],[SalesStage]]="Won",1,0)</f>
        <v>0</v>
      </c>
      <c r="BF588" s="21" t="str">
        <f>IF(tblsales[[#This Row],[Win Flag]]=1,"Won","Lost")</f>
        <v>Lost</v>
      </c>
      <c r="BG588" s="8"/>
    </row>
    <row r="589" spans="1:59" x14ac:dyDescent="0.3">
      <c r="A589" s="10" t="s">
        <v>2067</v>
      </c>
      <c r="B589" s="9">
        <v>45909</v>
      </c>
      <c r="C589" s="10" t="s">
        <v>219</v>
      </c>
      <c r="D589" s="10" t="s">
        <v>255</v>
      </c>
      <c r="E589" s="10" t="s">
        <v>332</v>
      </c>
      <c r="F589" s="10" t="s">
        <v>367</v>
      </c>
      <c r="G589" s="10" t="s">
        <v>16</v>
      </c>
      <c r="H589" s="10" t="s">
        <v>332</v>
      </c>
      <c r="I589" s="10" t="s">
        <v>183</v>
      </c>
      <c r="J589" s="10" t="s">
        <v>99</v>
      </c>
      <c r="K589" s="10" t="s">
        <v>221</v>
      </c>
      <c r="L589" s="10" t="s">
        <v>2068</v>
      </c>
      <c r="M589" s="9">
        <v>45854</v>
      </c>
      <c r="N589" s="9">
        <v>45956</v>
      </c>
      <c r="O589" s="9">
        <v>45954</v>
      </c>
      <c r="P589" s="11">
        <v>31</v>
      </c>
      <c r="Q589" s="12">
        <v>16128357</v>
      </c>
      <c r="R589">
        <v>16128357</v>
      </c>
      <c r="S589" s="22">
        <v>0.18</v>
      </c>
      <c r="T589" s="22">
        <v>0.18</v>
      </c>
      <c r="U589" s="12">
        <v>15605798.23</v>
      </c>
      <c r="V589" s="24">
        <v>15605798.23</v>
      </c>
      <c r="W589" s="8">
        <v>13801724.890000001</v>
      </c>
      <c r="X589" s="24">
        <v>13801724.890000001</v>
      </c>
      <c r="Y589" s="22">
        <v>0.32</v>
      </c>
      <c r="Z589" s="22">
        <v>0.12</v>
      </c>
      <c r="AA589" s="8" t="s">
        <v>2069</v>
      </c>
      <c r="AB589" s="8">
        <v>2668718.67</v>
      </c>
      <c r="AC589" s="24">
        <v>2668718.67</v>
      </c>
      <c r="AD589" s="8">
        <v>1307155.25</v>
      </c>
      <c r="AE589" s="24">
        <v>1307155.25</v>
      </c>
      <c r="AF589" s="8">
        <v>45</v>
      </c>
      <c r="AG589" s="8">
        <v>108</v>
      </c>
      <c r="AH589" s="8" t="s">
        <v>332</v>
      </c>
      <c r="AI589" s="8" t="s">
        <v>455</v>
      </c>
      <c r="AJ589" s="22">
        <v>0.86</v>
      </c>
      <c r="AK589" s="8" t="s">
        <v>152</v>
      </c>
      <c r="AL589" s="22">
        <v>0.1</v>
      </c>
      <c r="AM589" s="22">
        <v>0.09</v>
      </c>
      <c r="AN589" s="8">
        <v>14</v>
      </c>
      <c r="AO589" s="8">
        <v>871</v>
      </c>
      <c r="AP589" s="8">
        <v>3888210.66</v>
      </c>
      <c r="AQ589" s="24">
        <v>3888210.66</v>
      </c>
      <c r="AR589" s="8">
        <v>2571672.77</v>
      </c>
      <c r="AS589" s="37">
        <v>2571672.77</v>
      </c>
      <c r="AT589" s="8" t="s">
        <v>343</v>
      </c>
      <c r="AU589" s="8" t="s">
        <v>332</v>
      </c>
      <c r="AV589" s="8">
        <v>54.4</v>
      </c>
      <c r="AW589" s="8">
        <v>48</v>
      </c>
      <c r="AX589" s="8" t="s">
        <v>337</v>
      </c>
      <c r="AY589" s="8" t="s">
        <v>224</v>
      </c>
      <c r="AZ589" s="8" t="s">
        <v>188</v>
      </c>
      <c r="BA589" s="21">
        <f>IF(OR(tblsales[[#This Row],[Invoice Value USD]]="",tblsales[[#This Row],[Collected Amount USD]]=""),"",tblsales[[#This Row],[Invoice Value USD]]-tblsales[[#This Row],[Collected Amount USD]])</f>
        <v>1361563.42</v>
      </c>
      <c r="BB589" s="21">
        <f>IF(OR(tblsales[[#This Row],[Contract Value USD]]="",tblsales[[#This Row],[Cost Estimate USD]]=""),"",tblsales[[#This Row],[Contract Value USD]]-tblsales[[#This Row],[Cost Estimate USD]])</f>
        <v>1804073.3399999999</v>
      </c>
      <c r="BC589" s="21">
        <f>IF(OR(tblsales[[#This Row],[Contract Value USD]]="",tblsales[[#This Row],[Cost Estimate USD]]=""),"",tblsales[[#This Row],[Contract Value USD]]-tblsales[[#This Row],[Cost Estimate USD]])</f>
        <v>1804073.3399999999</v>
      </c>
      <c r="BD589" s="23">
        <f>IF(tblsales[[#This Row],[Invoice Value USD]]="","",tblsales[[#This Row],[Collected Amount USD]]/tblsales[[#This Row],[Invoice Value USD]])</f>
        <v>0.48980631218051923</v>
      </c>
      <c r="BE589" s="11">
        <f>IF(tblsales[[#This Row],[SalesStage]]="Won",1,0)</f>
        <v>0</v>
      </c>
      <c r="BF589" s="21" t="str">
        <f>IF(tblsales[[#This Row],[Win Flag]]=1,"Won","Lost")</f>
        <v>Lost</v>
      </c>
      <c r="BG589" s="8"/>
    </row>
    <row r="590" spans="1:59" x14ac:dyDescent="0.3">
      <c r="A590" s="10" t="s">
        <v>5792</v>
      </c>
      <c r="B590" s="9">
        <v>46074</v>
      </c>
      <c r="C590" s="10" t="s">
        <v>267</v>
      </c>
      <c r="D590" s="10" t="s">
        <v>281</v>
      </c>
      <c r="E590" s="10" t="s">
        <v>20</v>
      </c>
      <c r="F590" s="10" t="s">
        <v>35</v>
      </c>
      <c r="G590" s="10" t="s">
        <v>28</v>
      </c>
      <c r="H590" s="10" t="s">
        <v>212</v>
      </c>
      <c r="I590" s="10" t="s">
        <v>203</v>
      </c>
      <c r="J590" s="10" t="s">
        <v>136</v>
      </c>
      <c r="K590" s="10" t="s">
        <v>221</v>
      </c>
      <c r="L590" s="10" t="s">
        <v>4052</v>
      </c>
      <c r="M590" s="9">
        <v>46041</v>
      </c>
      <c r="N590" s="9"/>
      <c r="O590" s="9">
        <v>46165</v>
      </c>
      <c r="P590" s="11">
        <v>11</v>
      </c>
      <c r="Q590" s="12">
        <v>35938632</v>
      </c>
      <c r="R590">
        <v>35938632</v>
      </c>
      <c r="S590" s="22">
        <v>0.04</v>
      </c>
      <c r="T590" s="22">
        <v>0.15</v>
      </c>
      <c r="U590" s="12">
        <v>39676249.729999997</v>
      </c>
      <c r="V590" s="24">
        <v>39676249.729999997</v>
      </c>
      <c r="W590" s="8">
        <v>27139796.149999999</v>
      </c>
      <c r="X590" s="24">
        <v>27139796.149999999</v>
      </c>
      <c r="Y590" s="22">
        <v>0.28000000000000003</v>
      </c>
      <c r="Z590" s="22">
        <v>0.09</v>
      </c>
      <c r="AA590" s="8" t="s">
        <v>4054</v>
      </c>
      <c r="AB590" s="8">
        <v>10194260.710000001</v>
      </c>
      <c r="AC590" s="24">
        <v>10194260.710000001</v>
      </c>
      <c r="AD590" s="8">
        <v>6463012.2300000004</v>
      </c>
      <c r="AE590" s="24">
        <v>6463012.2300000004</v>
      </c>
      <c r="AF590" s="8">
        <v>120</v>
      </c>
      <c r="AG590" s="8">
        <v>96</v>
      </c>
      <c r="AH590" s="8" t="s">
        <v>329</v>
      </c>
      <c r="AI590" s="8" t="s">
        <v>320</v>
      </c>
      <c r="AJ590" s="22">
        <v>0.72</v>
      </c>
      <c r="AK590" s="8" t="s">
        <v>152</v>
      </c>
      <c r="AL590" s="22">
        <v>0.15</v>
      </c>
      <c r="AM590" s="22">
        <v>0.01</v>
      </c>
      <c r="AN590" s="8">
        <v>1</v>
      </c>
      <c r="AO590" s="8">
        <v>378</v>
      </c>
      <c r="AP590" s="8">
        <v>3478520.84</v>
      </c>
      <c r="AQ590" s="24">
        <v>3478520.84</v>
      </c>
      <c r="AR590" s="8">
        <v>5009297.58</v>
      </c>
      <c r="AS590" s="37">
        <v>5009297.58</v>
      </c>
      <c r="AT590" s="8" t="s">
        <v>391</v>
      </c>
      <c r="AU590" s="8" t="s">
        <v>356</v>
      </c>
      <c r="AV590" s="8">
        <v>65.3</v>
      </c>
      <c r="AW590" s="8">
        <v>12</v>
      </c>
      <c r="AX590" s="8" t="s">
        <v>337</v>
      </c>
      <c r="AY590" s="8" t="s">
        <v>186</v>
      </c>
      <c r="AZ590" s="8" t="s">
        <v>361</v>
      </c>
      <c r="BA590" s="21">
        <f>IF(OR(tblsales[[#This Row],[Invoice Value USD]]="",tblsales[[#This Row],[Collected Amount USD]]=""),"",tblsales[[#This Row],[Invoice Value USD]]-tblsales[[#This Row],[Collected Amount USD]])</f>
        <v>3731248.4800000004</v>
      </c>
      <c r="BB590" s="21">
        <f>IF(OR(tblsales[[#This Row],[Contract Value USD]]="",tblsales[[#This Row],[Cost Estimate USD]]=""),"",tblsales[[#This Row],[Contract Value USD]]-tblsales[[#This Row],[Cost Estimate USD]])</f>
        <v>12536453.579999998</v>
      </c>
      <c r="BC590" s="21">
        <f>IF(OR(tblsales[[#This Row],[Contract Value USD]]="",tblsales[[#This Row],[Cost Estimate USD]]=""),"",tblsales[[#This Row],[Contract Value USD]]-tblsales[[#This Row],[Cost Estimate USD]])</f>
        <v>12536453.579999998</v>
      </c>
      <c r="BD590" s="23">
        <f>IF(tblsales[[#This Row],[Invoice Value USD]]="","",tblsales[[#This Row],[Collected Amount USD]]/tblsales[[#This Row],[Invoice Value USD]])</f>
        <v>0.63398537803336208</v>
      </c>
      <c r="BE590" s="11">
        <f>IF(tblsales[[#This Row],[SalesStage]]="Won",1,0)</f>
        <v>1</v>
      </c>
      <c r="BF590" s="21" t="str">
        <f>IF(tblsales[[#This Row],[Win Flag]]=1,"Won","Lost")</f>
        <v>Won</v>
      </c>
      <c r="BG590" s="8"/>
    </row>
    <row r="591" spans="1:59" x14ac:dyDescent="0.3">
      <c r="A591" s="10" t="s">
        <v>2070</v>
      </c>
      <c r="B591" s="9">
        <v>45726</v>
      </c>
      <c r="C591" s="10" t="s">
        <v>264</v>
      </c>
      <c r="D591" s="10" t="s">
        <v>242</v>
      </c>
      <c r="E591" s="10" t="s">
        <v>20</v>
      </c>
      <c r="F591" s="10" t="s">
        <v>35</v>
      </c>
      <c r="G591" s="10" t="s">
        <v>66</v>
      </c>
      <c r="H591" s="10" t="s">
        <v>182</v>
      </c>
      <c r="I591" s="10" t="s">
        <v>240</v>
      </c>
      <c r="J591" s="10" t="s">
        <v>136</v>
      </c>
      <c r="K591" s="10" t="s">
        <v>333</v>
      </c>
      <c r="L591" s="10" t="s">
        <v>2071</v>
      </c>
      <c r="M591" s="9">
        <v>45657</v>
      </c>
      <c r="N591" s="9"/>
      <c r="O591" s="9">
        <v>45824</v>
      </c>
      <c r="P591" s="11">
        <v>39</v>
      </c>
      <c r="Q591" s="12">
        <v>3375935</v>
      </c>
      <c r="R591">
        <v>3375935</v>
      </c>
      <c r="S591" s="22">
        <v>0.26</v>
      </c>
      <c r="T591" s="22">
        <v>0.14000000000000001</v>
      </c>
      <c r="U591" s="12">
        <v>2847938.77</v>
      </c>
      <c r="V591" s="24">
        <v>2847938.77</v>
      </c>
      <c r="W591" s="8">
        <v>2098764.16</v>
      </c>
      <c r="X591" s="24">
        <v>2098764.16</v>
      </c>
      <c r="Y591" s="22">
        <v>0.11</v>
      </c>
      <c r="Z591" s="22">
        <v>0.09</v>
      </c>
      <c r="AA591" s="8" t="s">
        <v>2072</v>
      </c>
      <c r="AB591" s="8">
        <v>2559529.48</v>
      </c>
      <c r="AC591" s="24">
        <v>2559529.48</v>
      </c>
      <c r="AD591" s="8">
        <v>2169728.56</v>
      </c>
      <c r="AE591" s="24">
        <v>2169728.56</v>
      </c>
      <c r="AF591" s="8">
        <v>45</v>
      </c>
      <c r="AG591" s="8">
        <v>174</v>
      </c>
      <c r="AH591" s="8" t="s">
        <v>353</v>
      </c>
      <c r="AI591" s="8" t="s">
        <v>320</v>
      </c>
      <c r="AJ591" s="22">
        <v>0.27</v>
      </c>
      <c r="AK591" s="8" t="s">
        <v>152</v>
      </c>
      <c r="AL591" s="22">
        <v>0.1</v>
      </c>
      <c r="AM591" s="22">
        <v>0.05</v>
      </c>
      <c r="AN591" s="8">
        <v>14</v>
      </c>
      <c r="AO591" s="8">
        <v>4116</v>
      </c>
      <c r="AP591" s="8">
        <v>390894.88</v>
      </c>
      <c r="AQ591" s="24">
        <v>390894.88</v>
      </c>
      <c r="AR591" s="8">
        <v>1019790.41</v>
      </c>
      <c r="AS591" s="37">
        <v>1019790.41</v>
      </c>
      <c r="AT591" s="8" t="s">
        <v>355</v>
      </c>
      <c r="AU591" s="8" t="s">
        <v>330</v>
      </c>
      <c r="AV591" s="8">
        <v>63.7</v>
      </c>
      <c r="AW591" s="8">
        <v>24</v>
      </c>
      <c r="AX591" s="8" t="s">
        <v>332</v>
      </c>
      <c r="AY591" s="8" t="s">
        <v>229</v>
      </c>
      <c r="AZ591" s="8" t="s">
        <v>332</v>
      </c>
      <c r="BA591" s="21">
        <f>IF(OR(tblsales[[#This Row],[Invoice Value USD]]="",tblsales[[#This Row],[Collected Amount USD]]=""),"",tblsales[[#This Row],[Invoice Value USD]]-tblsales[[#This Row],[Collected Amount USD]])</f>
        <v>389800.91999999993</v>
      </c>
      <c r="BB591" s="21">
        <f>IF(OR(tblsales[[#This Row],[Contract Value USD]]="",tblsales[[#This Row],[Cost Estimate USD]]=""),"",tblsales[[#This Row],[Contract Value USD]]-tblsales[[#This Row],[Cost Estimate USD]])</f>
        <v>749174.60999999987</v>
      </c>
      <c r="BC591" s="21">
        <f>IF(OR(tblsales[[#This Row],[Contract Value USD]]="",tblsales[[#This Row],[Cost Estimate USD]]=""),"",tblsales[[#This Row],[Contract Value USD]]-tblsales[[#This Row],[Cost Estimate USD]])</f>
        <v>749174.60999999987</v>
      </c>
      <c r="BD591" s="23">
        <f>IF(tblsales[[#This Row],[Invoice Value USD]]="","",tblsales[[#This Row],[Collected Amount USD]]/tblsales[[#This Row],[Invoice Value USD]])</f>
        <v>0.84770602446821597</v>
      </c>
      <c r="BE591" s="11">
        <f>IF(tblsales[[#This Row],[SalesStage]]="Won",1,0)</f>
        <v>1</v>
      </c>
      <c r="BF591" s="21" t="str">
        <f>IF(tblsales[[#This Row],[Win Flag]]=1,"Won","Lost")</f>
        <v>Won</v>
      </c>
      <c r="BG591" s="8"/>
    </row>
    <row r="592" spans="1:59" x14ac:dyDescent="0.3">
      <c r="A592" s="10" t="s">
        <v>2073</v>
      </c>
      <c r="B592" s="9">
        <v>46056</v>
      </c>
      <c r="C592" s="10" t="s">
        <v>239</v>
      </c>
      <c r="D592" s="10" t="s">
        <v>332</v>
      </c>
      <c r="E592" s="10" t="s">
        <v>36</v>
      </c>
      <c r="F592" s="10" t="s">
        <v>19</v>
      </c>
      <c r="G592" s="10" t="s">
        <v>57</v>
      </c>
      <c r="H592" s="10" t="s">
        <v>216</v>
      </c>
      <c r="I592" s="10" t="s">
        <v>213</v>
      </c>
      <c r="J592" s="10" t="s">
        <v>115</v>
      </c>
      <c r="K592" s="10" t="s">
        <v>223</v>
      </c>
      <c r="L592" s="10" t="s">
        <v>2074</v>
      </c>
      <c r="M592" s="9">
        <v>46014</v>
      </c>
      <c r="N592" s="9">
        <v>46070</v>
      </c>
      <c r="O592" s="9">
        <v>46058</v>
      </c>
      <c r="P592" s="11">
        <v>6</v>
      </c>
      <c r="Q592" s="12">
        <v>21117726</v>
      </c>
      <c r="R592">
        <v>5632097.5241999999</v>
      </c>
      <c r="S592" s="22">
        <v>0.26</v>
      </c>
      <c r="T592" s="22">
        <v>-0.04</v>
      </c>
      <c r="U592" s="12">
        <v>15002032.550000001</v>
      </c>
      <c r="V592" s="24">
        <v>4001042.0810850002</v>
      </c>
      <c r="W592" s="8">
        <v>13337709.67</v>
      </c>
      <c r="X592" s="24">
        <v>3557167.1689889999</v>
      </c>
      <c r="Y592" s="22">
        <v>0.17</v>
      </c>
      <c r="Z592" s="22">
        <v>0.12</v>
      </c>
      <c r="AA592" s="8" t="s">
        <v>2075</v>
      </c>
      <c r="AB592" s="8">
        <v>8737510.2899999991</v>
      </c>
      <c r="AC592" s="24">
        <v>2330293.9943429995</v>
      </c>
      <c r="AD592" s="8">
        <v>8180820.2000000002</v>
      </c>
      <c r="AE592" s="24">
        <v>2181824.7473399998</v>
      </c>
      <c r="AF592" s="8">
        <v>60</v>
      </c>
      <c r="AG592" s="8">
        <v>125</v>
      </c>
      <c r="AH592" s="8" t="s">
        <v>376</v>
      </c>
      <c r="AI592" s="8" t="s">
        <v>381</v>
      </c>
      <c r="AJ592" s="22">
        <v>0.81</v>
      </c>
      <c r="AK592" s="8" t="s">
        <v>162</v>
      </c>
      <c r="AL592" s="22">
        <v>0.15</v>
      </c>
      <c r="AM592" s="22">
        <v>0.04</v>
      </c>
      <c r="AN592" s="8">
        <v>6</v>
      </c>
      <c r="AO592" s="8">
        <v>2767</v>
      </c>
      <c r="AP592" s="8">
        <v>2624861.09</v>
      </c>
      <c r="AQ592" s="24">
        <v>700050.45270299993</v>
      </c>
      <c r="AR592" s="8">
        <v>7122784.5899999999</v>
      </c>
      <c r="AS592" s="37">
        <v>1899646.6501529999</v>
      </c>
      <c r="AT592" s="8" t="s">
        <v>385</v>
      </c>
      <c r="AU592" s="8" t="s">
        <v>356</v>
      </c>
      <c r="AV592" s="8">
        <v>52.8</v>
      </c>
      <c r="AW592" s="8">
        <v>48</v>
      </c>
      <c r="AX592" s="8" t="s">
        <v>387</v>
      </c>
      <c r="AY592" s="8" t="s">
        <v>206</v>
      </c>
      <c r="AZ592" s="8" t="s">
        <v>377</v>
      </c>
      <c r="BA592" s="21">
        <f>IF(OR(tblsales[[#This Row],[Invoice Value USD]]="",tblsales[[#This Row],[Collected Amount USD]]=""),"",tblsales[[#This Row],[Invoice Value USD]]-tblsales[[#This Row],[Collected Amount USD]])</f>
        <v>148469.24700299976</v>
      </c>
      <c r="BB592" s="21">
        <f>IF(OR(tblsales[[#This Row],[Contract Value USD]]="",tblsales[[#This Row],[Cost Estimate USD]]=""),"",tblsales[[#This Row],[Contract Value USD]]-tblsales[[#This Row],[Cost Estimate USD]])</f>
        <v>443874.91209600028</v>
      </c>
      <c r="BC592" s="21">
        <f>IF(OR(tblsales[[#This Row],[Contract Value USD]]="",tblsales[[#This Row],[Cost Estimate USD]]=""),"",tblsales[[#This Row],[Contract Value USD]]-tblsales[[#This Row],[Cost Estimate USD]])</f>
        <v>443874.91209600028</v>
      </c>
      <c r="BD592" s="23">
        <f>IF(tblsales[[#This Row],[Invoice Value USD]]="","",tblsales[[#This Row],[Collected Amount USD]]/tblsales[[#This Row],[Invoice Value USD]])</f>
        <v>0.9362873322578944</v>
      </c>
      <c r="BE592" s="11">
        <f>IF(tblsales[[#This Row],[SalesStage]]="Won",1,0)</f>
        <v>0</v>
      </c>
      <c r="BF592" s="21" t="str">
        <f>IF(tblsales[[#This Row],[Win Flag]]=1,"Won","Lost")</f>
        <v>Lost</v>
      </c>
      <c r="BG592" s="8"/>
    </row>
    <row r="593" spans="1:59" x14ac:dyDescent="0.3">
      <c r="A593" s="10" t="s">
        <v>2076</v>
      </c>
      <c r="B593" s="9">
        <v>45927</v>
      </c>
      <c r="C593" s="10" t="s">
        <v>286</v>
      </c>
      <c r="D593" s="10" t="s">
        <v>255</v>
      </c>
      <c r="E593" s="10" t="s">
        <v>332</v>
      </c>
      <c r="F593" s="10" t="s">
        <v>31</v>
      </c>
      <c r="G593" s="10" t="s">
        <v>66</v>
      </c>
      <c r="H593" s="10" t="s">
        <v>182</v>
      </c>
      <c r="I593" s="10" t="s">
        <v>240</v>
      </c>
      <c r="J593" s="10" t="s">
        <v>99</v>
      </c>
      <c r="K593" s="10" t="s">
        <v>184</v>
      </c>
      <c r="L593" s="10" t="s">
        <v>2077</v>
      </c>
      <c r="M593" s="9">
        <v>45882</v>
      </c>
      <c r="N593" s="9">
        <v>45928</v>
      </c>
      <c r="O593" s="9">
        <v>46009</v>
      </c>
      <c r="P593" s="11"/>
      <c r="Q593" s="12">
        <v>36307697</v>
      </c>
      <c r="R593">
        <v>9886585.8930999991</v>
      </c>
      <c r="S593" s="22">
        <v>0.34</v>
      </c>
      <c r="T593" s="22">
        <v>0.1</v>
      </c>
      <c r="U593" s="12">
        <v>26359388.02</v>
      </c>
      <c r="V593" s="24">
        <v>7177661.3578459993</v>
      </c>
      <c r="W593" s="8">
        <v>23336251.899999999</v>
      </c>
      <c r="X593" s="24">
        <v>6354461.3923699996</v>
      </c>
      <c r="Y593" s="22">
        <v>0.2</v>
      </c>
      <c r="Z593" s="22">
        <v>0.17</v>
      </c>
      <c r="AA593" s="8" t="s">
        <v>2078</v>
      </c>
      <c r="AB593" s="8">
        <v>20961460.030000001</v>
      </c>
      <c r="AC593" s="24">
        <v>5707805.5661690002</v>
      </c>
      <c r="AD593" s="8">
        <v>17093558.68</v>
      </c>
      <c r="AE593" s="24">
        <v>4654576.0285639996</v>
      </c>
      <c r="AF593" s="8">
        <v>45</v>
      </c>
      <c r="AG593" s="8">
        <v>28</v>
      </c>
      <c r="AH593" s="8" t="s">
        <v>329</v>
      </c>
      <c r="AI593" s="8" t="s">
        <v>381</v>
      </c>
      <c r="AJ593" s="22">
        <v>0.77</v>
      </c>
      <c r="AK593" s="8" t="s">
        <v>153</v>
      </c>
      <c r="AL593" s="22">
        <v>0.05</v>
      </c>
      <c r="AM593" s="22">
        <v>0.08</v>
      </c>
      <c r="AN593" s="8">
        <v>14</v>
      </c>
      <c r="AO593" s="8">
        <v>3860</v>
      </c>
      <c r="AP593" s="8">
        <v>5408867.6100000003</v>
      </c>
      <c r="AQ593" s="24">
        <v>1472834.6502030001</v>
      </c>
      <c r="AR593" s="8">
        <v>7929754.5300000003</v>
      </c>
      <c r="AS593" s="37">
        <v>2159272.1585189998</v>
      </c>
      <c r="AT593" s="8" t="s">
        <v>73</v>
      </c>
      <c r="AU593" s="8" t="s">
        <v>386</v>
      </c>
      <c r="AV593" s="8">
        <v>98.1</v>
      </c>
      <c r="AW593" s="8">
        <v>12</v>
      </c>
      <c r="AX593" s="8" t="s">
        <v>387</v>
      </c>
      <c r="AY593" s="8" t="s">
        <v>186</v>
      </c>
      <c r="AZ593" s="8" t="s">
        <v>332</v>
      </c>
      <c r="BA593" s="21">
        <f>IF(OR(tblsales[[#This Row],[Invoice Value USD]]="",tblsales[[#This Row],[Collected Amount USD]]=""),"",tblsales[[#This Row],[Invoice Value USD]]-tblsales[[#This Row],[Collected Amount USD]])</f>
        <v>1053229.5376050007</v>
      </c>
      <c r="BB593" s="21">
        <f>IF(OR(tblsales[[#This Row],[Contract Value USD]]="",tblsales[[#This Row],[Cost Estimate USD]]=""),"",tblsales[[#This Row],[Contract Value USD]]-tblsales[[#This Row],[Cost Estimate USD]])</f>
        <v>823199.96547599975</v>
      </c>
      <c r="BC593" s="21">
        <f>IF(OR(tblsales[[#This Row],[Contract Value USD]]="",tblsales[[#This Row],[Cost Estimate USD]]=""),"",tblsales[[#This Row],[Contract Value USD]]-tblsales[[#This Row],[Cost Estimate USD]])</f>
        <v>823199.96547599975</v>
      </c>
      <c r="BD593" s="23">
        <f>IF(tblsales[[#This Row],[Invoice Value USD]]="","",tblsales[[#This Row],[Collected Amount USD]]/tblsales[[#This Row],[Invoice Value USD]])</f>
        <v>0.81547557543872085</v>
      </c>
      <c r="BE593" s="11">
        <f>IF(tblsales[[#This Row],[SalesStage]]="Won",1,0)</f>
        <v>0</v>
      </c>
      <c r="BF593" s="21" t="str">
        <f>IF(tblsales[[#This Row],[Win Flag]]=1,"Won","Lost")</f>
        <v>Lost</v>
      </c>
      <c r="BG593" s="8"/>
    </row>
    <row r="594" spans="1:59" x14ac:dyDescent="0.3">
      <c r="A594" s="10" t="s">
        <v>2079</v>
      </c>
      <c r="B594" s="9">
        <v>45995</v>
      </c>
      <c r="C594" s="10" t="s">
        <v>237</v>
      </c>
      <c r="D594" s="10" t="s">
        <v>562</v>
      </c>
      <c r="E594" s="10" t="s">
        <v>113</v>
      </c>
      <c r="F594" s="10" t="s">
        <v>181</v>
      </c>
      <c r="G594" s="10" t="s">
        <v>62</v>
      </c>
      <c r="H594" s="10" t="s">
        <v>332</v>
      </c>
      <c r="I594" s="10" t="s">
        <v>240</v>
      </c>
      <c r="J594" s="10" t="s">
        <v>111</v>
      </c>
      <c r="K594" s="10" t="s">
        <v>204</v>
      </c>
      <c r="L594" s="10" t="s">
        <v>2080</v>
      </c>
      <c r="M594" s="9">
        <v>45952</v>
      </c>
      <c r="N594" s="9">
        <v>46005</v>
      </c>
      <c r="O594" s="9">
        <v>46236</v>
      </c>
      <c r="P594" s="11">
        <v>46</v>
      </c>
      <c r="Q594" s="12">
        <v>19913743</v>
      </c>
      <c r="R594">
        <v>19913743</v>
      </c>
      <c r="S594" s="22">
        <v>0.09</v>
      </c>
      <c r="T594" s="22">
        <v>0.14000000000000001</v>
      </c>
      <c r="U594" s="12">
        <v>20658516.989999998</v>
      </c>
      <c r="V594" s="24">
        <v>20658516.989999998</v>
      </c>
      <c r="W594" s="8">
        <v>12972998.33</v>
      </c>
      <c r="X594" s="24">
        <v>12972998.33</v>
      </c>
      <c r="Y594" s="22">
        <v>0.39</v>
      </c>
      <c r="Z594" s="22">
        <v>0.09</v>
      </c>
      <c r="AA594" s="8" t="s">
        <v>2081</v>
      </c>
      <c r="AB594" s="8">
        <v>9173284.3699999992</v>
      </c>
      <c r="AC594" s="24">
        <v>9173284.3699999992</v>
      </c>
      <c r="AD594" s="8">
        <v>3739792.41</v>
      </c>
      <c r="AE594" s="24">
        <v>3739792.41</v>
      </c>
      <c r="AF594" s="8">
        <v>90</v>
      </c>
      <c r="AG594" s="8">
        <v>169</v>
      </c>
      <c r="AH594" s="8" t="s">
        <v>342</v>
      </c>
      <c r="AI594" s="8" t="s">
        <v>406</v>
      </c>
      <c r="AJ594" s="22">
        <v>0.45</v>
      </c>
      <c r="AK594" s="8" t="s">
        <v>152</v>
      </c>
      <c r="AL594" s="22">
        <v>0.15</v>
      </c>
      <c r="AM594" s="22">
        <v>0.06</v>
      </c>
      <c r="AN594" s="8">
        <v>15</v>
      </c>
      <c r="AO594" s="8">
        <v>3054</v>
      </c>
      <c r="AP594" s="8">
        <v>4153241.23</v>
      </c>
      <c r="AQ594" s="24">
        <v>4153241.23</v>
      </c>
      <c r="AR594" s="8">
        <v>5100205.57</v>
      </c>
      <c r="AS594" s="37">
        <v>5100205.57</v>
      </c>
      <c r="AT594" s="8" t="s">
        <v>385</v>
      </c>
      <c r="AU594" s="8" t="s">
        <v>322</v>
      </c>
      <c r="AV594" s="8"/>
      <c r="AW594" s="8"/>
      <c r="AX594" s="8" t="s">
        <v>337</v>
      </c>
      <c r="AY594" s="8" t="s">
        <v>224</v>
      </c>
      <c r="AZ594" s="8" t="s">
        <v>357</v>
      </c>
      <c r="BA594" s="21">
        <f>IF(OR(tblsales[[#This Row],[Invoice Value USD]]="",tblsales[[#This Row],[Collected Amount USD]]=""),"",tblsales[[#This Row],[Invoice Value USD]]-tblsales[[#This Row],[Collected Amount USD]])</f>
        <v>5433491.959999999</v>
      </c>
      <c r="BB594" s="21">
        <f>IF(OR(tblsales[[#This Row],[Contract Value USD]]="",tblsales[[#This Row],[Cost Estimate USD]]=""),"",tblsales[[#This Row],[Contract Value USD]]-tblsales[[#This Row],[Cost Estimate USD]])</f>
        <v>7685518.6599999983</v>
      </c>
      <c r="BC594" s="21">
        <f>IF(OR(tblsales[[#This Row],[Contract Value USD]]="",tblsales[[#This Row],[Cost Estimate USD]]=""),"",tblsales[[#This Row],[Contract Value USD]]-tblsales[[#This Row],[Cost Estimate USD]])</f>
        <v>7685518.6599999983</v>
      </c>
      <c r="BD594" s="23">
        <f>IF(tblsales[[#This Row],[Invoice Value USD]]="","",tblsales[[#This Row],[Collected Amount USD]]/tblsales[[#This Row],[Invoice Value USD]])</f>
        <v>0.40768303468608164</v>
      </c>
      <c r="BE594" s="11">
        <f>IF(tblsales[[#This Row],[SalesStage]]="Won",1,0)</f>
        <v>0</v>
      </c>
      <c r="BF594" s="21" t="str">
        <f>IF(tblsales[[#This Row],[Win Flag]]=1,"Won","Lost")</f>
        <v>Lost</v>
      </c>
      <c r="BG594" s="8"/>
    </row>
    <row r="595" spans="1:59" x14ac:dyDescent="0.3">
      <c r="A595" s="10" t="s">
        <v>2082</v>
      </c>
      <c r="B595" s="9">
        <v>46031</v>
      </c>
      <c r="C595" s="10" t="s">
        <v>275</v>
      </c>
      <c r="D595" s="10" t="s">
        <v>265</v>
      </c>
      <c r="E595" s="10" t="s">
        <v>41</v>
      </c>
      <c r="F595" s="10" t="s">
        <v>228</v>
      </c>
      <c r="G595" s="10" t="s">
        <v>78</v>
      </c>
      <c r="H595" s="10" t="s">
        <v>197</v>
      </c>
      <c r="I595" s="10" t="s">
        <v>240</v>
      </c>
      <c r="J595" s="10" t="s">
        <v>130</v>
      </c>
      <c r="K595" s="10" t="s">
        <v>221</v>
      </c>
      <c r="L595" s="10" t="s">
        <v>2083</v>
      </c>
      <c r="M595" s="9">
        <v>46015</v>
      </c>
      <c r="N595" s="9">
        <v>46039</v>
      </c>
      <c r="O595" s="9"/>
      <c r="P595" s="11">
        <v>19</v>
      </c>
      <c r="Q595" s="12">
        <v>10572146</v>
      </c>
      <c r="R595">
        <v>10572146</v>
      </c>
      <c r="S595" s="22">
        <v>0.13</v>
      </c>
      <c r="T595" s="22">
        <v>0.05</v>
      </c>
      <c r="U595" s="12">
        <v>9657655.3699999992</v>
      </c>
      <c r="V595" s="24">
        <v>9657655.3699999992</v>
      </c>
      <c r="W595" s="8">
        <v>8299622.5499999998</v>
      </c>
      <c r="X595" s="24">
        <v>8299622.5499999998</v>
      </c>
      <c r="Y595" s="22">
        <v>0.2</v>
      </c>
      <c r="Z595" s="22">
        <v>0.2</v>
      </c>
      <c r="AA595" s="8" t="s">
        <v>2084</v>
      </c>
      <c r="AB595" s="8">
        <v>6086601.4100000001</v>
      </c>
      <c r="AC595" s="24">
        <v>6086601.4100000001</v>
      </c>
      <c r="AD595" s="8">
        <v>3267375.49</v>
      </c>
      <c r="AE595" s="24">
        <v>3267375.49</v>
      </c>
      <c r="AF595" s="8">
        <v>60</v>
      </c>
      <c r="AG595" s="8">
        <v>54</v>
      </c>
      <c r="AH595" s="8" t="s">
        <v>376</v>
      </c>
      <c r="AI595" s="8" t="s">
        <v>354</v>
      </c>
      <c r="AJ595" s="22">
        <v>0.41</v>
      </c>
      <c r="AK595" s="8" t="s">
        <v>152</v>
      </c>
      <c r="AL595" s="22">
        <v>0.1</v>
      </c>
      <c r="AM595" s="22">
        <v>0.02</v>
      </c>
      <c r="AN595" s="8">
        <v>4</v>
      </c>
      <c r="AO595" s="8">
        <v>2598</v>
      </c>
      <c r="AP595" s="8">
        <v>459524.71</v>
      </c>
      <c r="AQ595" s="24">
        <v>459524.71</v>
      </c>
      <c r="AR595" s="8">
        <v>1385555.91</v>
      </c>
      <c r="AS595" s="37">
        <v>1385555.91</v>
      </c>
      <c r="AT595" s="8" t="s">
        <v>355</v>
      </c>
      <c r="AU595" s="8" t="s">
        <v>322</v>
      </c>
      <c r="AV595" s="8">
        <v>68.3</v>
      </c>
      <c r="AW595" s="8">
        <v>60</v>
      </c>
      <c r="AX595" s="8" t="s">
        <v>337</v>
      </c>
      <c r="AY595" s="8" t="s">
        <v>192</v>
      </c>
      <c r="AZ595" s="8" t="s">
        <v>188</v>
      </c>
      <c r="BA595" s="21">
        <f>IF(OR(tblsales[[#This Row],[Invoice Value USD]]="",tblsales[[#This Row],[Collected Amount USD]]=""),"",tblsales[[#This Row],[Invoice Value USD]]-tblsales[[#This Row],[Collected Amount USD]])</f>
        <v>2819225.92</v>
      </c>
      <c r="BB595" s="21">
        <f>IF(OR(tblsales[[#This Row],[Contract Value USD]]="",tblsales[[#This Row],[Cost Estimate USD]]=""),"",tblsales[[#This Row],[Contract Value USD]]-tblsales[[#This Row],[Cost Estimate USD]])</f>
        <v>1358032.8199999994</v>
      </c>
      <c r="BC595" s="21">
        <f>IF(OR(tblsales[[#This Row],[Contract Value USD]]="",tblsales[[#This Row],[Cost Estimate USD]]=""),"",tblsales[[#This Row],[Contract Value USD]]-tblsales[[#This Row],[Cost Estimate USD]])</f>
        <v>1358032.8199999994</v>
      </c>
      <c r="BD595" s="23">
        <f>IF(tblsales[[#This Row],[Invoice Value USD]]="","",tblsales[[#This Row],[Collected Amount USD]]/tblsales[[#This Row],[Invoice Value USD]])</f>
        <v>0.53681443385332506</v>
      </c>
      <c r="BE595" s="11">
        <f>IF(tblsales[[#This Row],[SalesStage]]="Won",1,0)</f>
        <v>0</v>
      </c>
      <c r="BF595" s="21" t="str">
        <f>IF(tblsales[[#This Row],[Win Flag]]=1,"Won","Lost")</f>
        <v>Lost</v>
      </c>
      <c r="BG595" s="8"/>
    </row>
    <row r="596" spans="1:59" x14ac:dyDescent="0.3">
      <c r="A596" s="10" t="s">
        <v>2085</v>
      </c>
      <c r="B596" s="9">
        <v>45931</v>
      </c>
      <c r="C596" s="10" t="s">
        <v>219</v>
      </c>
      <c r="D596" s="10" t="s">
        <v>220</v>
      </c>
      <c r="E596" s="10" t="s">
        <v>113</v>
      </c>
      <c r="F596" s="10" t="s">
        <v>181</v>
      </c>
      <c r="G596" s="10" t="s">
        <v>38</v>
      </c>
      <c r="H596" s="10" t="s">
        <v>212</v>
      </c>
      <c r="I596" s="10" t="s">
        <v>191</v>
      </c>
      <c r="J596" s="10" t="s">
        <v>123</v>
      </c>
      <c r="K596" s="10" t="s">
        <v>221</v>
      </c>
      <c r="L596" s="10" t="s">
        <v>2086</v>
      </c>
      <c r="M596" s="9">
        <v>45841</v>
      </c>
      <c r="N596" s="9">
        <v>45971</v>
      </c>
      <c r="O596" s="9">
        <v>46024</v>
      </c>
      <c r="P596" s="11"/>
      <c r="Q596" s="12">
        <v>18669174</v>
      </c>
      <c r="R596">
        <v>5083616.0801999997</v>
      </c>
      <c r="S596" s="22">
        <v>0.3</v>
      </c>
      <c r="T596" s="22">
        <v>0.03</v>
      </c>
      <c r="U596" s="12">
        <v>13460474.449999999</v>
      </c>
      <c r="V596" s="24">
        <v>3665287.1927349996</v>
      </c>
      <c r="W596" s="8">
        <v>10764285.18</v>
      </c>
      <c r="X596" s="24">
        <v>2931114.854514</v>
      </c>
      <c r="Y596" s="22">
        <v>0.28999999999999998</v>
      </c>
      <c r="Z596" s="22">
        <v>0.18</v>
      </c>
      <c r="AA596" s="8" t="s">
        <v>2087</v>
      </c>
      <c r="AB596" s="8">
        <v>3071761.81</v>
      </c>
      <c r="AC596" s="24">
        <v>836440.74086299993</v>
      </c>
      <c r="AD596" s="8">
        <v>2796995.64</v>
      </c>
      <c r="AE596" s="24">
        <v>761621.91277199995</v>
      </c>
      <c r="AF596" s="8">
        <v>60</v>
      </c>
      <c r="AG596" s="8">
        <v>138</v>
      </c>
      <c r="AH596" s="8" t="s">
        <v>376</v>
      </c>
      <c r="AI596" s="8" t="s">
        <v>354</v>
      </c>
      <c r="AJ596" s="22">
        <v>0.96</v>
      </c>
      <c r="AK596" s="8" t="s">
        <v>153</v>
      </c>
      <c r="AL596" s="22">
        <v>0.1</v>
      </c>
      <c r="AM596" s="22">
        <v>0.06</v>
      </c>
      <c r="AN596" s="8">
        <v>11</v>
      </c>
      <c r="AO596" s="8">
        <v>2307</v>
      </c>
      <c r="AP596" s="8">
        <v>1734692.26</v>
      </c>
      <c r="AQ596" s="24">
        <v>472356.70239799999</v>
      </c>
      <c r="AR596" s="8">
        <v>2708850.52</v>
      </c>
      <c r="AS596" s="37">
        <v>737619.99659599992</v>
      </c>
      <c r="AT596" s="8" t="s">
        <v>343</v>
      </c>
      <c r="AU596" s="8" t="s">
        <v>332</v>
      </c>
      <c r="AV596" s="8">
        <v>60.6</v>
      </c>
      <c r="AW596" s="8">
        <v>36</v>
      </c>
      <c r="AX596" s="8" t="s">
        <v>392</v>
      </c>
      <c r="AY596" s="8" t="s">
        <v>186</v>
      </c>
      <c r="AZ596" s="8" t="s">
        <v>332</v>
      </c>
      <c r="BA596" s="21">
        <f>IF(OR(tblsales[[#This Row],[Invoice Value USD]]="",tblsales[[#This Row],[Collected Amount USD]]=""),"",tblsales[[#This Row],[Invoice Value USD]]-tblsales[[#This Row],[Collected Amount USD]])</f>
        <v>74818.828090999974</v>
      </c>
      <c r="BB596" s="21">
        <f>IF(OR(tblsales[[#This Row],[Contract Value USD]]="",tblsales[[#This Row],[Cost Estimate USD]]=""),"",tblsales[[#This Row],[Contract Value USD]]-tblsales[[#This Row],[Cost Estimate USD]])</f>
        <v>734172.33822099958</v>
      </c>
      <c r="BC596" s="21">
        <f>IF(OR(tblsales[[#This Row],[Contract Value USD]]="",tblsales[[#This Row],[Cost Estimate USD]]=""),"",tblsales[[#This Row],[Contract Value USD]]-tblsales[[#This Row],[Cost Estimate USD]])</f>
        <v>734172.33822099958</v>
      </c>
      <c r="BD596" s="23">
        <f>IF(tblsales[[#This Row],[Invoice Value USD]]="","",tblsales[[#This Row],[Collected Amount USD]]/tblsales[[#This Row],[Invoice Value USD]])</f>
        <v>0.91055095186563317</v>
      </c>
      <c r="BE596" s="11">
        <f>IF(tblsales[[#This Row],[SalesStage]]="Won",1,0)</f>
        <v>0</v>
      </c>
      <c r="BF596" s="21" t="str">
        <f>IF(tblsales[[#This Row],[Win Flag]]=1,"Won","Lost")</f>
        <v>Lost</v>
      </c>
      <c r="BG596" s="8"/>
    </row>
    <row r="597" spans="1:59" x14ac:dyDescent="0.3">
      <c r="A597" s="10" t="s">
        <v>2088</v>
      </c>
      <c r="B597" s="9">
        <v>46071</v>
      </c>
      <c r="C597" s="10" t="s">
        <v>249</v>
      </c>
      <c r="D597" s="10" t="s">
        <v>262</v>
      </c>
      <c r="E597" s="10" t="s">
        <v>41</v>
      </c>
      <c r="F597" s="10" t="s">
        <v>228</v>
      </c>
      <c r="G597" s="10" t="s">
        <v>73</v>
      </c>
      <c r="H597" s="10" t="s">
        <v>216</v>
      </c>
      <c r="I597" s="10" t="s">
        <v>246</v>
      </c>
      <c r="J597" s="10" t="s">
        <v>105</v>
      </c>
      <c r="K597" s="10" t="s">
        <v>204</v>
      </c>
      <c r="L597" s="10" t="s">
        <v>2089</v>
      </c>
      <c r="M597" s="9">
        <v>46046</v>
      </c>
      <c r="N597" s="9">
        <v>46176</v>
      </c>
      <c r="O597" s="9">
        <v>46147</v>
      </c>
      <c r="P597" s="11">
        <v>25</v>
      </c>
      <c r="Q597" s="12">
        <v>3748025</v>
      </c>
      <c r="R597">
        <v>4351457.0250000004</v>
      </c>
      <c r="S597" s="22">
        <v>0.03</v>
      </c>
      <c r="T597" s="22">
        <v>-0.05</v>
      </c>
      <c r="U597" s="12">
        <v>3453805.04</v>
      </c>
      <c r="V597" s="24">
        <v>4009867.6514400002</v>
      </c>
      <c r="W597" s="8">
        <v>2697130.49</v>
      </c>
      <c r="X597" s="24">
        <v>3131368.4988900004</v>
      </c>
      <c r="Y597" s="22"/>
      <c r="Z597" s="22">
        <v>0.16</v>
      </c>
      <c r="AA597" s="8" t="s">
        <v>2090</v>
      </c>
      <c r="AB597" s="8">
        <v>1841068.17</v>
      </c>
      <c r="AC597" s="24">
        <v>2137480.14537</v>
      </c>
      <c r="AD597" s="8">
        <v>1839285.6</v>
      </c>
      <c r="AE597" s="24">
        <v>2135410.5816000002</v>
      </c>
      <c r="AF597" s="8">
        <v>45</v>
      </c>
      <c r="AG597" s="8">
        <v>100</v>
      </c>
      <c r="AH597" s="8" t="s">
        <v>332</v>
      </c>
      <c r="AI597" s="8" t="s">
        <v>226</v>
      </c>
      <c r="AJ597" s="22">
        <v>0.33</v>
      </c>
      <c r="AK597" s="8" t="s">
        <v>159</v>
      </c>
      <c r="AL597" s="22">
        <v>0.1</v>
      </c>
      <c r="AM597" s="22">
        <v>0.02</v>
      </c>
      <c r="AN597" s="8">
        <v>14</v>
      </c>
      <c r="AO597" s="8">
        <v>2081</v>
      </c>
      <c r="AP597" s="8">
        <v>418887.32</v>
      </c>
      <c r="AQ597" s="24">
        <v>486328.17852000002</v>
      </c>
      <c r="AR597" s="8">
        <v>1660864.6</v>
      </c>
      <c r="AS597" s="37">
        <v>1928263.8006000002</v>
      </c>
      <c r="AT597" s="8" t="s">
        <v>332</v>
      </c>
      <c r="AU597" s="8" t="s">
        <v>321</v>
      </c>
      <c r="AV597" s="8">
        <v>99.6</v>
      </c>
      <c r="AW597" s="8">
        <v>12</v>
      </c>
      <c r="AX597" s="8" t="s">
        <v>323</v>
      </c>
      <c r="AY597" s="8" t="s">
        <v>192</v>
      </c>
      <c r="AZ597" s="8" t="s">
        <v>188</v>
      </c>
      <c r="BA597" s="21">
        <f>IF(OR(tblsales[[#This Row],[Invoice Value USD]]="",tblsales[[#This Row],[Collected Amount USD]]=""),"",tblsales[[#This Row],[Invoice Value USD]]-tblsales[[#This Row],[Collected Amount USD]])</f>
        <v>2069.5637699998915</v>
      </c>
      <c r="BB597" s="21">
        <f>IF(OR(tblsales[[#This Row],[Contract Value USD]]="",tblsales[[#This Row],[Cost Estimate USD]]=""),"",tblsales[[#This Row],[Contract Value USD]]-tblsales[[#This Row],[Cost Estimate USD]])</f>
        <v>878499.15254999977</v>
      </c>
      <c r="BC597" s="21">
        <f>IF(OR(tblsales[[#This Row],[Contract Value USD]]="",tblsales[[#This Row],[Cost Estimate USD]]=""),"",tblsales[[#This Row],[Contract Value USD]]-tblsales[[#This Row],[Cost Estimate USD]])</f>
        <v>878499.15254999977</v>
      </c>
      <c r="BD597" s="23">
        <f>IF(tblsales[[#This Row],[Invoice Value USD]]="","",tblsales[[#This Row],[Collected Amount USD]]/tblsales[[#This Row],[Invoice Value USD]])</f>
        <v>0.99903177403800325</v>
      </c>
      <c r="BE597" s="11">
        <f>IF(tblsales[[#This Row],[SalesStage]]="Won",1,0)</f>
        <v>0</v>
      </c>
      <c r="BF597" s="21" t="str">
        <f>IF(tblsales[[#This Row],[Win Flag]]=1,"Won","Lost")</f>
        <v>Lost</v>
      </c>
      <c r="BG597" s="8"/>
    </row>
    <row r="598" spans="1:59" x14ac:dyDescent="0.3">
      <c r="A598" s="10" t="s">
        <v>2091</v>
      </c>
      <c r="B598" s="9">
        <v>45769</v>
      </c>
      <c r="C598" s="10" t="s">
        <v>286</v>
      </c>
      <c r="D598" s="10" t="s">
        <v>238</v>
      </c>
      <c r="E598" s="10" t="s">
        <v>41</v>
      </c>
      <c r="F598" s="10" t="s">
        <v>363</v>
      </c>
      <c r="G598" s="10" t="s">
        <v>66</v>
      </c>
      <c r="H598" s="10" t="s">
        <v>236</v>
      </c>
      <c r="I598" s="10" t="s">
        <v>191</v>
      </c>
      <c r="J598" s="10" t="s">
        <v>105</v>
      </c>
      <c r="K598" s="10" t="s">
        <v>199</v>
      </c>
      <c r="L598" s="10" t="s">
        <v>2092</v>
      </c>
      <c r="M598" s="9">
        <v>45682</v>
      </c>
      <c r="N598" s="9" t="s">
        <v>2093</v>
      </c>
      <c r="O598" s="9">
        <v>45783</v>
      </c>
      <c r="P598" s="11">
        <v>15</v>
      </c>
      <c r="Q598" s="12">
        <v>9037984</v>
      </c>
      <c r="R598">
        <v>2461043.0431999997</v>
      </c>
      <c r="S598" s="22">
        <v>0.14000000000000001</v>
      </c>
      <c r="T598" s="22">
        <v>0.11</v>
      </c>
      <c r="U598" s="12">
        <v>8627659.5299999993</v>
      </c>
      <c r="V598" s="24">
        <v>2349311.6900189999</v>
      </c>
      <c r="W598" s="8">
        <v>6452656.3499999996</v>
      </c>
      <c r="X598" s="24">
        <v>1757058.3241049999</v>
      </c>
      <c r="Y598" s="22">
        <v>0.28999999999999998</v>
      </c>
      <c r="Z598" s="22">
        <v>0.18</v>
      </c>
      <c r="AA598" s="8" t="s">
        <v>2094</v>
      </c>
      <c r="AB598" s="8">
        <v>2126444.7799999998</v>
      </c>
      <c r="AC598" s="24">
        <v>579030.91359399993</v>
      </c>
      <c r="AD598" s="8">
        <v>1795395.57</v>
      </c>
      <c r="AE598" s="24">
        <v>488886.21371099999</v>
      </c>
      <c r="AF598" s="8">
        <v>120</v>
      </c>
      <c r="AG598" s="8">
        <v>77</v>
      </c>
      <c r="AH598" s="8" t="s">
        <v>342</v>
      </c>
      <c r="AI598" s="8" t="s">
        <v>381</v>
      </c>
      <c r="AJ598" s="22">
        <v>0.28000000000000003</v>
      </c>
      <c r="AK598" s="8" t="s">
        <v>153</v>
      </c>
      <c r="AL598" s="22">
        <v>0.15</v>
      </c>
      <c r="AM598" s="22">
        <v>0.06</v>
      </c>
      <c r="AN598" s="8">
        <v>8</v>
      </c>
      <c r="AO598" s="8">
        <v>2302</v>
      </c>
      <c r="AP598" s="8">
        <v>492831.93</v>
      </c>
      <c r="AQ598" s="24">
        <v>134198.13453899999</v>
      </c>
      <c r="AR598" s="8">
        <v>1582894.43</v>
      </c>
      <c r="AS598" s="37">
        <v>431022.15328899998</v>
      </c>
      <c r="AT598" s="8" t="s">
        <v>343</v>
      </c>
      <c r="AU598" s="8" t="s">
        <v>332</v>
      </c>
      <c r="AV598" s="8">
        <v>86.5</v>
      </c>
      <c r="AW598" s="8">
        <v>24</v>
      </c>
      <c r="AX598" s="8" t="s">
        <v>387</v>
      </c>
      <c r="AY598" s="8" t="s">
        <v>192</v>
      </c>
      <c r="AZ598" s="8" t="s">
        <v>332</v>
      </c>
      <c r="BA598" s="21">
        <f>IF(OR(tblsales[[#This Row],[Invoice Value USD]]="",tblsales[[#This Row],[Collected Amount USD]]=""),"",tblsales[[#This Row],[Invoice Value USD]]-tblsales[[#This Row],[Collected Amount USD]])</f>
        <v>90144.699882999936</v>
      </c>
      <c r="BB598" s="21">
        <f>IF(OR(tblsales[[#This Row],[Contract Value USD]]="",tblsales[[#This Row],[Cost Estimate USD]]=""),"",tblsales[[#This Row],[Contract Value USD]]-tblsales[[#This Row],[Cost Estimate USD]])</f>
        <v>592253.36591399997</v>
      </c>
      <c r="BC598" s="21">
        <f>IF(OR(tblsales[[#This Row],[Contract Value USD]]="",tblsales[[#This Row],[Cost Estimate USD]]=""),"",tblsales[[#This Row],[Contract Value USD]]-tblsales[[#This Row],[Cost Estimate USD]])</f>
        <v>592253.36591399997</v>
      </c>
      <c r="BD598" s="23">
        <f>IF(tblsales[[#This Row],[Invoice Value USD]]="","",tblsales[[#This Row],[Collected Amount USD]]/tblsales[[#This Row],[Invoice Value USD]])</f>
        <v>0.84431798412371672</v>
      </c>
      <c r="BE598" s="11">
        <f>IF(tblsales[[#This Row],[SalesStage]]="Won",1,0)</f>
        <v>0</v>
      </c>
      <c r="BF598" s="21" t="str">
        <f>IF(tblsales[[#This Row],[Win Flag]]=1,"Won","Lost")</f>
        <v>Lost</v>
      </c>
      <c r="BG598" s="8"/>
    </row>
    <row r="599" spans="1:59" x14ac:dyDescent="0.3">
      <c r="A599" s="10" t="s">
        <v>2095</v>
      </c>
      <c r="B599" s="9">
        <v>46050</v>
      </c>
      <c r="C599" s="10" t="s">
        <v>261</v>
      </c>
      <c r="D599" s="10" t="s">
        <v>562</v>
      </c>
      <c r="E599" s="10" t="s">
        <v>41</v>
      </c>
      <c r="F599" s="10" t="s">
        <v>332</v>
      </c>
      <c r="G599" s="10" t="s">
        <v>46</v>
      </c>
      <c r="H599" s="10" t="s">
        <v>182</v>
      </c>
      <c r="I599" s="10" t="s">
        <v>191</v>
      </c>
      <c r="J599" s="10" t="s">
        <v>130</v>
      </c>
      <c r="K599" s="10" t="s">
        <v>204</v>
      </c>
      <c r="L599" s="10" t="s">
        <v>2096</v>
      </c>
      <c r="M599" s="9">
        <v>45984</v>
      </c>
      <c r="N599" s="9">
        <v>46100</v>
      </c>
      <c r="O599" s="9"/>
      <c r="P599" s="11">
        <v>23</v>
      </c>
      <c r="Q599" s="12">
        <v>44915588</v>
      </c>
      <c r="R599">
        <v>44915588</v>
      </c>
      <c r="S599" s="22">
        <v>0.1</v>
      </c>
      <c r="T599" s="22">
        <v>-0.04</v>
      </c>
      <c r="U599" s="12">
        <v>38807068.030000001</v>
      </c>
      <c r="V599" s="24">
        <v>38807068.030000001</v>
      </c>
      <c r="W599" s="8">
        <v>25810848.280000001</v>
      </c>
      <c r="X599" s="24">
        <v>25810848.280000001</v>
      </c>
      <c r="Y599" s="22">
        <v>0.34</v>
      </c>
      <c r="Z599" s="22">
        <v>0.2</v>
      </c>
      <c r="AA599" s="8" t="s">
        <v>2097</v>
      </c>
      <c r="AB599" s="8">
        <v>25967392.68</v>
      </c>
      <c r="AC599" s="24">
        <v>25967392.68</v>
      </c>
      <c r="AD599" s="8">
        <v>15880383.74</v>
      </c>
      <c r="AE599" s="24">
        <v>15880383.74</v>
      </c>
      <c r="AF599" s="8">
        <v>60</v>
      </c>
      <c r="AG599" s="8">
        <v>26</v>
      </c>
      <c r="AH599" s="8" t="s">
        <v>347</v>
      </c>
      <c r="AI599" s="8" t="s">
        <v>455</v>
      </c>
      <c r="AJ599" s="22">
        <v>0.13</v>
      </c>
      <c r="AK599" s="8" t="s">
        <v>152</v>
      </c>
      <c r="AL599" s="22">
        <v>0.15</v>
      </c>
      <c r="AM599" s="22">
        <v>0.04</v>
      </c>
      <c r="AN599" s="8">
        <v>2</v>
      </c>
      <c r="AO599" s="8">
        <v>4990</v>
      </c>
      <c r="AP599" s="8">
        <v>7436281.0800000001</v>
      </c>
      <c r="AQ599" s="24">
        <v>7436281.0800000001</v>
      </c>
      <c r="AR599" s="8">
        <v>16685049.35</v>
      </c>
      <c r="AS599" s="37">
        <v>16685049.35</v>
      </c>
      <c r="AT599" s="8" t="s">
        <v>73</v>
      </c>
      <c r="AU599" s="8" t="s">
        <v>330</v>
      </c>
      <c r="AV599" s="8">
        <v>89.4</v>
      </c>
      <c r="AW599" s="8">
        <v>12</v>
      </c>
      <c r="AX599" s="8" t="s">
        <v>387</v>
      </c>
      <c r="AY599" s="8" t="s">
        <v>186</v>
      </c>
      <c r="AZ599" s="8" t="s">
        <v>377</v>
      </c>
      <c r="BA599" s="21">
        <f>IF(OR(tblsales[[#This Row],[Invoice Value USD]]="",tblsales[[#This Row],[Collected Amount USD]]=""),"",tblsales[[#This Row],[Invoice Value USD]]-tblsales[[#This Row],[Collected Amount USD]])</f>
        <v>10087008.939999999</v>
      </c>
      <c r="BB599" s="21">
        <f>IF(OR(tblsales[[#This Row],[Contract Value USD]]="",tblsales[[#This Row],[Cost Estimate USD]]=""),"",tblsales[[#This Row],[Contract Value USD]]-tblsales[[#This Row],[Cost Estimate USD]])</f>
        <v>12996219.75</v>
      </c>
      <c r="BC599" s="21">
        <f>IF(OR(tblsales[[#This Row],[Contract Value USD]]="",tblsales[[#This Row],[Cost Estimate USD]]=""),"",tblsales[[#This Row],[Contract Value USD]]-tblsales[[#This Row],[Cost Estimate USD]])</f>
        <v>12996219.75</v>
      </c>
      <c r="BD599" s="23">
        <f>IF(tblsales[[#This Row],[Invoice Value USD]]="","",tblsales[[#This Row],[Collected Amount USD]]/tblsales[[#This Row],[Invoice Value USD]])</f>
        <v>0.61155095298539619</v>
      </c>
      <c r="BE599" s="11">
        <f>IF(tblsales[[#This Row],[SalesStage]]="Won",1,0)</f>
        <v>0</v>
      </c>
      <c r="BF599" s="21" t="str">
        <f>IF(tblsales[[#This Row],[Win Flag]]=1,"Won","Lost")</f>
        <v>Lost</v>
      </c>
      <c r="BG599" s="8"/>
    </row>
    <row r="600" spans="1:59" x14ac:dyDescent="0.3">
      <c r="A600" s="10" t="s">
        <v>2098</v>
      </c>
      <c r="B600" s="9">
        <v>45757</v>
      </c>
      <c r="C600" s="10" t="s">
        <v>270</v>
      </c>
      <c r="D600" s="10" t="s">
        <v>332</v>
      </c>
      <c r="E600" s="10" t="s">
        <v>20</v>
      </c>
      <c r="F600" s="10" t="s">
        <v>196</v>
      </c>
      <c r="G600" s="10" t="s">
        <v>46</v>
      </c>
      <c r="H600" s="10" t="s">
        <v>182</v>
      </c>
      <c r="I600" s="10" t="s">
        <v>183</v>
      </c>
      <c r="J600" s="10" t="s">
        <v>136</v>
      </c>
      <c r="K600" s="10" t="s">
        <v>223</v>
      </c>
      <c r="L600" s="10" t="s">
        <v>2099</v>
      </c>
      <c r="M600" s="9">
        <v>45741</v>
      </c>
      <c r="N600" s="9">
        <v>45810</v>
      </c>
      <c r="O600" s="9">
        <v>45875</v>
      </c>
      <c r="P600" s="11">
        <v>42</v>
      </c>
      <c r="Q600" s="12">
        <v>42346515</v>
      </c>
      <c r="R600">
        <v>42346515</v>
      </c>
      <c r="S600" s="22">
        <v>0.22</v>
      </c>
      <c r="T600" s="22">
        <v>0.19</v>
      </c>
      <c r="U600" s="12">
        <v>39306035.219999999</v>
      </c>
      <c r="V600" s="24">
        <v>39306035.219999999</v>
      </c>
      <c r="W600" s="8">
        <v>25856729.109999999</v>
      </c>
      <c r="X600" s="24">
        <v>25856729.109999999</v>
      </c>
      <c r="Y600" s="22">
        <v>0.38</v>
      </c>
      <c r="Z600" s="22">
        <v>0.16</v>
      </c>
      <c r="AA600" s="8" t="s">
        <v>2100</v>
      </c>
      <c r="AB600" s="8">
        <v>25249094.600000001</v>
      </c>
      <c r="AC600" s="24">
        <v>25249094.600000001</v>
      </c>
      <c r="AD600" s="8">
        <v>15358845.76</v>
      </c>
      <c r="AE600" s="24">
        <v>15358845.76</v>
      </c>
      <c r="AF600" s="8">
        <v>120</v>
      </c>
      <c r="AG600" s="8">
        <v>171</v>
      </c>
      <c r="AH600" s="8" t="s">
        <v>347</v>
      </c>
      <c r="AI600" s="8" t="s">
        <v>320</v>
      </c>
      <c r="AJ600" s="22">
        <v>0.79</v>
      </c>
      <c r="AK600" s="8" t="s">
        <v>152</v>
      </c>
      <c r="AL600" s="22">
        <v>0.1</v>
      </c>
      <c r="AM600" s="22">
        <v>0.03</v>
      </c>
      <c r="AN600" s="8">
        <v>15</v>
      </c>
      <c r="AO600" s="8">
        <v>3066</v>
      </c>
      <c r="AP600" s="8">
        <v>8284728.9699999997</v>
      </c>
      <c r="AQ600" s="24">
        <v>8284728.9699999997</v>
      </c>
      <c r="AR600" s="8">
        <v>12192502.539999999</v>
      </c>
      <c r="AS600" s="37">
        <v>12192502.539999999</v>
      </c>
      <c r="AT600" s="8" t="s">
        <v>385</v>
      </c>
      <c r="AU600" s="8" t="s">
        <v>348</v>
      </c>
      <c r="AV600" s="8">
        <v>94.7</v>
      </c>
      <c r="AW600" s="8">
        <v>12</v>
      </c>
      <c r="AX600" s="8" t="s">
        <v>392</v>
      </c>
      <c r="AY600" s="8" t="s">
        <v>229</v>
      </c>
      <c r="AZ600" s="8" t="s">
        <v>357</v>
      </c>
      <c r="BA600" s="21">
        <f>IF(OR(tblsales[[#This Row],[Invoice Value USD]]="",tblsales[[#This Row],[Collected Amount USD]]=""),"",tblsales[[#This Row],[Invoice Value USD]]-tblsales[[#This Row],[Collected Amount USD]])</f>
        <v>9890248.8400000017</v>
      </c>
      <c r="BB600" s="21">
        <f>IF(OR(tblsales[[#This Row],[Contract Value USD]]="",tblsales[[#This Row],[Cost Estimate USD]]=""),"",tblsales[[#This Row],[Contract Value USD]]-tblsales[[#This Row],[Cost Estimate USD]])</f>
        <v>13449306.109999999</v>
      </c>
      <c r="BC600" s="21">
        <f>IF(OR(tblsales[[#This Row],[Contract Value USD]]="",tblsales[[#This Row],[Cost Estimate USD]]=""),"",tblsales[[#This Row],[Contract Value USD]]-tblsales[[#This Row],[Cost Estimate USD]])</f>
        <v>13449306.109999999</v>
      </c>
      <c r="BD600" s="23">
        <f>IF(tblsales[[#This Row],[Invoice Value USD]]="","",tblsales[[#This Row],[Collected Amount USD]]/tblsales[[#This Row],[Invoice Value USD]])</f>
        <v>0.60829293102652482</v>
      </c>
      <c r="BE600" s="11">
        <f>IF(tblsales[[#This Row],[SalesStage]]="Won",1,0)</f>
        <v>1</v>
      </c>
      <c r="BF600" s="21" t="str">
        <f>IF(tblsales[[#This Row],[Win Flag]]=1,"Won","Lost")</f>
        <v>Won</v>
      </c>
      <c r="BG600" s="8"/>
    </row>
    <row r="601" spans="1:59" x14ac:dyDescent="0.3">
      <c r="A601" s="10" t="s">
        <v>2101</v>
      </c>
      <c r="B601" s="9">
        <v>45701</v>
      </c>
      <c r="C601" s="10" t="s">
        <v>267</v>
      </c>
      <c r="D601" s="10" t="s">
        <v>250</v>
      </c>
      <c r="E601" s="10" t="s">
        <v>113</v>
      </c>
      <c r="F601" s="10" t="s">
        <v>181</v>
      </c>
      <c r="G601" s="10" t="s">
        <v>16</v>
      </c>
      <c r="H601" s="10" t="s">
        <v>236</v>
      </c>
      <c r="I601" s="10" t="s">
        <v>183</v>
      </c>
      <c r="J601" s="10" t="s">
        <v>127</v>
      </c>
      <c r="K601" s="10" t="s">
        <v>184</v>
      </c>
      <c r="L601" s="10" t="s">
        <v>2102</v>
      </c>
      <c r="M601" s="9">
        <v>45901</v>
      </c>
      <c r="N601" s="9"/>
      <c r="O601" s="9">
        <v>45801</v>
      </c>
      <c r="P601" s="11">
        <v>58</v>
      </c>
      <c r="Q601" s="12">
        <v>10710730</v>
      </c>
      <c r="R601">
        <v>2856551.6910000001</v>
      </c>
      <c r="S601" s="22">
        <v>0.33</v>
      </c>
      <c r="T601" s="22">
        <v>-0.02</v>
      </c>
      <c r="U601" s="12">
        <v>7032665.3200000003</v>
      </c>
      <c r="V601" s="24">
        <v>1875611.840844</v>
      </c>
      <c r="W601" s="8"/>
      <c r="X601" s="24"/>
      <c r="Y601" s="22">
        <v>0.38</v>
      </c>
      <c r="Z601" s="22">
        <v>0.12</v>
      </c>
      <c r="AA601" s="8" t="s">
        <v>2103</v>
      </c>
      <c r="AB601" s="8">
        <v>3844700.04</v>
      </c>
      <c r="AC601" s="24">
        <v>1025381.500668</v>
      </c>
      <c r="AD601" s="8">
        <v>3468179.44</v>
      </c>
      <c r="AE601" s="24">
        <v>924963.45664799993</v>
      </c>
      <c r="AF601" s="8">
        <v>60</v>
      </c>
      <c r="AG601" s="8">
        <v>89</v>
      </c>
      <c r="AH601" s="8" t="s">
        <v>353</v>
      </c>
      <c r="AI601" s="8" t="s">
        <v>406</v>
      </c>
      <c r="AJ601" s="22">
        <v>0.22</v>
      </c>
      <c r="AK601" s="8" t="s">
        <v>162</v>
      </c>
      <c r="AL601" s="22">
        <v>0.15</v>
      </c>
      <c r="AM601" s="22">
        <v>0.1</v>
      </c>
      <c r="AN601" s="8">
        <v>10</v>
      </c>
      <c r="AO601" s="8">
        <v>395</v>
      </c>
      <c r="AP601" s="8">
        <v>1152041.25</v>
      </c>
      <c r="AQ601" s="24">
        <v>307249.40137500002</v>
      </c>
      <c r="AR601" s="8">
        <v>2530707.25</v>
      </c>
      <c r="AS601" s="37">
        <v>674939.62357499998</v>
      </c>
      <c r="AT601" s="8" t="s">
        <v>343</v>
      </c>
      <c r="AU601" s="8" t="s">
        <v>321</v>
      </c>
      <c r="AV601" s="8">
        <v>89.8</v>
      </c>
      <c r="AW601" s="8">
        <v>48</v>
      </c>
      <c r="AX601" s="8" t="s">
        <v>337</v>
      </c>
      <c r="AY601" s="8" t="s">
        <v>206</v>
      </c>
      <c r="AZ601" s="8" t="s">
        <v>332</v>
      </c>
      <c r="BA601" s="21">
        <f>IF(OR(tblsales[[#This Row],[Invoice Value USD]]="",tblsales[[#This Row],[Collected Amount USD]]=""),"",tblsales[[#This Row],[Invoice Value USD]]-tblsales[[#This Row],[Collected Amount USD]])</f>
        <v>100418.04402000003</v>
      </c>
      <c r="BB601" s="21" t="str">
        <f>IF(OR(tblsales[[#This Row],[Contract Value USD]]="",tblsales[[#This Row],[Cost Estimate USD]]=""),"",tblsales[[#This Row],[Contract Value USD]]-tblsales[[#This Row],[Cost Estimate USD]])</f>
        <v/>
      </c>
      <c r="BC601" s="21" t="str">
        <f>IF(OR(tblsales[[#This Row],[Contract Value USD]]="",tblsales[[#This Row],[Cost Estimate USD]]=""),"",tblsales[[#This Row],[Contract Value USD]]-tblsales[[#This Row],[Cost Estimate USD]])</f>
        <v/>
      </c>
      <c r="BD601" s="23">
        <f>IF(tblsales[[#This Row],[Invoice Value USD]]="","",tblsales[[#This Row],[Collected Amount USD]]/tblsales[[#This Row],[Invoice Value USD]])</f>
        <v>0.90206762658134443</v>
      </c>
      <c r="BE601" s="11">
        <f>IF(tblsales[[#This Row],[SalesStage]]="Won",1,0)</f>
        <v>0</v>
      </c>
      <c r="BF601" s="21" t="str">
        <f>IF(tblsales[[#This Row],[Win Flag]]=1,"Won","Lost")</f>
        <v>Lost</v>
      </c>
      <c r="BG601" s="8"/>
    </row>
    <row r="602" spans="1:59" x14ac:dyDescent="0.3">
      <c r="A602" s="10" t="s">
        <v>2104</v>
      </c>
      <c r="B602" s="9">
        <v>46043</v>
      </c>
      <c r="C602" s="10" t="s">
        <v>243</v>
      </c>
      <c r="D602" s="10" t="s">
        <v>562</v>
      </c>
      <c r="E602" s="10" t="s">
        <v>113</v>
      </c>
      <c r="F602" s="10" t="s">
        <v>181</v>
      </c>
      <c r="G602" s="10" t="s">
        <v>57</v>
      </c>
      <c r="H602" s="10" t="s">
        <v>182</v>
      </c>
      <c r="I602" s="10" t="s">
        <v>213</v>
      </c>
      <c r="J602" s="10" t="s">
        <v>123</v>
      </c>
      <c r="K602" s="10" t="s">
        <v>184</v>
      </c>
      <c r="L602" s="10" t="s">
        <v>2105</v>
      </c>
      <c r="M602" s="9">
        <v>45912</v>
      </c>
      <c r="N602" s="9"/>
      <c r="O602" s="9">
        <v>46299</v>
      </c>
      <c r="P602" s="11">
        <v>21</v>
      </c>
      <c r="Q602" s="12">
        <v>6707278</v>
      </c>
      <c r="R602">
        <v>6707278</v>
      </c>
      <c r="S602" s="22">
        <v>0.11</v>
      </c>
      <c r="T602" s="22">
        <v>-0.04</v>
      </c>
      <c r="U602" s="12">
        <v>5730698.3200000003</v>
      </c>
      <c r="V602" s="24">
        <v>5730698.3200000003</v>
      </c>
      <c r="W602" s="8">
        <v>3784306.86</v>
      </c>
      <c r="X602" s="24">
        <v>3784306.86</v>
      </c>
      <c r="Y602" s="22">
        <v>0.15</v>
      </c>
      <c r="Z602" s="22">
        <v>0.11</v>
      </c>
      <c r="AA602" s="8" t="s">
        <v>2106</v>
      </c>
      <c r="AB602" s="8">
        <v>3299856.74</v>
      </c>
      <c r="AC602" s="24">
        <v>3299856.74</v>
      </c>
      <c r="AD602" s="8">
        <v>3388904.8</v>
      </c>
      <c r="AE602" s="24">
        <v>3388904.8</v>
      </c>
      <c r="AF602" s="8">
        <v>45</v>
      </c>
      <c r="AG602" s="8">
        <v>64</v>
      </c>
      <c r="AH602" s="8" t="s">
        <v>376</v>
      </c>
      <c r="AI602" s="8" t="s">
        <v>455</v>
      </c>
      <c r="AJ602" s="22">
        <v>0.42</v>
      </c>
      <c r="AK602" s="8" t="s">
        <v>152</v>
      </c>
      <c r="AL602" s="22">
        <v>0.15</v>
      </c>
      <c r="AM602" s="22">
        <v>0.04</v>
      </c>
      <c r="AN602" s="8">
        <v>12</v>
      </c>
      <c r="AO602" s="8">
        <v>4595</v>
      </c>
      <c r="AP602" s="8">
        <v>1030634.29</v>
      </c>
      <c r="AQ602" s="24">
        <v>1030634.29</v>
      </c>
      <c r="AR602" s="8">
        <v>2259673.58</v>
      </c>
      <c r="AS602" s="37">
        <v>2259673.58</v>
      </c>
      <c r="AT602" s="8" t="s">
        <v>391</v>
      </c>
      <c r="AU602" s="8" t="s">
        <v>356</v>
      </c>
      <c r="AV602" s="8">
        <v>68.900000000000006</v>
      </c>
      <c r="AW602" s="8">
        <v>36</v>
      </c>
      <c r="AX602" s="8" t="s">
        <v>332</v>
      </c>
      <c r="AY602" s="8" t="s">
        <v>229</v>
      </c>
      <c r="AZ602" s="8" t="s">
        <v>332</v>
      </c>
      <c r="BA602" s="21">
        <f>IF(OR(tblsales[[#This Row],[Invoice Value USD]]="",tblsales[[#This Row],[Collected Amount USD]]=""),"",tblsales[[#This Row],[Invoice Value USD]]-tblsales[[#This Row],[Collected Amount USD]])</f>
        <v>-89048.05999999959</v>
      </c>
      <c r="BB602" s="21">
        <f>IF(OR(tblsales[[#This Row],[Contract Value USD]]="",tblsales[[#This Row],[Cost Estimate USD]]=""),"",tblsales[[#This Row],[Contract Value USD]]-tblsales[[#This Row],[Cost Estimate USD]])</f>
        <v>1946391.4600000004</v>
      </c>
      <c r="BC602" s="21">
        <f>IF(OR(tblsales[[#This Row],[Contract Value USD]]="",tblsales[[#This Row],[Cost Estimate USD]]=""),"",tblsales[[#This Row],[Contract Value USD]]-tblsales[[#This Row],[Cost Estimate USD]])</f>
        <v>1946391.4600000004</v>
      </c>
      <c r="BD602" s="23">
        <f>IF(tblsales[[#This Row],[Invoice Value USD]]="","",tblsales[[#This Row],[Collected Amount USD]]/tblsales[[#This Row],[Invoice Value USD]])</f>
        <v>1.0269854321009098</v>
      </c>
      <c r="BE602" s="11">
        <f>IF(tblsales[[#This Row],[SalesStage]]="Won",1,0)</f>
        <v>0</v>
      </c>
      <c r="BF602" s="21" t="str">
        <f>IF(tblsales[[#This Row],[Win Flag]]=1,"Won","Lost")</f>
        <v>Lost</v>
      </c>
      <c r="BG602" s="8"/>
    </row>
    <row r="603" spans="1:59" x14ac:dyDescent="0.3">
      <c r="A603" s="10" t="s">
        <v>2107</v>
      </c>
      <c r="B603" s="9">
        <v>45988</v>
      </c>
      <c r="C603" s="10" t="s">
        <v>249</v>
      </c>
      <c r="D603" s="10" t="s">
        <v>180</v>
      </c>
      <c r="E603" s="10" t="s">
        <v>52</v>
      </c>
      <c r="F603" s="10" t="s">
        <v>75</v>
      </c>
      <c r="G603" s="10" t="s">
        <v>16</v>
      </c>
      <c r="H603" s="10" t="s">
        <v>263</v>
      </c>
      <c r="I603" s="10" t="s">
        <v>191</v>
      </c>
      <c r="J603" s="10" t="s">
        <v>119</v>
      </c>
      <c r="K603" s="10" t="s">
        <v>221</v>
      </c>
      <c r="L603" s="10" t="s">
        <v>2108</v>
      </c>
      <c r="M603" s="9">
        <v>45922</v>
      </c>
      <c r="N603" s="9"/>
      <c r="O603" s="9"/>
      <c r="P603" s="11"/>
      <c r="Q603" s="12">
        <v>29510087</v>
      </c>
      <c r="R603">
        <v>8106420.8989000004</v>
      </c>
      <c r="S603" s="22">
        <v>0.17</v>
      </c>
      <c r="T603" s="22">
        <v>-0.01</v>
      </c>
      <c r="U603" s="12">
        <v>24248438.489999998</v>
      </c>
      <c r="V603" s="24">
        <v>6661046.0532029998</v>
      </c>
      <c r="W603" s="8">
        <v>16010560.48</v>
      </c>
      <c r="X603" s="24">
        <v>4398100.9638560005</v>
      </c>
      <c r="Y603" s="22">
        <v>0.33</v>
      </c>
      <c r="Z603" s="22">
        <v>0.18</v>
      </c>
      <c r="AA603" s="8" t="s">
        <v>2109</v>
      </c>
      <c r="AB603" s="8">
        <v>10050316.880000001</v>
      </c>
      <c r="AC603" s="24">
        <v>2760822.0469360002</v>
      </c>
      <c r="AD603" s="8">
        <v>10650260.48</v>
      </c>
      <c r="AE603" s="24">
        <v>2925626.5538560003</v>
      </c>
      <c r="AF603" s="8">
        <v>120</v>
      </c>
      <c r="AG603" s="8">
        <v>115</v>
      </c>
      <c r="AH603" s="8" t="s">
        <v>347</v>
      </c>
      <c r="AI603" s="8" t="s">
        <v>336</v>
      </c>
      <c r="AJ603" s="22">
        <v>0.64</v>
      </c>
      <c r="AK603" s="8" t="s">
        <v>155</v>
      </c>
      <c r="AL603" s="22">
        <v>0.15</v>
      </c>
      <c r="AM603" s="22">
        <v>0.06</v>
      </c>
      <c r="AN603" s="8">
        <v>10</v>
      </c>
      <c r="AO603" s="8">
        <v>1816</v>
      </c>
      <c r="AP603" s="8">
        <v>5775162.3899999997</v>
      </c>
      <c r="AQ603" s="24">
        <v>1586437.1085329999</v>
      </c>
      <c r="AR603" s="8">
        <v>11666691.789999999</v>
      </c>
      <c r="AS603" s="37">
        <v>3204840.2347129998</v>
      </c>
      <c r="AT603" s="8" t="s">
        <v>343</v>
      </c>
      <c r="AU603" s="8" t="s">
        <v>386</v>
      </c>
      <c r="AV603" s="8">
        <v>79</v>
      </c>
      <c r="AW603" s="8">
        <v>48</v>
      </c>
      <c r="AX603" s="8" t="s">
        <v>387</v>
      </c>
      <c r="AY603" s="8" t="s">
        <v>224</v>
      </c>
      <c r="AZ603" s="8" t="s">
        <v>357</v>
      </c>
      <c r="BA603" s="21">
        <f>IF(OR(tblsales[[#This Row],[Invoice Value USD]]="",tblsales[[#This Row],[Collected Amount USD]]=""),"",tblsales[[#This Row],[Invoice Value USD]]-tblsales[[#This Row],[Collected Amount USD]])</f>
        <v>-164804.50692000007</v>
      </c>
      <c r="BB603" s="21">
        <f>IF(OR(tblsales[[#This Row],[Contract Value USD]]="",tblsales[[#This Row],[Cost Estimate USD]]=""),"",tblsales[[#This Row],[Contract Value USD]]-tblsales[[#This Row],[Cost Estimate USD]])</f>
        <v>2262945.0893469993</v>
      </c>
      <c r="BC603" s="21">
        <f>IF(OR(tblsales[[#This Row],[Contract Value USD]]="",tblsales[[#This Row],[Cost Estimate USD]]=""),"",tblsales[[#This Row],[Contract Value USD]]-tblsales[[#This Row],[Cost Estimate USD]])</f>
        <v>2262945.0893469993</v>
      </c>
      <c r="BD603" s="23">
        <f>IF(tblsales[[#This Row],[Invoice Value USD]]="","",tblsales[[#This Row],[Collected Amount USD]]/tblsales[[#This Row],[Invoice Value USD]])</f>
        <v>1.0596939984244558</v>
      </c>
      <c r="BE603" s="11">
        <f>IF(tblsales[[#This Row],[SalesStage]]="Won",1,0)</f>
        <v>0</v>
      </c>
      <c r="BF603" s="21" t="str">
        <f>IF(tblsales[[#This Row],[Win Flag]]=1,"Won","Lost")</f>
        <v>Lost</v>
      </c>
      <c r="BG603" s="8"/>
    </row>
    <row r="604" spans="1:59" x14ac:dyDescent="0.3">
      <c r="A604" s="10" t="s">
        <v>2110</v>
      </c>
      <c r="B604" s="9">
        <v>45660</v>
      </c>
      <c r="C604" s="10" t="s">
        <v>268</v>
      </c>
      <c r="D604" s="10" t="s">
        <v>202</v>
      </c>
      <c r="E604" s="10" t="s">
        <v>113</v>
      </c>
      <c r="F604" s="10" t="s">
        <v>332</v>
      </c>
      <c r="G604" s="10" t="s">
        <v>50</v>
      </c>
      <c r="H604" s="10" t="s">
        <v>182</v>
      </c>
      <c r="I604" s="10" t="s">
        <v>198</v>
      </c>
      <c r="J604" s="10" t="s">
        <v>123</v>
      </c>
      <c r="K604" s="10" t="s">
        <v>199</v>
      </c>
      <c r="L604" s="10" t="s">
        <v>2111</v>
      </c>
      <c r="M604" s="9">
        <v>45641</v>
      </c>
      <c r="N604" s="9">
        <v>45685</v>
      </c>
      <c r="O604" s="9">
        <v>45706</v>
      </c>
      <c r="P604" s="11">
        <v>37</v>
      </c>
      <c r="Q604" s="12">
        <v>2002807</v>
      </c>
      <c r="R604">
        <v>545364.34609999997</v>
      </c>
      <c r="S604" s="22">
        <v>0.2</v>
      </c>
      <c r="T604" s="22">
        <v>0.04</v>
      </c>
      <c r="U604" s="12">
        <v>1666335.42</v>
      </c>
      <c r="V604" s="24">
        <v>453743.13486599998</v>
      </c>
      <c r="W604" s="8">
        <v>1444725.39</v>
      </c>
      <c r="X604" s="24">
        <v>393398.72369699995</v>
      </c>
      <c r="Y604" s="22">
        <v>0.35</v>
      </c>
      <c r="Z604" s="22">
        <v>0.18</v>
      </c>
      <c r="AA604" s="8" t="s">
        <v>2112</v>
      </c>
      <c r="AB604" s="8">
        <v>1017750.96</v>
      </c>
      <c r="AC604" s="24">
        <v>277133.58640799997</v>
      </c>
      <c r="AD604" s="8">
        <v>1007591.95</v>
      </c>
      <c r="AE604" s="24">
        <v>274367.287985</v>
      </c>
      <c r="AF604" s="8">
        <v>60</v>
      </c>
      <c r="AG604" s="8">
        <v>151</v>
      </c>
      <c r="AH604" s="8" t="s">
        <v>353</v>
      </c>
      <c r="AI604" s="8" t="s">
        <v>226</v>
      </c>
      <c r="AJ604" s="22">
        <v>0.16</v>
      </c>
      <c r="AK604" s="8" t="s">
        <v>153</v>
      </c>
      <c r="AL604" s="22">
        <v>0.05</v>
      </c>
      <c r="AM604" s="22">
        <v>0.02</v>
      </c>
      <c r="AN604" s="8">
        <v>9</v>
      </c>
      <c r="AO604" s="8"/>
      <c r="AP604" s="8"/>
      <c r="AQ604" s="24"/>
      <c r="AR604" s="8">
        <v>792270.08</v>
      </c>
      <c r="AS604" s="37">
        <v>215735.14278399997</v>
      </c>
      <c r="AT604" s="8" t="s">
        <v>332</v>
      </c>
      <c r="AU604" s="8" t="s">
        <v>332</v>
      </c>
      <c r="AV604" s="8">
        <v>98.3</v>
      </c>
      <c r="AW604" s="8"/>
      <c r="AX604" s="8" t="s">
        <v>387</v>
      </c>
      <c r="AY604" s="8" t="s">
        <v>186</v>
      </c>
      <c r="AZ604" s="8" t="s">
        <v>332</v>
      </c>
      <c r="BA604" s="21">
        <f>IF(OR(tblsales[[#This Row],[Invoice Value USD]]="",tblsales[[#This Row],[Collected Amount USD]]=""),"",tblsales[[#This Row],[Invoice Value USD]]-tblsales[[#This Row],[Collected Amount USD]])</f>
        <v>2766.2984229999711</v>
      </c>
      <c r="BB604" s="21">
        <f>IF(OR(tblsales[[#This Row],[Contract Value USD]]="",tblsales[[#This Row],[Cost Estimate USD]]=""),"",tblsales[[#This Row],[Contract Value USD]]-tblsales[[#This Row],[Cost Estimate USD]])</f>
        <v>60344.411169000028</v>
      </c>
      <c r="BC604" s="21">
        <f>IF(OR(tblsales[[#This Row],[Contract Value USD]]="",tblsales[[#This Row],[Cost Estimate USD]]=""),"",tblsales[[#This Row],[Contract Value USD]]-tblsales[[#This Row],[Cost Estimate USD]])</f>
        <v>60344.411169000028</v>
      </c>
      <c r="BD604" s="23">
        <f>IF(tblsales[[#This Row],[Invoice Value USD]]="","",tblsales[[#This Row],[Collected Amount USD]]/tblsales[[#This Row],[Invoice Value USD]])</f>
        <v>0.99001817694183269</v>
      </c>
      <c r="BE604" s="11">
        <f>IF(tblsales[[#This Row],[SalesStage]]="Won",1,0)</f>
        <v>0</v>
      </c>
      <c r="BF604" s="21" t="str">
        <f>IF(tblsales[[#This Row],[Win Flag]]=1,"Won","Lost")</f>
        <v>Lost</v>
      </c>
      <c r="BG604" s="8"/>
    </row>
    <row r="605" spans="1:59" x14ac:dyDescent="0.3">
      <c r="A605" s="10" t="s">
        <v>2113</v>
      </c>
      <c r="B605" s="9">
        <v>46033</v>
      </c>
      <c r="C605" s="10" t="s">
        <v>243</v>
      </c>
      <c r="D605" s="10" t="s">
        <v>202</v>
      </c>
      <c r="E605" s="10" t="s">
        <v>36</v>
      </c>
      <c r="F605" s="10" t="s">
        <v>339</v>
      </c>
      <c r="G605" s="10" t="s">
        <v>70</v>
      </c>
      <c r="H605" s="10" t="s">
        <v>182</v>
      </c>
      <c r="I605" s="10" t="s">
        <v>233</v>
      </c>
      <c r="J605" s="10" t="s">
        <v>115</v>
      </c>
      <c r="K605" s="10" t="s">
        <v>326</v>
      </c>
      <c r="L605" s="10" t="s">
        <v>2114</v>
      </c>
      <c r="M605" s="9">
        <v>46008</v>
      </c>
      <c r="N605" s="9"/>
      <c r="O605" s="9">
        <v>46126</v>
      </c>
      <c r="P605" s="11"/>
      <c r="Q605" s="12">
        <v>39878324</v>
      </c>
      <c r="R605">
        <v>46298734.164000005</v>
      </c>
      <c r="S605" s="22">
        <v>0.04</v>
      </c>
      <c r="T605" s="22">
        <v>0.17</v>
      </c>
      <c r="U605" s="12">
        <v>44791333.520000003</v>
      </c>
      <c r="V605" s="24">
        <v>52002738.216720007</v>
      </c>
      <c r="W605" s="8">
        <v>33672841.450000003</v>
      </c>
      <c r="X605" s="24">
        <v>39094168.923450008</v>
      </c>
      <c r="Y605" s="22">
        <v>0.27</v>
      </c>
      <c r="Z605" s="22">
        <v>0.09</v>
      </c>
      <c r="AA605" s="8" t="s">
        <v>2115</v>
      </c>
      <c r="AB605" s="8">
        <v>20826659.300000001</v>
      </c>
      <c r="AC605" s="24">
        <v>24179751.447300002</v>
      </c>
      <c r="AD605" s="8">
        <v>11394217.9</v>
      </c>
      <c r="AE605" s="24">
        <v>13228686.981900001</v>
      </c>
      <c r="AF605" s="8">
        <v>60</v>
      </c>
      <c r="AG605" s="8">
        <v>51</v>
      </c>
      <c r="AH605" s="8" t="s">
        <v>376</v>
      </c>
      <c r="AI605" s="8" t="s">
        <v>320</v>
      </c>
      <c r="AJ605" s="22">
        <v>0.41</v>
      </c>
      <c r="AK605" s="8" t="s">
        <v>159</v>
      </c>
      <c r="AL605" s="22">
        <v>0.1</v>
      </c>
      <c r="AM605" s="22">
        <v>0.02</v>
      </c>
      <c r="AN605" s="8">
        <v>12</v>
      </c>
      <c r="AO605" s="8">
        <v>2125</v>
      </c>
      <c r="AP605" s="8">
        <v>2668031.33</v>
      </c>
      <c r="AQ605" s="24">
        <v>3097584.3741300004</v>
      </c>
      <c r="AR605" s="8">
        <v>6922105.8099999996</v>
      </c>
      <c r="AS605" s="37">
        <v>8036564.8454099996</v>
      </c>
      <c r="AT605" s="8" t="s">
        <v>391</v>
      </c>
      <c r="AU605" s="8" t="s">
        <v>356</v>
      </c>
      <c r="AV605" s="8">
        <v>75.2</v>
      </c>
      <c r="AW605" s="8">
        <v>60</v>
      </c>
      <c r="AX605" s="8" t="s">
        <v>392</v>
      </c>
      <c r="AY605" s="8" t="s">
        <v>192</v>
      </c>
      <c r="AZ605" s="8" t="s">
        <v>332</v>
      </c>
      <c r="BA605" s="21">
        <f>IF(OR(tblsales[[#This Row],[Invoice Value USD]]="",tblsales[[#This Row],[Collected Amount USD]]=""),"",tblsales[[#This Row],[Invoice Value USD]]-tblsales[[#This Row],[Collected Amount USD]])</f>
        <v>10951064.465400001</v>
      </c>
      <c r="BB605" s="21">
        <f>IF(OR(tblsales[[#This Row],[Contract Value USD]]="",tblsales[[#This Row],[Cost Estimate USD]]=""),"",tblsales[[#This Row],[Contract Value USD]]-tblsales[[#This Row],[Cost Estimate USD]])</f>
        <v>12908569.293269999</v>
      </c>
      <c r="BC605" s="21">
        <f>IF(OR(tblsales[[#This Row],[Contract Value USD]]="",tblsales[[#This Row],[Cost Estimate USD]]=""),"",tblsales[[#This Row],[Contract Value USD]]-tblsales[[#This Row],[Cost Estimate USD]])</f>
        <v>12908569.293269999</v>
      </c>
      <c r="BD605" s="23">
        <f>IF(tblsales[[#This Row],[Invoice Value USD]]="","",tblsales[[#This Row],[Collected Amount USD]]/tblsales[[#This Row],[Invoice Value USD]])</f>
        <v>0.54709772392541134</v>
      </c>
      <c r="BE605" s="11">
        <f>IF(tblsales[[#This Row],[SalesStage]]="Won",1,0)</f>
        <v>1</v>
      </c>
      <c r="BF605" s="21" t="str">
        <f>IF(tblsales[[#This Row],[Win Flag]]=1,"Won","Lost")</f>
        <v>Won</v>
      </c>
      <c r="BG605" s="8"/>
    </row>
    <row r="606" spans="1:59" x14ac:dyDescent="0.3">
      <c r="A606" s="10" t="s">
        <v>2116</v>
      </c>
      <c r="B606" s="9">
        <v>45665</v>
      </c>
      <c r="C606" s="10" t="s">
        <v>252</v>
      </c>
      <c r="D606" s="10" t="s">
        <v>245</v>
      </c>
      <c r="E606" s="10" t="s">
        <v>36</v>
      </c>
      <c r="F606" s="10" t="s">
        <v>19</v>
      </c>
      <c r="G606" s="10" t="s">
        <v>73</v>
      </c>
      <c r="H606" s="10" t="s">
        <v>182</v>
      </c>
      <c r="I606" s="10" t="s">
        <v>203</v>
      </c>
      <c r="J606" s="10" t="s">
        <v>115</v>
      </c>
      <c r="K606" s="10" t="s">
        <v>210</v>
      </c>
      <c r="L606" s="10" t="s">
        <v>2117</v>
      </c>
      <c r="M606" s="9">
        <v>45515</v>
      </c>
      <c r="N606" s="9">
        <v>45706</v>
      </c>
      <c r="O606" s="9">
        <v>45721</v>
      </c>
      <c r="P606" s="11">
        <v>28</v>
      </c>
      <c r="Q606" s="12"/>
      <c r="S606" s="22">
        <v>0.25</v>
      </c>
      <c r="T606" s="22">
        <v>-0.02</v>
      </c>
      <c r="U606" s="12">
        <v>22887112.82</v>
      </c>
      <c r="V606" s="24">
        <v>6232160.8208860001</v>
      </c>
      <c r="W606" s="8">
        <v>19337927.530000001</v>
      </c>
      <c r="X606" s="24">
        <v>5265717.6664190004</v>
      </c>
      <c r="Y606" s="22">
        <v>0.18</v>
      </c>
      <c r="Z606" s="22">
        <v>0.18</v>
      </c>
      <c r="AA606" s="8" t="s">
        <v>2118</v>
      </c>
      <c r="AB606" s="8">
        <v>17897512.59</v>
      </c>
      <c r="AC606" s="24">
        <v>4873492.6782569997</v>
      </c>
      <c r="AD606" s="8">
        <v>7353904.6600000001</v>
      </c>
      <c r="AE606" s="24">
        <v>2002468.2389179999</v>
      </c>
      <c r="AF606" s="8">
        <v>30</v>
      </c>
      <c r="AG606" s="8">
        <v>75</v>
      </c>
      <c r="AH606" s="8" t="s">
        <v>347</v>
      </c>
      <c r="AI606" s="8" t="s">
        <v>320</v>
      </c>
      <c r="AJ606" s="22">
        <v>0.73</v>
      </c>
      <c r="AK606" s="8" t="s">
        <v>153</v>
      </c>
      <c r="AL606" s="22">
        <v>0.15</v>
      </c>
      <c r="AM606" s="22">
        <v>0.03</v>
      </c>
      <c r="AN606" s="8">
        <v>11</v>
      </c>
      <c r="AO606" s="8">
        <v>2811</v>
      </c>
      <c r="AP606" s="8">
        <v>1193013.95</v>
      </c>
      <c r="AQ606" s="24">
        <v>324857.69858499995</v>
      </c>
      <c r="AR606" s="8">
        <v>5305528.2</v>
      </c>
      <c r="AS606" s="37">
        <v>1444695.32886</v>
      </c>
      <c r="AT606" s="8" t="s">
        <v>321</v>
      </c>
      <c r="AU606" s="8" t="s">
        <v>330</v>
      </c>
      <c r="AV606" s="8">
        <v>52.3</v>
      </c>
      <c r="AW606" s="8">
        <v>24</v>
      </c>
      <c r="AX606" s="8" t="s">
        <v>337</v>
      </c>
      <c r="AY606" s="8" t="s">
        <v>206</v>
      </c>
      <c r="AZ606" s="8" t="s">
        <v>324</v>
      </c>
      <c r="BA606" s="21">
        <f>IF(OR(tblsales[[#This Row],[Invoice Value USD]]="",tblsales[[#This Row],[Collected Amount USD]]=""),"",tblsales[[#This Row],[Invoice Value USD]]-tblsales[[#This Row],[Collected Amount USD]])</f>
        <v>2871024.4393389998</v>
      </c>
      <c r="BB606" s="21">
        <f>IF(OR(tblsales[[#This Row],[Contract Value USD]]="",tblsales[[#This Row],[Cost Estimate USD]]=""),"",tblsales[[#This Row],[Contract Value USD]]-tblsales[[#This Row],[Cost Estimate USD]])</f>
        <v>966443.15446699969</v>
      </c>
      <c r="BC606" s="21">
        <f>IF(OR(tblsales[[#This Row],[Contract Value USD]]="",tblsales[[#This Row],[Cost Estimate USD]]=""),"",tblsales[[#This Row],[Contract Value USD]]-tblsales[[#This Row],[Cost Estimate USD]])</f>
        <v>966443.15446699969</v>
      </c>
      <c r="BD606" s="23">
        <f>IF(tblsales[[#This Row],[Invoice Value USD]]="","",tblsales[[#This Row],[Collected Amount USD]]/tblsales[[#This Row],[Invoice Value USD]])</f>
        <v>0.41088976040776176</v>
      </c>
      <c r="BE606" s="11">
        <f>IF(tblsales[[#This Row],[SalesStage]]="Won",1,0)</f>
        <v>1</v>
      </c>
      <c r="BF606" s="21" t="str">
        <f>IF(tblsales[[#This Row],[Win Flag]]=1,"Won","Lost")</f>
        <v>Won</v>
      </c>
      <c r="BG606" s="8"/>
    </row>
    <row r="607" spans="1:59" x14ac:dyDescent="0.3">
      <c r="A607" s="10" t="s">
        <v>2119</v>
      </c>
      <c r="B607" s="9">
        <v>45911</v>
      </c>
      <c r="C607" s="10" t="s">
        <v>260</v>
      </c>
      <c r="D607" s="10" t="s">
        <v>262</v>
      </c>
      <c r="E607" s="10" t="s">
        <v>41</v>
      </c>
      <c r="F607" s="10" t="s">
        <v>228</v>
      </c>
      <c r="G607" s="10" t="s">
        <v>57</v>
      </c>
      <c r="H607" s="10" t="s">
        <v>197</v>
      </c>
      <c r="I607" s="10" t="s">
        <v>183</v>
      </c>
      <c r="J607" s="10" t="s">
        <v>130</v>
      </c>
      <c r="K607" s="10" t="s">
        <v>184</v>
      </c>
      <c r="L607" s="10" t="s">
        <v>2120</v>
      </c>
      <c r="M607" s="9">
        <v>45853</v>
      </c>
      <c r="N607" s="9"/>
      <c r="O607" s="9">
        <v>45996</v>
      </c>
      <c r="P607" s="11">
        <v>18</v>
      </c>
      <c r="Q607" s="12">
        <v>35715335</v>
      </c>
      <c r="R607">
        <v>9725285.7204999998</v>
      </c>
      <c r="S607" s="22">
        <v>0.06</v>
      </c>
      <c r="T607" s="22">
        <v>0.09</v>
      </c>
      <c r="U607" s="12">
        <v>36593932.240000002</v>
      </c>
      <c r="V607" s="24">
        <v>9964527.7489519995</v>
      </c>
      <c r="W607" s="8">
        <v>31471374.420000002</v>
      </c>
      <c r="X607" s="24">
        <v>8569655.2545660008</v>
      </c>
      <c r="Y607" s="22">
        <v>7.0000000000000007E-2</v>
      </c>
      <c r="Z607" s="22">
        <v>0.06</v>
      </c>
      <c r="AA607" s="8" t="s">
        <v>2121</v>
      </c>
      <c r="AB607" s="8">
        <v>16997990.84</v>
      </c>
      <c r="AC607" s="24">
        <v>4628552.9057319993</v>
      </c>
      <c r="AD607" s="8">
        <v>7052007.8700000001</v>
      </c>
      <c r="AE607" s="24">
        <v>1920261.743001</v>
      </c>
      <c r="AF607" s="8">
        <v>60</v>
      </c>
      <c r="AG607" s="8">
        <v>77</v>
      </c>
      <c r="AH607" s="8" t="s">
        <v>342</v>
      </c>
      <c r="AI607" s="8" t="s">
        <v>320</v>
      </c>
      <c r="AJ607" s="22">
        <v>0.75</v>
      </c>
      <c r="AK607" s="8" t="s">
        <v>153</v>
      </c>
      <c r="AL607" s="22">
        <v>0.05</v>
      </c>
      <c r="AM607" s="22">
        <v>0.02</v>
      </c>
      <c r="AN607" s="8">
        <v>13</v>
      </c>
      <c r="AO607" s="8"/>
      <c r="AP607" s="8"/>
      <c r="AQ607" s="24"/>
      <c r="AR607" s="8">
        <v>15383669.970000001</v>
      </c>
      <c r="AS607" s="37">
        <v>4188973.332831</v>
      </c>
      <c r="AT607" s="8" t="s">
        <v>332</v>
      </c>
      <c r="AU607" s="8" t="s">
        <v>356</v>
      </c>
      <c r="AV607" s="8">
        <v>78.3</v>
      </c>
      <c r="AW607" s="8">
        <v>12</v>
      </c>
      <c r="AX607" s="8" t="s">
        <v>332</v>
      </c>
      <c r="AY607" s="8" t="s">
        <v>229</v>
      </c>
      <c r="AZ607" s="8" t="s">
        <v>361</v>
      </c>
      <c r="BA607" s="21">
        <f>IF(OR(tblsales[[#This Row],[Invoice Value USD]]="",tblsales[[#This Row],[Collected Amount USD]]=""),"",tblsales[[#This Row],[Invoice Value USD]]-tblsales[[#This Row],[Collected Amount USD]])</f>
        <v>2708291.1627309993</v>
      </c>
      <c r="BB607" s="21">
        <f>IF(OR(tblsales[[#This Row],[Contract Value USD]]="",tblsales[[#This Row],[Cost Estimate USD]]=""),"",tblsales[[#This Row],[Contract Value USD]]-tblsales[[#This Row],[Cost Estimate USD]])</f>
        <v>1394872.4943859987</v>
      </c>
      <c r="BC607" s="21">
        <f>IF(OR(tblsales[[#This Row],[Contract Value USD]]="",tblsales[[#This Row],[Cost Estimate USD]]=""),"",tblsales[[#This Row],[Contract Value USD]]-tblsales[[#This Row],[Cost Estimate USD]])</f>
        <v>1394872.4943859987</v>
      </c>
      <c r="BD607" s="23">
        <f>IF(tblsales[[#This Row],[Invoice Value USD]]="","",tblsales[[#This Row],[Collected Amount USD]]/tblsales[[#This Row],[Invoice Value USD]])</f>
        <v>0.41487302448740471</v>
      </c>
      <c r="BE607" s="11">
        <f>IF(tblsales[[#This Row],[SalesStage]]="Won",1,0)</f>
        <v>1</v>
      </c>
      <c r="BF607" s="21" t="str">
        <f>IF(tblsales[[#This Row],[Win Flag]]=1,"Won","Lost")</f>
        <v>Won</v>
      </c>
      <c r="BG607" s="8"/>
    </row>
    <row r="608" spans="1:59" x14ac:dyDescent="0.3">
      <c r="A608" s="10" t="s">
        <v>2122</v>
      </c>
      <c r="B608" s="9">
        <v>45821</v>
      </c>
      <c r="C608" s="10" t="s">
        <v>276</v>
      </c>
      <c r="D608" s="10" t="s">
        <v>220</v>
      </c>
      <c r="E608" s="10" t="s">
        <v>20</v>
      </c>
      <c r="F608" s="10" t="s">
        <v>31</v>
      </c>
      <c r="G608" s="10" t="s">
        <v>57</v>
      </c>
      <c r="H608" s="10" t="s">
        <v>216</v>
      </c>
      <c r="I608" s="10" t="s">
        <v>213</v>
      </c>
      <c r="J608" s="10" t="s">
        <v>136</v>
      </c>
      <c r="K608" s="10" t="s">
        <v>326</v>
      </c>
      <c r="L608" s="10" t="s">
        <v>2123</v>
      </c>
      <c r="M608" s="9">
        <v>45934</v>
      </c>
      <c r="N608" s="9">
        <v>45836</v>
      </c>
      <c r="O608" s="9">
        <v>45920</v>
      </c>
      <c r="P608" s="11">
        <v>50</v>
      </c>
      <c r="Q608" s="12">
        <v>25133001</v>
      </c>
      <c r="R608">
        <v>25133001</v>
      </c>
      <c r="S608" s="22">
        <v>0.06</v>
      </c>
      <c r="T608" s="22">
        <v>0.02</v>
      </c>
      <c r="U608" s="12">
        <v>24097521.359999999</v>
      </c>
      <c r="V608" s="24">
        <v>24097521.359999999</v>
      </c>
      <c r="W608" s="8">
        <v>19260868.18</v>
      </c>
      <c r="X608" s="24">
        <v>19260868.18</v>
      </c>
      <c r="Y608" s="22">
        <v>0.28000000000000003</v>
      </c>
      <c r="Z608" s="22">
        <v>0.19</v>
      </c>
      <c r="AA608" s="8" t="s">
        <v>2124</v>
      </c>
      <c r="AB608" s="8">
        <v>4348584.51</v>
      </c>
      <c r="AC608" s="24">
        <v>4348584.51</v>
      </c>
      <c r="AD608" s="8">
        <v>2670710.6</v>
      </c>
      <c r="AE608" s="24">
        <v>2670710.6</v>
      </c>
      <c r="AF608" s="8">
        <v>60</v>
      </c>
      <c r="AG608" s="8">
        <v>20</v>
      </c>
      <c r="AH608" s="8" t="s">
        <v>376</v>
      </c>
      <c r="AI608" s="8" t="s">
        <v>320</v>
      </c>
      <c r="AJ608" s="22">
        <v>0.31</v>
      </c>
      <c r="AK608" s="8" t="s">
        <v>152</v>
      </c>
      <c r="AL608" s="22">
        <v>0.1</v>
      </c>
      <c r="AM608" s="22">
        <v>0.06</v>
      </c>
      <c r="AN608" s="8">
        <v>8</v>
      </c>
      <c r="AO608" s="8">
        <v>4787</v>
      </c>
      <c r="AP608" s="8">
        <v>4776854.08</v>
      </c>
      <c r="AQ608" s="24">
        <v>4776854.08</v>
      </c>
      <c r="AR608" s="8">
        <v>6575394.0999999996</v>
      </c>
      <c r="AS608" s="37">
        <v>6575394.0999999996</v>
      </c>
      <c r="AT608" s="8" t="s">
        <v>73</v>
      </c>
      <c r="AU608" s="8" t="s">
        <v>386</v>
      </c>
      <c r="AV608" s="8">
        <v>69.400000000000006</v>
      </c>
      <c r="AW608" s="8">
        <v>48</v>
      </c>
      <c r="AX608" s="8" t="s">
        <v>387</v>
      </c>
      <c r="AY608" s="8" t="s">
        <v>224</v>
      </c>
      <c r="AZ608" s="8" t="s">
        <v>188</v>
      </c>
      <c r="BA608" s="21">
        <f>IF(OR(tblsales[[#This Row],[Invoice Value USD]]="",tblsales[[#This Row],[Collected Amount USD]]=""),"",tblsales[[#This Row],[Invoice Value USD]]-tblsales[[#This Row],[Collected Amount USD]])</f>
        <v>1677873.9099999997</v>
      </c>
      <c r="BB608" s="21">
        <f>IF(OR(tblsales[[#This Row],[Contract Value USD]]="",tblsales[[#This Row],[Cost Estimate USD]]=""),"",tblsales[[#This Row],[Contract Value USD]]-tblsales[[#This Row],[Cost Estimate USD]])</f>
        <v>4836653.18</v>
      </c>
      <c r="BC608" s="21">
        <f>IF(OR(tblsales[[#This Row],[Contract Value USD]]="",tblsales[[#This Row],[Cost Estimate USD]]=""),"",tblsales[[#This Row],[Contract Value USD]]-tblsales[[#This Row],[Cost Estimate USD]])</f>
        <v>4836653.18</v>
      </c>
      <c r="BD608" s="23">
        <f>IF(tblsales[[#This Row],[Invoice Value USD]]="","",tblsales[[#This Row],[Collected Amount USD]]/tblsales[[#This Row],[Invoice Value USD]])</f>
        <v>0.614156306232163</v>
      </c>
      <c r="BE608" s="11">
        <f>IF(tblsales[[#This Row],[SalesStage]]="Won",1,0)</f>
        <v>1</v>
      </c>
      <c r="BF608" s="21" t="str">
        <f>IF(tblsales[[#This Row],[Win Flag]]=1,"Won","Lost")</f>
        <v>Won</v>
      </c>
      <c r="BG608" s="8"/>
    </row>
    <row r="609" spans="1:59" x14ac:dyDescent="0.3">
      <c r="A609" s="10" t="s">
        <v>2125</v>
      </c>
      <c r="B609" s="9">
        <v>45859</v>
      </c>
      <c r="C609" s="10" t="s">
        <v>208</v>
      </c>
      <c r="D609" s="10" t="s">
        <v>202</v>
      </c>
      <c r="E609" s="10" t="s">
        <v>113</v>
      </c>
      <c r="F609" s="10" t="s">
        <v>181</v>
      </c>
      <c r="G609" s="10" t="s">
        <v>62</v>
      </c>
      <c r="H609" s="10" t="s">
        <v>182</v>
      </c>
      <c r="I609" s="10" t="s">
        <v>203</v>
      </c>
      <c r="J609" s="10" t="s">
        <v>111</v>
      </c>
      <c r="K609" s="10" t="s">
        <v>204</v>
      </c>
      <c r="L609" s="10" t="s">
        <v>2126</v>
      </c>
      <c r="M609" s="9">
        <v>45848</v>
      </c>
      <c r="N609" s="9">
        <v>45666</v>
      </c>
      <c r="O609" s="9"/>
      <c r="P609" s="11">
        <v>10</v>
      </c>
      <c r="Q609" s="12">
        <v>46102726</v>
      </c>
      <c r="R609">
        <v>12553772.289799999</v>
      </c>
      <c r="S609" s="22">
        <v>0.33</v>
      </c>
      <c r="T609" s="22">
        <v>0.02</v>
      </c>
      <c r="U609" s="12">
        <v>31506602.949999999</v>
      </c>
      <c r="V609" s="24">
        <v>8579247.9832849987</v>
      </c>
      <c r="W609" s="8">
        <v>26481155.539999999</v>
      </c>
      <c r="X609" s="24">
        <v>7210818.6535419989</v>
      </c>
      <c r="Y609" s="22">
        <v>0.25</v>
      </c>
      <c r="Z609" s="22">
        <v>0.15</v>
      </c>
      <c r="AA609" s="8" t="s">
        <v>2127</v>
      </c>
      <c r="AB609" s="8">
        <v>13134222.640000001</v>
      </c>
      <c r="AC609" s="24">
        <v>3576448.8248720001</v>
      </c>
      <c r="AD609" s="8">
        <v>12976673.68</v>
      </c>
      <c r="AE609" s="24">
        <v>3533548.2430639998</v>
      </c>
      <c r="AF609" s="8">
        <v>30</v>
      </c>
      <c r="AG609" s="8">
        <v>125</v>
      </c>
      <c r="AH609" s="8" t="s">
        <v>376</v>
      </c>
      <c r="AI609" s="8" t="s">
        <v>336</v>
      </c>
      <c r="AJ609" s="22">
        <v>0.96</v>
      </c>
      <c r="AK609" s="8" t="s">
        <v>153</v>
      </c>
      <c r="AL609" s="22">
        <v>0.1</v>
      </c>
      <c r="AM609" s="22">
        <v>0.03</v>
      </c>
      <c r="AN609" s="8">
        <v>15</v>
      </c>
      <c r="AO609" s="8">
        <v>1242</v>
      </c>
      <c r="AP609" s="8"/>
      <c r="AQ609" s="24"/>
      <c r="AR609" s="8">
        <v>8507071.5299999993</v>
      </c>
      <c r="AS609" s="37">
        <v>2316475.5776189999</v>
      </c>
      <c r="AT609" s="8" t="s">
        <v>391</v>
      </c>
      <c r="AU609" s="8" t="s">
        <v>386</v>
      </c>
      <c r="AV609" s="8">
        <v>69.099999999999994</v>
      </c>
      <c r="AW609" s="8">
        <v>24</v>
      </c>
      <c r="AX609" s="8" t="s">
        <v>337</v>
      </c>
      <c r="AY609" s="8" t="s">
        <v>186</v>
      </c>
      <c r="AZ609" s="8" t="s">
        <v>332</v>
      </c>
      <c r="BA609" s="21">
        <f>IF(OR(tblsales[[#This Row],[Invoice Value USD]]="",tblsales[[#This Row],[Collected Amount USD]]=""),"",tblsales[[#This Row],[Invoice Value USD]]-tblsales[[#This Row],[Collected Amount USD]])</f>
        <v>42900.581808000337</v>
      </c>
      <c r="BB609" s="21">
        <f>IF(OR(tblsales[[#This Row],[Contract Value USD]]="",tblsales[[#This Row],[Cost Estimate USD]]=""),"",tblsales[[#This Row],[Contract Value USD]]-tblsales[[#This Row],[Cost Estimate USD]])</f>
        <v>1368429.3297429997</v>
      </c>
      <c r="BC609" s="21">
        <f>IF(OR(tblsales[[#This Row],[Contract Value USD]]="",tblsales[[#This Row],[Cost Estimate USD]]=""),"",tblsales[[#This Row],[Contract Value USD]]-tblsales[[#This Row],[Cost Estimate USD]])</f>
        <v>1368429.3297429997</v>
      </c>
      <c r="BD609" s="23">
        <f>IF(tblsales[[#This Row],[Invoice Value USD]]="","",tblsales[[#This Row],[Collected Amount USD]]/tblsales[[#This Row],[Invoice Value USD]])</f>
        <v>0.98800469854072759</v>
      </c>
      <c r="BE609" s="11">
        <f>IF(tblsales[[#This Row],[SalesStage]]="Won",1,0)</f>
        <v>0</v>
      </c>
      <c r="BF609" s="21" t="str">
        <f>IF(tblsales[[#This Row],[Win Flag]]=1,"Won","Lost")</f>
        <v>Lost</v>
      </c>
      <c r="BG609" s="8"/>
    </row>
    <row r="610" spans="1:59" x14ac:dyDescent="0.3">
      <c r="A610" s="10" t="s">
        <v>2128</v>
      </c>
      <c r="B610" s="9">
        <v>45754</v>
      </c>
      <c r="C610" s="10" t="s">
        <v>267</v>
      </c>
      <c r="D610" s="10" t="s">
        <v>232</v>
      </c>
      <c r="E610" s="10" t="s">
        <v>332</v>
      </c>
      <c r="F610" s="10" t="s">
        <v>363</v>
      </c>
      <c r="G610" s="10" t="s">
        <v>57</v>
      </c>
      <c r="H610" s="10" t="s">
        <v>212</v>
      </c>
      <c r="I610" s="10" t="s">
        <v>240</v>
      </c>
      <c r="J610" s="10" t="s">
        <v>99</v>
      </c>
      <c r="K610" s="10" t="s">
        <v>221</v>
      </c>
      <c r="L610" s="10" t="s">
        <v>2129</v>
      </c>
      <c r="M610" s="9">
        <v>45713</v>
      </c>
      <c r="N610" s="9" t="s">
        <v>1964</v>
      </c>
      <c r="O610" s="9"/>
      <c r="P610" s="11">
        <v>3</v>
      </c>
      <c r="Q610" s="12">
        <v>49309810</v>
      </c>
      <c r="R610">
        <v>49309810</v>
      </c>
      <c r="S610" s="22">
        <v>0.05</v>
      </c>
      <c r="T610" s="22">
        <v>-0.02</v>
      </c>
      <c r="U610" s="12">
        <v>45907433.109999999</v>
      </c>
      <c r="V610" s="24">
        <v>45907433.109999999</v>
      </c>
      <c r="W610" s="8">
        <v>38393325.079999998</v>
      </c>
      <c r="X610" s="24">
        <v>38393325.079999998</v>
      </c>
      <c r="Y610" s="22">
        <v>0.37</v>
      </c>
      <c r="Z610" s="22">
        <v>0.05</v>
      </c>
      <c r="AA610" s="8" t="s">
        <v>2130</v>
      </c>
      <c r="AB610" s="8">
        <v>11683212.15</v>
      </c>
      <c r="AC610" s="24">
        <v>11683212.15</v>
      </c>
      <c r="AD610" s="8">
        <v>8537717.5299999993</v>
      </c>
      <c r="AE610" s="24">
        <v>8537717.5299999993</v>
      </c>
      <c r="AF610" s="8">
        <v>60</v>
      </c>
      <c r="AG610" s="8">
        <v>4</v>
      </c>
      <c r="AH610" s="8" t="s">
        <v>342</v>
      </c>
      <c r="AI610" s="8" t="s">
        <v>354</v>
      </c>
      <c r="AJ610" s="22">
        <v>0.27</v>
      </c>
      <c r="AK610" s="8" t="s">
        <v>152</v>
      </c>
      <c r="AL610" s="22">
        <v>0.15</v>
      </c>
      <c r="AM610" s="22">
        <v>0.05</v>
      </c>
      <c r="AN610" s="8">
        <v>10</v>
      </c>
      <c r="AO610" s="8">
        <v>1988</v>
      </c>
      <c r="AP610" s="8">
        <v>2282530.88</v>
      </c>
      <c r="AQ610" s="24">
        <v>2282530.88</v>
      </c>
      <c r="AR610" s="8">
        <v>13307924.33</v>
      </c>
      <c r="AS610" s="37">
        <v>13307924.33</v>
      </c>
      <c r="AT610" s="8" t="s">
        <v>343</v>
      </c>
      <c r="AU610" s="8" t="s">
        <v>330</v>
      </c>
      <c r="AV610" s="8"/>
      <c r="AW610" s="8">
        <v>48</v>
      </c>
      <c r="AX610" s="8" t="s">
        <v>387</v>
      </c>
      <c r="AY610" s="8" t="s">
        <v>224</v>
      </c>
      <c r="AZ610" s="8" t="s">
        <v>377</v>
      </c>
      <c r="BA610" s="21">
        <f>IF(OR(tblsales[[#This Row],[Invoice Value USD]]="",tblsales[[#This Row],[Collected Amount USD]]=""),"",tblsales[[#This Row],[Invoice Value USD]]-tblsales[[#This Row],[Collected Amount USD]])</f>
        <v>3145494.620000001</v>
      </c>
      <c r="BB610" s="21">
        <f>IF(OR(tblsales[[#This Row],[Contract Value USD]]="",tblsales[[#This Row],[Cost Estimate USD]]=""),"",tblsales[[#This Row],[Contract Value USD]]-tblsales[[#This Row],[Cost Estimate USD]])</f>
        <v>7514108.0300000012</v>
      </c>
      <c r="BC610" s="21">
        <f>IF(OR(tblsales[[#This Row],[Contract Value USD]]="",tblsales[[#This Row],[Cost Estimate USD]]=""),"",tblsales[[#This Row],[Contract Value USD]]-tblsales[[#This Row],[Cost Estimate USD]])</f>
        <v>7514108.0300000012</v>
      </c>
      <c r="BD610" s="23">
        <f>IF(tblsales[[#This Row],[Invoice Value USD]]="","",tblsales[[#This Row],[Collected Amount USD]]/tblsales[[#This Row],[Invoice Value USD]])</f>
        <v>0.73076799602581888</v>
      </c>
      <c r="BE610" s="11">
        <f>IF(tblsales[[#This Row],[SalesStage]]="Won",1,0)</f>
        <v>0</v>
      </c>
      <c r="BF610" s="21" t="str">
        <f>IF(tblsales[[#This Row],[Win Flag]]=1,"Won","Lost")</f>
        <v>Lost</v>
      </c>
      <c r="BG610" s="8"/>
    </row>
    <row r="611" spans="1:59" x14ac:dyDescent="0.3">
      <c r="A611" s="10" t="s">
        <v>2131</v>
      </c>
      <c r="B611" s="9">
        <v>45885</v>
      </c>
      <c r="C611" s="10" t="s">
        <v>272</v>
      </c>
      <c r="D611" s="10" t="s">
        <v>281</v>
      </c>
      <c r="E611" s="10" t="s">
        <v>36</v>
      </c>
      <c r="F611" s="10" t="s">
        <v>339</v>
      </c>
      <c r="G611" s="10" t="s">
        <v>46</v>
      </c>
      <c r="H611" s="10" t="s">
        <v>216</v>
      </c>
      <c r="I611" s="10" t="s">
        <v>183</v>
      </c>
      <c r="J611" s="10" t="s">
        <v>115</v>
      </c>
      <c r="K611" s="10" t="s">
        <v>184</v>
      </c>
      <c r="L611" s="10" t="s">
        <v>2132</v>
      </c>
      <c r="M611" s="9">
        <v>45863</v>
      </c>
      <c r="N611" s="9">
        <v>45938</v>
      </c>
      <c r="O611" s="9">
        <v>45987</v>
      </c>
      <c r="P611" s="11">
        <v>33</v>
      </c>
      <c r="Q611" s="12">
        <v>24155706</v>
      </c>
      <c r="R611">
        <v>6577598.7437999994</v>
      </c>
      <c r="S611" s="22">
        <v>0.17</v>
      </c>
      <c r="T611" s="22">
        <v>0.01</v>
      </c>
      <c r="U611" s="12">
        <v>20249728.34</v>
      </c>
      <c r="V611" s="24">
        <v>5514001.0269820001</v>
      </c>
      <c r="W611" s="8">
        <v>16650469.65</v>
      </c>
      <c r="X611" s="24">
        <v>4533922.8856950002</v>
      </c>
      <c r="Y611" s="22">
        <v>0.28000000000000003</v>
      </c>
      <c r="Z611" s="22">
        <v>0.1</v>
      </c>
      <c r="AA611" s="8" t="s">
        <v>2133</v>
      </c>
      <c r="AB611" s="8">
        <v>6528857.6500000004</v>
      </c>
      <c r="AC611" s="24">
        <v>1777807.9380950001</v>
      </c>
      <c r="AD611" s="8">
        <v>4870090.5</v>
      </c>
      <c r="AE611" s="24">
        <v>1326125.6431499999</v>
      </c>
      <c r="AF611" s="8">
        <v>30</v>
      </c>
      <c r="AG611" s="8">
        <v>74</v>
      </c>
      <c r="AH611" s="8" t="s">
        <v>342</v>
      </c>
      <c r="AI611" s="8" t="s">
        <v>406</v>
      </c>
      <c r="AJ611" s="22">
        <v>0.49</v>
      </c>
      <c r="AK611" s="8" t="s">
        <v>153</v>
      </c>
      <c r="AL611" s="22">
        <v>0.05</v>
      </c>
      <c r="AM611" s="22">
        <v>0.03</v>
      </c>
      <c r="AN611" s="8">
        <v>12</v>
      </c>
      <c r="AO611" s="8">
        <v>4638</v>
      </c>
      <c r="AP611" s="8"/>
      <c r="AQ611" s="24"/>
      <c r="AR611" s="8">
        <v>9030311.6799999997</v>
      </c>
      <c r="AS611" s="37">
        <v>2458953.8704639999</v>
      </c>
      <c r="AT611" s="8" t="s">
        <v>343</v>
      </c>
      <c r="AU611" s="8" t="s">
        <v>322</v>
      </c>
      <c r="AV611" s="8">
        <v>90.6</v>
      </c>
      <c r="AW611" s="8">
        <v>24</v>
      </c>
      <c r="AX611" s="8" t="s">
        <v>323</v>
      </c>
      <c r="AY611" s="8" t="s">
        <v>206</v>
      </c>
      <c r="AZ611" s="8" t="s">
        <v>357</v>
      </c>
      <c r="BA611" s="21">
        <f>IF(OR(tblsales[[#This Row],[Invoice Value USD]]="",tblsales[[#This Row],[Collected Amount USD]]=""),"",tblsales[[#This Row],[Invoice Value USD]]-tblsales[[#This Row],[Collected Amount USD]])</f>
        <v>451682.29494500021</v>
      </c>
      <c r="BB611" s="21">
        <f>IF(OR(tblsales[[#This Row],[Contract Value USD]]="",tblsales[[#This Row],[Cost Estimate USD]]=""),"",tblsales[[#This Row],[Contract Value USD]]-tblsales[[#This Row],[Cost Estimate USD]])</f>
        <v>980078.14128699992</v>
      </c>
      <c r="BC611" s="21">
        <f>IF(OR(tblsales[[#This Row],[Contract Value USD]]="",tblsales[[#This Row],[Cost Estimate USD]]=""),"",tblsales[[#This Row],[Contract Value USD]]-tblsales[[#This Row],[Cost Estimate USD]])</f>
        <v>980078.14128699992</v>
      </c>
      <c r="BD611" s="23">
        <f>IF(tblsales[[#This Row],[Invoice Value USD]]="","",tblsales[[#This Row],[Collected Amount USD]]/tblsales[[#This Row],[Invoice Value USD]])</f>
        <v>0.74593301938509859</v>
      </c>
      <c r="BE611" s="11">
        <f>IF(tblsales[[#This Row],[SalesStage]]="Won",1,0)</f>
        <v>0</v>
      </c>
      <c r="BF611" s="21" t="str">
        <f>IF(tblsales[[#This Row],[Win Flag]]=1,"Won","Lost")</f>
        <v>Lost</v>
      </c>
      <c r="BG611" s="8"/>
    </row>
    <row r="612" spans="1:59" x14ac:dyDescent="0.3">
      <c r="A612" s="10" t="s">
        <v>2134</v>
      </c>
      <c r="B612" s="9">
        <v>45782</v>
      </c>
      <c r="C612" s="10" t="s">
        <v>237</v>
      </c>
      <c r="D612" s="10" t="s">
        <v>180</v>
      </c>
      <c r="E612" s="10" t="s">
        <v>36</v>
      </c>
      <c r="F612" s="10" t="s">
        <v>19</v>
      </c>
      <c r="G612" s="10" t="s">
        <v>332</v>
      </c>
      <c r="H612" s="10" t="s">
        <v>332</v>
      </c>
      <c r="I612" s="10" t="s">
        <v>233</v>
      </c>
      <c r="J612" s="10" t="s">
        <v>115</v>
      </c>
      <c r="K612" s="10" t="s">
        <v>204</v>
      </c>
      <c r="L612" s="10" t="s">
        <v>2135</v>
      </c>
      <c r="M612" s="9">
        <v>45993</v>
      </c>
      <c r="N612" s="9">
        <v>45798</v>
      </c>
      <c r="O612" s="9"/>
      <c r="P612" s="11">
        <v>48</v>
      </c>
      <c r="Q612" s="12">
        <v>38274836</v>
      </c>
      <c r="R612">
        <v>38274836</v>
      </c>
      <c r="S612" s="22">
        <v>0.25</v>
      </c>
      <c r="T612" s="22">
        <v>0.04</v>
      </c>
      <c r="U612" s="12">
        <v>29854372.079999998</v>
      </c>
      <c r="V612" s="24">
        <v>29854372.079999998</v>
      </c>
      <c r="W612" s="8"/>
      <c r="X612" s="24"/>
      <c r="Y612" s="22">
        <v>0.27</v>
      </c>
      <c r="Z612" s="22">
        <v>7.0000000000000007E-2</v>
      </c>
      <c r="AA612" s="8" t="s">
        <v>2136</v>
      </c>
      <c r="AB612" s="8">
        <v>13215503.380000001</v>
      </c>
      <c r="AC612" s="24">
        <v>13215503.380000001</v>
      </c>
      <c r="AD612" s="8">
        <v>13692168.49</v>
      </c>
      <c r="AE612" s="24">
        <v>13692168.49</v>
      </c>
      <c r="AF612" s="8">
        <v>60</v>
      </c>
      <c r="AG612" s="8">
        <v>47</v>
      </c>
      <c r="AH612" s="8" t="s">
        <v>376</v>
      </c>
      <c r="AI612" s="8" t="s">
        <v>336</v>
      </c>
      <c r="AJ612" s="22">
        <v>0.13</v>
      </c>
      <c r="AK612" s="8" t="s">
        <v>152</v>
      </c>
      <c r="AL612" s="22">
        <v>0.15</v>
      </c>
      <c r="AM612" s="22">
        <v>0.02</v>
      </c>
      <c r="AN612" s="8">
        <v>5</v>
      </c>
      <c r="AO612" s="8">
        <v>4165</v>
      </c>
      <c r="AP612" s="8">
        <v>6914852.1900000004</v>
      </c>
      <c r="AQ612" s="24">
        <v>6914852.1900000004</v>
      </c>
      <c r="AR612" s="8">
        <v>6802111.5800000001</v>
      </c>
      <c r="AS612" s="37">
        <v>6802111.5800000001</v>
      </c>
      <c r="AT612" s="8" t="s">
        <v>391</v>
      </c>
      <c r="AU612" s="8" t="s">
        <v>330</v>
      </c>
      <c r="AV612" s="8">
        <v>75</v>
      </c>
      <c r="AW612" s="8">
        <v>12</v>
      </c>
      <c r="AX612" s="8" t="s">
        <v>332</v>
      </c>
      <c r="AY612" s="8" t="s">
        <v>192</v>
      </c>
      <c r="AZ612" s="8" t="s">
        <v>332</v>
      </c>
      <c r="BA612" s="21">
        <f>IF(OR(tblsales[[#This Row],[Invoice Value USD]]="",tblsales[[#This Row],[Collected Amount USD]]=""),"",tblsales[[#This Row],[Invoice Value USD]]-tblsales[[#This Row],[Collected Amount USD]])</f>
        <v>-476665.1099999994</v>
      </c>
      <c r="BB612" s="21" t="str">
        <f>IF(OR(tblsales[[#This Row],[Contract Value USD]]="",tblsales[[#This Row],[Cost Estimate USD]]=""),"",tblsales[[#This Row],[Contract Value USD]]-tblsales[[#This Row],[Cost Estimate USD]])</f>
        <v/>
      </c>
      <c r="BC612" s="21" t="str">
        <f>IF(OR(tblsales[[#This Row],[Contract Value USD]]="",tblsales[[#This Row],[Cost Estimate USD]]=""),"",tblsales[[#This Row],[Contract Value USD]]-tblsales[[#This Row],[Cost Estimate USD]])</f>
        <v/>
      </c>
      <c r="BD612" s="23">
        <f>IF(tblsales[[#This Row],[Invoice Value USD]]="","",tblsales[[#This Row],[Collected Amount USD]]/tblsales[[#This Row],[Invoice Value USD]])</f>
        <v>1.0360686306297928</v>
      </c>
      <c r="BE612" s="11">
        <f>IF(tblsales[[#This Row],[SalesStage]]="Won",1,0)</f>
        <v>0</v>
      </c>
      <c r="BF612" s="21" t="str">
        <f>IF(tblsales[[#This Row],[Win Flag]]=1,"Won","Lost")</f>
        <v>Lost</v>
      </c>
      <c r="BG612" s="8"/>
    </row>
    <row r="613" spans="1:59" x14ac:dyDescent="0.3">
      <c r="A613" s="10" t="s">
        <v>2137</v>
      </c>
      <c r="B613" s="9">
        <v>45665</v>
      </c>
      <c r="C613" s="10" t="s">
        <v>260</v>
      </c>
      <c r="D613" s="10" t="s">
        <v>232</v>
      </c>
      <c r="E613" s="10" t="s">
        <v>20</v>
      </c>
      <c r="F613" s="10" t="s">
        <v>35</v>
      </c>
      <c r="G613" s="10" t="s">
        <v>38</v>
      </c>
      <c r="H613" s="10" t="s">
        <v>182</v>
      </c>
      <c r="I613" s="10" t="s">
        <v>213</v>
      </c>
      <c r="J613" s="10" t="s">
        <v>136</v>
      </c>
      <c r="K613" s="10" t="s">
        <v>204</v>
      </c>
      <c r="L613" s="10" t="s">
        <v>2138</v>
      </c>
      <c r="M613" s="9">
        <v>45619</v>
      </c>
      <c r="N613" s="9">
        <v>45715</v>
      </c>
      <c r="O613" s="9">
        <v>45762</v>
      </c>
      <c r="P613" s="11">
        <v>52</v>
      </c>
      <c r="Q613" s="12">
        <v>3125808</v>
      </c>
      <c r="R613">
        <v>851157.51839999994</v>
      </c>
      <c r="S613" s="22">
        <v>0.21</v>
      </c>
      <c r="T613" s="22">
        <v>0.17</v>
      </c>
      <c r="U613" s="12">
        <v>2889184.33</v>
      </c>
      <c r="V613" s="24">
        <v>786724.89305900002</v>
      </c>
      <c r="W613" s="8">
        <v>1990665.03</v>
      </c>
      <c r="X613" s="24">
        <v>542058.08766900003</v>
      </c>
      <c r="Y613" s="22">
        <v>0.12</v>
      </c>
      <c r="Z613" s="22">
        <v>7.0000000000000007E-2</v>
      </c>
      <c r="AA613" s="8" t="s">
        <v>2139</v>
      </c>
      <c r="AB613" s="8">
        <v>1779047.8</v>
      </c>
      <c r="AC613" s="24">
        <v>484434.71593999997</v>
      </c>
      <c r="AD613" s="8">
        <v>835022.98</v>
      </c>
      <c r="AE613" s="24">
        <v>227376.75745399998</v>
      </c>
      <c r="AF613" s="8">
        <v>45</v>
      </c>
      <c r="AG613" s="8">
        <v>88</v>
      </c>
      <c r="AH613" s="8" t="s">
        <v>342</v>
      </c>
      <c r="AI613" s="8" t="s">
        <v>381</v>
      </c>
      <c r="AJ613" s="22">
        <v>0.53</v>
      </c>
      <c r="AK613" s="8" t="s">
        <v>153</v>
      </c>
      <c r="AL613" s="22">
        <v>0.1</v>
      </c>
      <c r="AM613" s="22">
        <v>7.0000000000000007E-2</v>
      </c>
      <c r="AN613" s="8">
        <v>15</v>
      </c>
      <c r="AO613" s="8">
        <v>4103</v>
      </c>
      <c r="AP613" s="8">
        <v>506076.53</v>
      </c>
      <c r="AQ613" s="24">
        <v>137804.639119</v>
      </c>
      <c r="AR613" s="8">
        <v>1233118.6599999999</v>
      </c>
      <c r="AS613" s="37">
        <v>335778.21111799998</v>
      </c>
      <c r="AT613" s="8" t="s">
        <v>355</v>
      </c>
      <c r="AU613" s="8" t="s">
        <v>386</v>
      </c>
      <c r="AV613" s="8">
        <v>65.7</v>
      </c>
      <c r="AW613" s="8">
        <v>60</v>
      </c>
      <c r="AX613" s="8" t="s">
        <v>323</v>
      </c>
      <c r="AY613" s="8" t="s">
        <v>224</v>
      </c>
      <c r="AZ613" s="8" t="s">
        <v>332</v>
      </c>
      <c r="BA613" s="21">
        <f>IF(OR(tblsales[[#This Row],[Invoice Value USD]]="",tblsales[[#This Row],[Collected Amount USD]]=""),"",tblsales[[#This Row],[Invoice Value USD]]-tblsales[[#This Row],[Collected Amount USD]])</f>
        <v>257057.95848599999</v>
      </c>
      <c r="BB613" s="21">
        <f>IF(OR(tblsales[[#This Row],[Contract Value USD]]="",tblsales[[#This Row],[Cost Estimate USD]]=""),"",tblsales[[#This Row],[Contract Value USD]]-tblsales[[#This Row],[Cost Estimate USD]])</f>
        <v>244666.80538999999</v>
      </c>
      <c r="BC613" s="21">
        <f>IF(OR(tblsales[[#This Row],[Contract Value USD]]="",tblsales[[#This Row],[Cost Estimate USD]]=""),"",tblsales[[#This Row],[Contract Value USD]]-tblsales[[#This Row],[Cost Estimate USD]])</f>
        <v>244666.80538999999</v>
      </c>
      <c r="BD613" s="23">
        <f>IF(tblsales[[#This Row],[Invoice Value USD]]="","",tblsales[[#This Row],[Collected Amount USD]]/tblsales[[#This Row],[Invoice Value USD]])</f>
        <v>0.46936511767699551</v>
      </c>
      <c r="BE613" s="11">
        <f>IF(tblsales[[#This Row],[SalesStage]]="Won",1,0)</f>
        <v>0</v>
      </c>
      <c r="BF613" s="21" t="str">
        <f>IF(tblsales[[#This Row],[Win Flag]]=1,"Won","Lost")</f>
        <v>Lost</v>
      </c>
      <c r="BG613" s="8"/>
    </row>
    <row r="614" spans="1:59" x14ac:dyDescent="0.3">
      <c r="A614" s="10" t="s">
        <v>2140</v>
      </c>
      <c r="B614" s="9">
        <v>45887</v>
      </c>
      <c r="C614" s="10" t="s">
        <v>260</v>
      </c>
      <c r="D614" s="10" t="s">
        <v>220</v>
      </c>
      <c r="E614" s="10" t="s">
        <v>41</v>
      </c>
      <c r="F614" s="10" t="s">
        <v>228</v>
      </c>
      <c r="G614" s="10" t="s">
        <v>70</v>
      </c>
      <c r="H614" s="10" t="s">
        <v>212</v>
      </c>
      <c r="I614" s="10" t="s">
        <v>213</v>
      </c>
      <c r="J614" s="10" t="s">
        <v>105</v>
      </c>
      <c r="K614" s="10" t="s">
        <v>204</v>
      </c>
      <c r="L614" s="10" t="s">
        <v>2141</v>
      </c>
      <c r="M614" s="9">
        <v>45823</v>
      </c>
      <c r="N614" s="9"/>
      <c r="O614" s="9"/>
      <c r="P614" s="11">
        <v>5</v>
      </c>
      <c r="Q614" s="12">
        <v>21324308</v>
      </c>
      <c r="R614">
        <v>5806609.0683999993</v>
      </c>
      <c r="S614" s="22">
        <v>0.06</v>
      </c>
      <c r="T614" s="22">
        <v>0.09</v>
      </c>
      <c r="U614" s="12">
        <v>21848885.98</v>
      </c>
      <c r="V614" s="24">
        <v>5949451.6523540001</v>
      </c>
      <c r="W614" s="8">
        <v>14555810.23</v>
      </c>
      <c r="X614" s="24">
        <v>3963547.1256289999</v>
      </c>
      <c r="Y614" s="22">
        <v>0.11</v>
      </c>
      <c r="Z614" s="22">
        <v>0.13</v>
      </c>
      <c r="AA614" s="8" t="s">
        <v>2142</v>
      </c>
      <c r="AB614" s="8">
        <v>8431207.7699999996</v>
      </c>
      <c r="AC614" s="24">
        <v>2295817.8757709996</v>
      </c>
      <c r="AD614" s="8">
        <v>4364312.53</v>
      </c>
      <c r="AE614" s="24">
        <v>1188402.301919</v>
      </c>
      <c r="AF614" s="8">
        <v>60</v>
      </c>
      <c r="AG614" s="8">
        <v>164</v>
      </c>
      <c r="AH614" s="8" t="s">
        <v>347</v>
      </c>
      <c r="AI614" s="8" t="s">
        <v>354</v>
      </c>
      <c r="AJ614" s="22">
        <v>0.18</v>
      </c>
      <c r="AK614" s="8" t="s">
        <v>153</v>
      </c>
      <c r="AL614" s="22">
        <v>0.05</v>
      </c>
      <c r="AM614" s="22">
        <v>0.06</v>
      </c>
      <c r="AN614" s="8">
        <v>5</v>
      </c>
      <c r="AO614" s="8">
        <v>2560</v>
      </c>
      <c r="AP614" s="8">
        <v>3809786.9</v>
      </c>
      <c r="AQ614" s="24">
        <v>1037404.9728699999</v>
      </c>
      <c r="AR614" s="8">
        <v>3637364</v>
      </c>
      <c r="AS614" s="37">
        <v>990454.21719999996</v>
      </c>
      <c r="AT614" s="8" t="s">
        <v>385</v>
      </c>
      <c r="AU614" s="8" t="s">
        <v>321</v>
      </c>
      <c r="AV614" s="8"/>
      <c r="AW614" s="8">
        <v>12</v>
      </c>
      <c r="AX614" s="8" t="s">
        <v>332</v>
      </c>
      <c r="AY614" s="8" t="s">
        <v>224</v>
      </c>
      <c r="AZ614" s="8" t="s">
        <v>361</v>
      </c>
      <c r="BA614" s="21">
        <f>IF(OR(tblsales[[#This Row],[Invoice Value USD]]="",tblsales[[#This Row],[Collected Amount USD]]=""),"",tblsales[[#This Row],[Invoice Value USD]]-tblsales[[#This Row],[Collected Amount USD]])</f>
        <v>1107415.5738519996</v>
      </c>
      <c r="BB614" s="21">
        <f>IF(OR(tblsales[[#This Row],[Contract Value USD]]="",tblsales[[#This Row],[Cost Estimate USD]]=""),"",tblsales[[#This Row],[Contract Value USD]]-tblsales[[#This Row],[Cost Estimate USD]])</f>
        <v>1985904.5267250002</v>
      </c>
      <c r="BC614" s="21">
        <f>IF(OR(tblsales[[#This Row],[Contract Value USD]]="",tblsales[[#This Row],[Cost Estimate USD]]=""),"",tblsales[[#This Row],[Contract Value USD]]-tblsales[[#This Row],[Cost Estimate USD]])</f>
        <v>1985904.5267250002</v>
      </c>
      <c r="BD614" s="23">
        <f>IF(tblsales[[#This Row],[Invoice Value USD]]="","",tblsales[[#This Row],[Collected Amount USD]]/tblsales[[#This Row],[Invoice Value USD]])</f>
        <v>0.51763788167208225</v>
      </c>
      <c r="BE614" s="11">
        <f>IF(tblsales[[#This Row],[SalesStage]]="Won",1,0)</f>
        <v>0</v>
      </c>
      <c r="BF614" s="21" t="str">
        <f>IF(tblsales[[#This Row],[Win Flag]]=1,"Won","Lost")</f>
        <v>Lost</v>
      </c>
      <c r="BG614" s="8"/>
    </row>
    <row r="615" spans="1:59" x14ac:dyDescent="0.3">
      <c r="A615" s="10" t="s">
        <v>2143</v>
      </c>
      <c r="B615" s="9">
        <v>45943</v>
      </c>
      <c r="C615" s="10" t="s">
        <v>258</v>
      </c>
      <c r="D615" s="10" t="s">
        <v>332</v>
      </c>
      <c r="E615" s="10" t="s">
        <v>41</v>
      </c>
      <c r="F615" s="10" t="s">
        <v>350</v>
      </c>
      <c r="G615" s="10" t="s">
        <v>38</v>
      </c>
      <c r="H615" s="10" t="s">
        <v>332</v>
      </c>
      <c r="I615" s="10" t="s">
        <v>246</v>
      </c>
      <c r="J615" s="10" t="s">
        <v>130</v>
      </c>
      <c r="K615" s="10" t="s">
        <v>199</v>
      </c>
      <c r="L615" s="10" t="s">
        <v>2144</v>
      </c>
      <c r="M615" s="9">
        <v>45862</v>
      </c>
      <c r="N615" s="9">
        <v>45986</v>
      </c>
      <c r="O615" s="9">
        <v>46045</v>
      </c>
      <c r="P615" s="11">
        <v>29</v>
      </c>
      <c r="Q615" s="12">
        <v>17668429</v>
      </c>
      <c r="R615">
        <v>17668429</v>
      </c>
      <c r="S615" s="22">
        <v>0.02</v>
      </c>
      <c r="T615" s="22">
        <v>0.15</v>
      </c>
      <c r="U615" s="12">
        <v>19912319.48</v>
      </c>
      <c r="V615" s="24">
        <v>19912319.48</v>
      </c>
      <c r="W615" s="8">
        <v>17197054.109999999</v>
      </c>
      <c r="X615" s="24">
        <v>17197054.109999999</v>
      </c>
      <c r="Y615" s="22">
        <v>0.37</v>
      </c>
      <c r="Z615" s="22">
        <v>0.05</v>
      </c>
      <c r="AA615" s="8" t="s">
        <v>2145</v>
      </c>
      <c r="AB615" s="8">
        <v>12451977.949999999</v>
      </c>
      <c r="AC615" s="24">
        <v>12451977.949999999</v>
      </c>
      <c r="AD615" s="8">
        <v>10386092.68</v>
      </c>
      <c r="AE615" s="24">
        <v>10386092.68</v>
      </c>
      <c r="AF615" s="8">
        <v>60</v>
      </c>
      <c r="AG615" s="8">
        <v>51</v>
      </c>
      <c r="AH615" s="8" t="s">
        <v>353</v>
      </c>
      <c r="AI615" s="8" t="s">
        <v>381</v>
      </c>
      <c r="AJ615" s="22">
        <v>0.62</v>
      </c>
      <c r="AK615" s="8" t="s">
        <v>152</v>
      </c>
      <c r="AL615" s="22">
        <v>0.15</v>
      </c>
      <c r="AM615" s="22">
        <v>0.05</v>
      </c>
      <c r="AN615" s="8">
        <v>6</v>
      </c>
      <c r="AO615" s="8">
        <v>1520</v>
      </c>
      <c r="AP615" s="8">
        <v>2988441.91</v>
      </c>
      <c r="AQ615" s="24">
        <v>2988441.91</v>
      </c>
      <c r="AR615" s="8">
        <v>3669562.79</v>
      </c>
      <c r="AS615" s="37">
        <v>3669562.79</v>
      </c>
      <c r="AT615" s="8" t="s">
        <v>343</v>
      </c>
      <c r="AU615" s="8" t="s">
        <v>386</v>
      </c>
      <c r="AV615" s="8">
        <v>59</v>
      </c>
      <c r="AW615" s="8">
        <v>24</v>
      </c>
      <c r="AX615" s="8" t="s">
        <v>387</v>
      </c>
      <c r="AY615" s="8" t="s">
        <v>229</v>
      </c>
      <c r="AZ615" s="8" t="s">
        <v>357</v>
      </c>
      <c r="BA615" s="21">
        <f>IF(OR(tblsales[[#This Row],[Invoice Value USD]]="",tblsales[[#This Row],[Collected Amount USD]]=""),"",tblsales[[#This Row],[Invoice Value USD]]-tblsales[[#This Row],[Collected Amount USD]])</f>
        <v>2065885.2699999996</v>
      </c>
      <c r="BB615" s="21">
        <f>IF(OR(tblsales[[#This Row],[Contract Value USD]]="",tblsales[[#This Row],[Cost Estimate USD]]=""),"",tblsales[[#This Row],[Contract Value USD]]-tblsales[[#This Row],[Cost Estimate USD]])</f>
        <v>2715265.370000001</v>
      </c>
      <c r="BC615" s="21">
        <f>IF(OR(tblsales[[#This Row],[Contract Value USD]]="",tblsales[[#This Row],[Cost Estimate USD]]=""),"",tblsales[[#This Row],[Contract Value USD]]-tblsales[[#This Row],[Cost Estimate USD]])</f>
        <v>2715265.370000001</v>
      </c>
      <c r="BD615" s="23">
        <f>IF(tblsales[[#This Row],[Invoice Value USD]]="","",tblsales[[#This Row],[Collected Amount USD]]/tblsales[[#This Row],[Invoice Value USD]])</f>
        <v>0.83409179824318591</v>
      </c>
      <c r="BE615" s="11">
        <f>IF(tblsales[[#This Row],[SalesStage]]="Won",1,0)</f>
        <v>0</v>
      </c>
      <c r="BF615" s="21" t="str">
        <f>IF(tblsales[[#This Row],[Win Flag]]=1,"Won","Lost")</f>
        <v>Lost</v>
      </c>
      <c r="BG615" s="8"/>
    </row>
    <row r="616" spans="1:59" x14ac:dyDescent="0.3">
      <c r="A616" s="10" t="s">
        <v>2146</v>
      </c>
      <c r="B616" s="9">
        <v>45934</v>
      </c>
      <c r="C616" s="10" t="s">
        <v>272</v>
      </c>
      <c r="D616" s="10" t="s">
        <v>232</v>
      </c>
      <c r="E616" s="10" t="s">
        <v>113</v>
      </c>
      <c r="F616" s="10" t="s">
        <v>367</v>
      </c>
      <c r="G616" s="10" t="s">
        <v>80</v>
      </c>
      <c r="H616" s="10" t="s">
        <v>182</v>
      </c>
      <c r="I616" s="10" t="s">
        <v>233</v>
      </c>
      <c r="J616" s="10" t="s">
        <v>127</v>
      </c>
      <c r="K616" s="10" t="s">
        <v>326</v>
      </c>
      <c r="L616" s="10" t="s">
        <v>2147</v>
      </c>
      <c r="M616" s="9">
        <v>45725</v>
      </c>
      <c r="N616" s="9" t="s">
        <v>2148</v>
      </c>
      <c r="O616" s="9">
        <v>46042</v>
      </c>
      <c r="P616" s="11">
        <v>19</v>
      </c>
      <c r="Q616" s="12">
        <v>48358253</v>
      </c>
      <c r="R616">
        <v>48358253</v>
      </c>
      <c r="S616" s="22">
        <v>0.22</v>
      </c>
      <c r="T616" s="22">
        <v>-0.01</v>
      </c>
      <c r="U616" s="12">
        <v>37342242.969999999</v>
      </c>
      <c r="V616" s="24">
        <v>37342242.969999999</v>
      </c>
      <c r="W616" s="8">
        <v>33439753.07</v>
      </c>
      <c r="X616" s="24">
        <v>33439753.07</v>
      </c>
      <c r="Y616" s="22">
        <v>0.31</v>
      </c>
      <c r="Z616" s="22">
        <v>0.15</v>
      </c>
      <c r="AA616" s="8" t="s">
        <v>2149</v>
      </c>
      <c r="AB616" s="8">
        <v>32368322.329999998</v>
      </c>
      <c r="AC616" s="24">
        <v>32368322.329999998</v>
      </c>
      <c r="AD616" s="8">
        <v>28552889.170000002</v>
      </c>
      <c r="AE616" s="24">
        <v>28552889.170000002</v>
      </c>
      <c r="AF616" s="8">
        <v>60</v>
      </c>
      <c r="AG616" s="8">
        <v>120</v>
      </c>
      <c r="AH616" s="8" t="s">
        <v>376</v>
      </c>
      <c r="AI616" s="8" t="s">
        <v>226</v>
      </c>
      <c r="AJ616" s="22">
        <v>0.22</v>
      </c>
      <c r="AK616" s="8" t="s">
        <v>152</v>
      </c>
      <c r="AL616" s="22">
        <v>0.15</v>
      </c>
      <c r="AM616" s="22">
        <v>7.0000000000000007E-2</v>
      </c>
      <c r="AN616" s="8">
        <v>8</v>
      </c>
      <c r="AO616" s="8">
        <v>3509</v>
      </c>
      <c r="AP616" s="8">
        <v>3529669.47</v>
      </c>
      <c r="AQ616" s="24">
        <v>3529669.47</v>
      </c>
      <c r="AR616" s="8">
        <v>7162958.0199999996</v>
      </c>
      <c r="AS616" s="37">
        <v>7162958.0199999996</v>
      </c>
      <c r="AT616" s="8" t="s">
        <v>321</v>
      </c>
      <c r="AU616" s="8" t="s">
        <v>332</v>
      </c>
      <c r="AV616" s="8">
        <v>83.8</v>
      </c>
      <c r="AW616" s="8">
        <v>12</v>
      </c>
      <c r="AX616" s="8" t="s">
        <v>332</v>
      </c>
      <c r="AY616" s="8" t="s">
        <v>192</v>
      </c>
      <c r="AZ616" s="8" t="s">
        <v>188</v>
      </c>
      <c r="BA616" s="21">
        <f>IF(OR(tblsales[[#This Row],[Invoice Value USD]]="",tblsales[[#This Row],[Collected Amount USD]]=""),"",tblsales[[#This Row],[Invoice Value USD]]-tblsales[[#This Row],[Collected Amount USD]])</f>
        <v>3815433.1599999964</v>
      </c>
      <c r="BB616" s="21">
        <f>IF(OR(tblsales[[#This Row],[Contract Value USD]]="",tblsales[[#This Row],[Cost Estimate USD]]=""),"",tblsales[[#This Row],[Contract Value USD]]-tblsales[[#This Row],[Cost Estimate USD]])</f>
        <v>3902489.8999999985</v>
      </c>
      <c r="BC616" s="21">
        <f>IF(OR(tblsales[[#This Row],[Contract Value USD]]="",tblsales[[#This Row],[Cost Estimate USD]]=""),"",tblsales[[#This Row],[Contract Value USD]]-tblsales[[#This Row],[Cost Estimate USD]])</f>
        <v>3902489.8999999985</v>
      </c>
      <c r="BD616" s="23">
        <f>IF(tblsales[[#This Row],[Invoice Value USD]]="","",tblsales[[#This Row],[Collected Amount USD]]/tblsales[[#This Row],[Invoice Value USD]])</f>
        <v>0.88212446968671798</v>
      </c>
      <c r="BE616" s="11">
        <f>IF(tblsales[[#This Row],[SalesStage]]="Won",1,0)</f>
        <v>0</v>
      </c>
      <c r="BF616" s="21" t="str">
        <f>IF(tblsales[[#This Row],[Win Flag]]=1,"Won","Lost")</f>
        <v>Lost</v>
      </c>
      <c r="BG616" s="8"/>
    </row>
    <row r="617" spans="1:59" x14ac:dyDescent="0.3">
      <c r="A617" s="10" t="s">
        <v>2150</v>
      </c>
      <c r="B617" s="9">
        <v>45936</v>
      </c>
      <c r="C617" s="10" t="s">
        <v>225</v>
      </c>
      <c r="D617" s="10" t="s">
        <v>209</v>
      </c>
      <c r="E617" s="10" t="s">
        <v>41</v>
      </c>
      <c r="F617" s="10" t="s">
        <v>363</v>
      </c>
      <c r="G617" s="10" t="s">
        <v>62</v>
      </c>
      <c r="H617" s="10" t="s">
        <v>332</v>
      </c>
      <c r="I617" s="10" t="s">
        <v>183</v>
      </c>
      <c r="J617" s="10" t="s">
        <v>105</v>
      </c>
      <c r="K617" s="10" t="s">
        <v>204</v>
      </c>
      <c r="L617" s="10" t="s">
        <v>2151</v>
      </c>
      <c r="M617" s="9">
        <v>45923</v>
      </c>
      <c r="N617" s="9">
        <v>45951</v>
      </c>
      <c r="O617" s="9">
        <v>45700</v>
      </c>
      <c r="P617" s="11">
        <v>18</v>
      </c>
      <c r="Q617" s="12">
        <v>16814407</v>
      </c>
      <c r="R617">
        <v>16814407</v>
      </c>
      <c r="S617" s="22">
        <v>0.2</v>
      </c>
      <c r="T617" s="22">
        <v>-0.02</v>
      </c>
      <c r="U617" s="12">
        <v>13182495.09</v>
      </c>
      <c r="V617" s="24">
        <v>13182495.09</v>
      </c>
      <c r="W617" s="8">
        <v>9471535.6300000008</v>
      </c>
      <c r="X617" s="24">
        <v>9471535.6300000008</v>
      </c>
      <c r="Y617" s="22">
        <v>0.13</v>
      </c>
      <c r="Z617" s="22">
        <v>0.06</v>
      </c>
      <c r="AA617" s="8" t="s">
        <v>2152</v>
      </c>
      <c r="AB617" s="8">
        <v>7150275.29</v>
      </c>
      <c r="AC617" s="24">
        <v>7150275.29</v>
      </c>
      <c r="AD617" s="8">
        <v>3235436.57</v>
      </c>
      <c r="AE617" s="24">
        <v>3235436.57</v>
      </c>
      <c r="AF617" s="8">
        <v>90</v>
      </c>
      <c r="AG617" s="8">
        <v>108</v>
      </c>
      <c r="AH617" s="8" t="s">
        <v>329</v>
      </c>
      <c r="AI617" s="8" t="s">
        <v>455</v>
      </c>
      <c r="AJ617" s="22">
        <v>0.6</v>
      </c>
      <c r="AK617" s="8" t="s">
        <v>152</v>
      </c>
      <c r="AL617" s="22">
        <v>0.05</v>
      </c>
      <c r="AM617" s="22">
        <v>7.0000000000000007E-2</v>
      </c>
      <c r="AN617" s="8">
        <v>6</v>
      </c>
      <c r="AO617" s="8">
        <v>382</v>
      </c>
      <c r="AP617" s="8">
        <v>634136.51</v>
      </c>
      <c r="AQ617" s="24">
        <v>634136.51</v>
      </c>
      <c r="AR617" s="8">
        <v>3566904.53</v>
      </c>
      <c r="AS617" s="37">
        <v>3566904.53</v>
      </c>
      <c r="AT617" s="8" t="s">
        <v>321</v>
      </c>
      <c r="AU617" s="8" t="s">
        <v>332</v>
      </c>
      <c r="AV617" s="8"/>
      <c r="AW617" s="8">
        <v>12</v>
      </c>
      <c r="AX617" s="8" t="s">
        <v>323</v>
      </c>
      <c r="AY617" s="8" t="s">
        <v>229</v>
      </c>
      <c r="AZ617" s="8" t="s">
        <v>332</v>
      </c>
      <c r="BA617" s="21">
        <f>IF(OR(tblsales[[#This Row],[Invoice Value USD]]="",tblsales[[#This Row],[Collected Amount USD]]=""),"",tblsales[[#This Row],[Invoice Value USD]]-tblsales[[#This Row],[Collected Amount USD]])</f>
        <v>3914838.72</v>
      </c>
      <c r="BB617" s="21">
        <f>IF(OR(tblsales[[#This Row],[Contract Value USD]]="",tblsales[[#This Row],[Cost Estimate USD]]=""),"",tblsales[[#This Row],[Contract Value USD]]-tblsales[[#This Row],[Cost Estimate USD]])</f>
        <v>3710959.459999999</v>
      </c>
      <c r="BC617" s="21">
        <f>IF(OR(tblsales[[#This Row],[Contract Value USD]]="",tblsales[[#This Row],[Cost Estimate USD]]=""),"",tblsales[[#This Row],[Contract Value USD]]-tblsales[[#This Row],[Cost Estimate USD]])</f>
        <v>3710959.459999999</v>
      </c>
      <c r="BD617" s="23">
        <f>IF(tblsales[[#This Row],[Invoice Value USD]]="","",tblsales[[#This Row],[Collected Amount USD]]/tblsales[[#This Row],[Invoice Value USD]])</f>
        <v>0.45249118932873977</v>
      </c>
      <c r="BE617" s="11">
        <f>IF(tblsales[[#This Row],[SalesStage]]="Won",1,0)</f>
        <v>0</v>
      </c>
      <c r="BF617" s="21" t="str">
        <f>IF(tblsales[[#This Row],[Win Flag]]=1,"Won","Lost")</f>
        <v>Lost</v>
      </c>
      <c r="BG617" s="8"/>
    </row>
    <row r="618" spans="1:59" x14ac:dyDescent="0.3">
      <c r="A618" s="10" t="s">
        <v>2153</v>
      </c>
      <c r="B618" s="9">
        <v>45906</v>
      </c>
      <c r="C618" s="10" t="s">
        <v>231</v>
      </c>
      <c r="D618" s="10" t="s">
        <v>180</v>
      </c>
      <c r="E618" s="10" t="s">
        <v>20</v>
      </c>
      <c r="F618" s="10" t="s">
        <v>31</v>
      </c>
      <c r="G618" s="10" t="s">
        <v>46</v>
      </c>
      <c r="H618" s="10" t="s">
        <v>212</v>
      </c>
      <c r="I618" s="10" t="s">
        <v>183</v>
      </c>
      <c r="J618" s="10" t="s">
        <v>136</v>
      </c>
      <c r="K618" s="10" t="s">
        <v>223</v>
      </c>
      <c r="L618" s="10" t="s">
        <v>2154</v>
      </c>
      <c r="M618" s="9">
        <v>45860</v>
      </c>
      <c r="N618" s="9">
        <v>45945</v>
      </c>
      <c r="O618" s="9"/>
      <c r="P618" s="11">
        <v>6</v>
      </c>
      <c r="Q618" s="12">
        <v>42854657</v>
      </c>
      <c r="R618">
        <v>49754256.777000003</v>
      </c>
      <c r="S618" s="22">
        <v>0.12</v>
      </c>
      <c r="T618" s="22">
        <v>0.18</v>
      </c>
      <c r="U618" s="12">
        <v>44500275.829999998</v>
      </c>
      <c r="V618" s="24">
        <v>51664820.238629997</v>
      </c>
      <c r="W618" s="8">
        <v>35911059.68</v>
      </c>
      <c r="X618" s="24">
        <v>41692740.288479999</v>
      </c>
      <c r="Y618" s="22">
        <v>0.1</v>
      </c>
      <c r="Z618" s="22">
        <v>7.0000000000000007E-2</v>
      </c>
      <c r="AA618" s="8" t="s">
        <v>2155</v>
      </c>
      <c r="AB618" s="8">
        <v>28607656.699999999</v>
      </c>
      <c r="AC618" s="24">
        <v>33213489.4287</v>
      </c>
      <c r="AD618" s="8">
        <v>8896780.5800000001</v>
      </c>
      <c r="AE618" s="24">
        <v>10329162.253380001</v>
      </c>
      <c r="AF618" s="8">
        <v>30</v>
      </c>
      <c r="AG618" s="8">
        <v>177</v>
      </c>
      <c r="AH618" s="8" t="s">
        <v>332</v>
      </c>
      <c r="AI618" s="8" t="s">
        <v>381</v>
      </c>
      <c r="AJ618" s="22">
        <v>0.15</v>
      </c>
      <c r="AK618" s="8" t="s">
        <v>159</v>
      </c>
      <c r="AL618" s="22">
        <v>0.15</v>
      </c>
      <c r="AM618" s="22">
        <v>7.0000000000000007E-2</v>
      </c>
      <c r="AN618" s="8">
        <v>2</v>
      </c>
      <c r="AO618" s="8">
        <v>4267</v>
      </c>
      <c r="AP618" s="8"/>
      <c r="AQ618" s="24"/>
      <c r="AR618" s="8">
        <v>21059168.199999999</v>
      </c>
      <c r="AS618" s="37">
        <v>24449694.280200001</v>
      </c>
      <c r="AT618" s="8" t="s">
        <v>73</v>
      </c>
      <c r="AU618" s="8" t="s">
        <v>322</v>
      </c>
      <c r="AV618" s="8">
        <v>92.2</v>
      </c>
      <c r="AW618" s="8">
        <v>60</v>
      </c>
      <c r="AX618" s="8" t="s">
        <v>392</v>
      </c>
      <c r="AY618" s="8" t="s">
        <v>192</v>
      </c>
      <c r="AZ618" s="8" t="s">
        <v>332</v>
      </c>
      <c r="BA618" s="21">
        <f>IF(OR(tblsales[[#This Row],[Invoice Value USD]]="",tblsales[[#This Row],[Collected Amount USD]]=""),"",tblsales[[#This Row],[Invoice Value USD]]-tblsales[[#This Row],[Collected Amount USD]])</f>
        <v>22884327.175319999</v>
      </c>
      <c r="BB618" s="21">
        <f>IF(OR(tblsales[[#This Row],[Contract Value USD]]="",tblsales[[#This Row],[Cost Estimate USD]]=""),"",tblsales[[#This Row],[Contract Value USD]]-tblsales[[#This Row],[Cost Estimate USD]])</f>
        <v>9972079.9501499981</v>
      </c>
      <c r="BC618" s="21">
        <f>IF(OR(tblsales[[#This Row],[Contract Value USD]]="",tblsales[[#This Row],[Cost Estimate USD]]=""),"",tblsales[[#This Row],[Contract Value USD]]-tblsales[[#This Row],[Cost Estimate USD]])</f>
        <v>9972079.9501499981</v>
      </c>
      <c r="BD618" s="23">
        <f>IF(tblsales[[#This Row],[Invoice Value USD]]="","",tblsales[[#This Row],[Collected Amount USD]]/tblsales[[#This Row],[Invoice Value USD]])</f>
        <v>0.31099298601412539</v>
      </c>
      <c r="BE618" s="11">
        <f>IF(tblsales[[#This Row],[SalesStage]]="Won",1,0)</f>
        <v>0</v>
      </c>
      <c r="BF618" s="21" t="str">
        <f>IF(tblsales[[#This Row],[Win Flag]]=1,"Won","Lost")</f>
        <v>Lost</v>
      </c>
      <c r="BG618" s="8"/>
    </row>
    <row r="619" spans="1:59" x14ac:dyDescent="0.3">
      <c r="A619" s="10" t="s">
        <v>2156</v>
      </c>
      <c r="B619" s="9">
        <v>45670</v>
      </c>
      <c r="C619" s="10" t="s">
        <v>214</v>
      </c>
      <c r="D619" s="10" t="s">
        <v>255</v>
      </c>
      <c r="E619" s="10" t="s">
        <v>20</v>
      </c>
      <c r="F619" s="10" t="s">
        <v>31</v>
      </c>
      <c r="G619" s="10" t="s">
        <v>50</v>
      </c>
      <c r="H619" s="10" t="s">
        <v>236</v>
      </c>
      <c r="I619" s="10" t="s">
        <v>213</v>
      </c>
      <c r="J619" s="10" t="s">
        <v>136</v>
      </c>
      <c r="K619" s="10" t="s">
        <v>221</v>
      </c>
      <c r="L619" s="10" t="s">
        <v>2157</v>
      </c>
      <c r="M619" s="9">
        <v>45639</v>
      </c>
      <c r="N619" s="9">
        <v>45671</v>
      </c>
      <c r="O619" s="9">
        <v>45710</v>
      </c>
      <c r="P619" s="11">
        <v>10</v>
      </c>
      <c r="Q619" s="12">
        <v>25342865</v>
      </c>
      <c r="R619">
        <v>29423066.265000001</v>
      </c>
      <c r="S619" s="22">
        <v>0.3</v>
      </c>
      <c r="T619" s="22">
        <v>0.17</v>
      </c>
      <c r="U619" s="12">
        <v>20755806.43</v>
      </c>
      <c r="V619" s="24">
        <v>24097491.26523</v>
      </c>
      <c r="W619" s="8">
        <v>15149702.91</v>
      </c>
      <c r="X619" s="24">
        <v>17588805.078510001</v>
      </c>
      <c r="Y619" s="22">
        <v>0.33</v>
      </c>
      <c r="Z619" s="22">
        <v>0.16</v>
      </c>
      <c r="AA619" s="8" t="s">
        <v>2158</v>
      </c>
      <c r="AB619" s="8">
        <v>4825532.49</v>
      </c>
      <c r="AC619" s="24">
        <v>5602443.2208900005</v>
      </c>
      <c r="AD619" s="8">
        <v>2471825.4500000002</v>
      </c>
      <c r="AE619" s="24">
        <v>2869789.3474500002</v>
      </c>
      <c r="AF619" s="8">
        <v>30</v>
      </c>
      <c r="AG619" s="8">
        <v>140</v>
      </c>
      <c r="AH619" s="8" t="s">
        <v>329</v>
      </c>
      <c r="AI619" s="8" t="s">
        <v>354</v>
      </c>
      <c r="AJ619" s="22">
        <v>0.27</v>
      </c>
      <c r="AK619" s="8" t="s">
        <v>159</v>
      </c>
      <c r="AL619" s="22">
        <v>0.15</v>
      </c>
      <c r="AM619" s="22">
        <v>0.08</v>
      </c>
      <c r="AN619" s="8">
        <v>11</v>
      </c>
      <c r="AO619" s="8">
        <v>1556</v>
      </c>
      <c r="AP619" s="8">
        <v>4590660.5</v>
      </c>
      <c r="AQ619" s="24">
        <v>5329756.8404999999</v>
      </c>
      <c r="AR619" s="8">
        <v>5664759.7199999997</v>
      </c>
      <c r="AS619" s="37">
        <v>6576786.0349199995</v>
      </c>
      <c r="AT619" s="8" t="s">
        <v>355</v>
      </c>
      <c r="AU619" s="8" t="s">
        <v>330</v>
      </c>
      <c r="AV619" s="8">
        <v>97.7</v>
      </c>
      <c r="AW619" s="8">
        <v>12</v>
      </c>
      <c r="AX619" s="8" t="s">
        <v>332</v>
      </c>
      <c r="AY619" s="8" t="s">
        <v>186</v>
      </c>
      <c r="AZ619" s="8" t="s">
        <v>361</v>
      </c>
      <c r="BA619" s="21">
        <f>IF(OR(tblsales[[#This Row],[Invoice Value USD]]="",tblsales[[#This Row],[Collected Amount USD]]=""),"",tblsales[[#This Row],[Invoice Value USD]]-tblsales[[#This Row],[Collected Amount USD]])</f>
        <v>2732653.8734400002</v>
      </c>
      <c r="BB619" s="21">
        <f>IF(OR(tblsales[[#This Row],[Contract Value USD]]="",tblsales[[#This Row],[Cost Estimate USD]]=""),"",tblsales[[#This Row],[Contract Value USD]]-tblsales[[#This Row],[Cost Estimate USD]])</f>
        <v>6508686.1867199987</v>
      </c>
      <c r="BC619" s="21">
        <f>IF(OR(tblsales[[#This Row],[Contract Value USD]]="",tblsales[[#This Row],[Cost Estimate USD]]=""),"",tblsales[[#This Row],[Contract Value USD]]-tblsales[[#This Row],[Cost Estimate USD]])</f>
        <v>6508686.1867199987</v>
      </c>
      <c r="BD619" s="23">
        <f>IF(tblsales[[#This Row],[Invoice Value USD]]="","",tblsales[[#This Row],[Collected Amount USD]]/tblsales[[#This Row],[Invoice Value USD]])</f>
        <v>0.51223889904842401</v>
      </c>
      <c r="BE619" s="11">
        <f>IF(tblsales[[#This Row],[SalesStage]]="Won",1,0)</f>
        <v>0</v>
      </c>
      <c r="BF619" s="21" t="str">
        <f>IF(tblsales[[#This Row],[Win Flag]]=1,"Won","Lost")</f>
        <v>Lost</v>
      </c>
      <c r="BG619" s="8"/>
    </row>
    <row r="620" spans="1:59" x14ac:dyDescent="0.3">
      <c r="A620" s="10" t="s">
        <v>2159</v>
      </c>
      <c r="B620" s="9">
        <v>45764</v>
      </c>
      <c r="C620" s="10" t="s">
        <v>269</v>
      </c>
      <c r="D620" s="10" t="s">
        <v>209</v>
      </c>
      <c r="E620" s="10" t="s">
        <v>20</v>
      </c>
      <c r="F620" s="10" t="s">
        <v>31</v>
      </c>
      <c r="G620" s="10" t="s">
        <v>66</v>
      </c>
      <c r="H620" s="10" t="s">
        <v>197</v>
      </c>
      <c r="I620" s="10" t="s">
        <v>240</v>
      </c>
      <c r="J620" s="10" t="s">
        <v>136</v>
      </c>
      <c r="K620" s="10" t="s">
        <v>199</v>
      </c>
      <c r="L620" s="10" t="s">
        <v>2160</v>
      </c>
      <c r="M620" s="9">
        <v>45963</v>
      </c>
      <c r="N620" s="9">
        <v>45767</v>
      </c>
      <c r="O620" s="9">
        <v>45823</v>
      </c>
      <c r="P620" s="11">
        <v>28</v>
      </c>
      <c r="Q620" s="12">
        <v>43197754</v>
      </c>
      <c r="R620">
        <v>11762748.414199999</v>
      </c>
      <c r="S620" s="22">
        <v>0.3</v>
      </c>
      <c r="T620" s="22">
        <v>0.02</v>
      </c>
      <c r="U620" s="12">
        <v>30843196.359999999</v>
      </c>
      <c r="V620" s="24">
        <v>8398602.3688279986</v>
      </c>
      <c r="W620" s="8">
        <v>21227355.390000001</v>
      </c>
      <c r="X620" s="24">
        <v>5780208.8726969995</v>
      </c>
      <c r="Y620" s="22"/>
      <c r="Z620" s="22">
        <v>0.19</v>
      </c>
      <c r="AA620" s="8" t="s">
        <v>2161</v>
      </c>
      <c r="AB620" s="8">
        <v>19204598.870000001</v>
      </c>
      <c r="AC620" s="24">
        <v>5229412.2723009996</v>
      </c>
      <c r="AD620" s="8">
        <v>11307883.01</v>
      </c>
      <c r="AE620" s="24">
        <v>3079136.5436229999</v>
      </c>
      <c r="AF620" s="8">
        <v>45</v>
      </c>
      <c r="AG620" s="8">
        <v>20</v>
      </c>
      <c r="AH620" s="8" t="s">
        <v>329</v>
      </c>
      <c r="AI620" s="8" t="s">
        <v>336</v>
      </c>
      <c r="AJ620" s="22">
        <v>0.62</v>
      </c>
      <c r="AK620" s="8" t="s">
        <v>153</v>
      </c>
      <c r="AL620" s="22">
        <v>0.1</v>
      </c>
      <c r="AM620" s="22">
        <v>0.08</v>
      </c>
      <c r="AN620" s="8">
        <v>1</v>
      </c>
      <c r="AO620" s="8">
        <v>3629</v>
      </c>
      <c r="AP620" s="8">
        <v>5165785.18</v>
      </c>
      <c r="AQ620" s="24">
        <v>1406643.304514</v>
      </c>
      <c r="AR620" s="8">
        <v>6074563.0300000003</v>
      </c>
      <c r="AS620" s="37">
        <v>1654103.5130690001</v>
      </c>
      <c r="AT620" s="8" t="s">
        <v>391</v>
      </c>
      <c r="AU620" s="8" t="s">
        <v>322</v>
      </c>
      <c r="AV620" s="8">
        <v>85.9</v>
      </c>
      <c r="AW620" s="8">
        <v>60</v>
      </c>
      <c r="AX620" s="8" t="s">
        <v>332</v>
      </c>
      <c r="AY620" s="8" t="s">
        <v>192</v>
      </c>
      <c r="AZ620" s="8" t="s">
        <v>324</v>
      </c>
      <c r="BA620" s="21">
        <f>IF(OR(tblsales[[#This Row],[Invoice Value USD]]="",tblsales[[#This Row],[Collected Amount USD]]=""),"",tblsales[[#This Row],[Invoice Value USD]]-tblsales[[#This Row],[Collected Amount USD]])</f>
        <v>2150275.7286779997</v>
      </c>
      <c r="BB620" s="21">
        <f>IF(OR(tblsales[[#This Row],[Contract Value USD]]="",tblsales[[#This Row],[Cost Estimate USD]]=""),"",tblsales[[#This Row],[Contract Value USD]]-tblsales[[#This Row],[Cost Estimate USD]])</f>
        <v>2618393.4961309992</v>
      </c>
      <c r="BC620" s="21">
        <f>IF(OR(tblsales[[#This Row],[Contract Value USD]]="",tblsales[[#This Row],[Cost Estimate USD]]=""),"",tblsales[[#This Row],[Contract Value USD]]-tblsales[[#This Row],[Cost Estimate USD]])</f>
        <v>2618393.4961309992</v>
      </c>
      <c r="BD620" s="23">
        <f>IF(tblsales[[#This Row],[Invoice Value USD]]="","",tblsales[[#This Row],[Collected Amount USD]]/tblsales[[#This Row],[Invoice Value USD]])</f>
        <v>0.58881120540686416</v>
      </c>
      <c r="BE620" s="11">
        <f>IF(tblsales[[#This Row],[SalesStage]]="Won",1,0)</f>
        <v>0</v>
      </c>
      <c r="BF620" s="21" t="str">
        <f>IF(tblsales[[#This Row],[Win Flag]]=1,"Won","Lost")</f>
        <v>Lost</v>
      </c>
      <c r="BG620" s="8"/>
    </row>
    <row r="621" spans="1:59" x14ac:dyDescent="0.3">
      <c r="A621" s="10" t="s">
        <v>2162</v>
      </c>
      <c r="B621" s="9">
        <v>45754</v>
      </c>
      <c r="C621" s="10" t="s">
        <v>261</v>
      </c>
      <c r="D621" s="10" t="s">
        <v>180</v>
      </c>
      <c r="E621" s="10" t="s">
        <v>41</v>
      </c>
      <c r="F621" s="10" t="s">
        <v>228</v>
      </c>
      <c r="G621" s="10" t="s">
        <v>332</v>
      </c>
      <c r="H621" s="10" t="s">
        <v>212</v>
      </c>
      <c r="I621" s="10" t="s">
        <v>198</v>
      </c>
      <c r="J621" s="10" t="s">
        <v>130</v>
      </c>
      <c r="K621" s="10" t="s">
        <v>223</v>
      </c>
      <c r="L621" s="10" t="s">
        <v>2163</v>
      </c>
      <c r="M621" s="9">
        <v>45776</v>
      </c>
      <c r="N621" s="9">
        <v>45877</v>
      </c>
      <c r="O621" s="9">
        <v>45952</v>
      </c>
      <c r="P621" s="11">
        <v>53</v>
      </c>
      <c r="Q621" s="12">
        <v>7443733</v>
      </c>
      <c r="R621">
        <v>7443733</v>
      </c>
      <c r="S621" s="22">
        <v>0.04</v>
      </c>
      <c r="T621" s="22">
        <v>-0.01</v>
      </c>
      <c r="U621" s="12">
        <v>7074523.8399999999</v>
      </c>
      <c r="V621" s="24">
        <v>7074523.8399999999</v>
      </c>
      <c r="W621" s="8">
        <v>6005122.3200000003</v>
      </c>
      <c r="X621" s="24">
        <v>6005122.3200000003</v>
      </c>
      <c r="Y621" s="22">
        <v>0.28000000000000003</v>
      </c>
      <c r="Z621" s="22">
        <v>0.05</v>
      </c>
      <c r="AA621" s="8" t="s">
        <v>2164</v>
      </c>
      <c r="AB621" s="8">
        <v>5323257.17</v>
      </c>
      <c r="AC621" s="24">
        <v>5323257.17</v>
      </c>
      <c r="AD621" s="8">
        <v>2685557.36</v>
      </c>
      <c r="AE621" s="24">
        <v>2685557.36</v>
      </c>
      <c r="AF621" s="8">
        <v>90</v>
      </c>
      <c r="AG621" s="8">
        <v>51</v>
      </c>
      <c r="AH621" s="8" t="s">
        <v>353</v>
      </c>
      <c r="AI621" s="8" t="s">
        <v>354</v>
      </c>
      <c r="AJ621" s="22">
        <v>0.85</v>
      </c>
      <c r="AK621" s="8" t="s">
        <v>152</v>
      </c>
      <c r="AL621" s="22">
        <v>0.15</v>
      </c>
      <c r="AM621" s="22">
        <v>0.01</v>
      </c>
      <c r="AN621" s="8">
        <v>1</v>
      </c>
      <c r="AO621" s="8">
        <v>4741</v>
      </c>
      <c r="AP621" s="8"/>
      <c r="AQ621" s="24"/>
      <c r="AR621" s="8">
        <v>3528190.58</v>
      </c>
      <c r="AS621" s="37">
        <v>3528190.58</v>
      </c>
      <c r="AT621" s="8" t="s">
        <v>385</v>
      </c>
      <c r="AU621" s="8" t="s">
        <v>356</v>
      </c>
      <c r="AV621" s="8">
        <v>84.2</v>
      </c>
      <c r="AW621" s="8">
        <v>36</v>
      </c>
      <c r="AX621" s="8" t="s">
        <v>332</v>
      </c>
      <c r="AY621" s="8" t="s">
        <v>229</v>
      </c>
      <c r="AZ621" s="8" t="s">
        <v>377</v>
      </c>
      <c r="BA621" s="21">
        <f>IF(OR(tblsales[[#This Row],[Invoice Value USD]]="",tblsales[[#This Row],[Collected Amount USD]]=""),"",tblsales[[#This Row],[Invoice Value USD]]-tblsales[[#This Row],[Collected Amount USD]])</f>
        <v>2637699.81</v>
      </c>
      <c r="BB621" s="21">
        <f>IF(OR(tblsales[[#This Row],[Contract Value USD]]="",tblsales[[#This Row],[Cost Estimate USD]]=""),"",tblsales[[#This Row],[Contract Value USD]]-tblsales[[#This Row],[Cost Estimate USD]])</f>
        <v>1069401.5199999996</v>
      </c>
      <c r="BC621" s="21">
        <f>IF(OR(tblsales[[#This Row],[Contract Value USD]]="",tblsales[[#This Row],[Cost Estimate USD]]=""),"",tblsales[[#This Row],[Contract Value USD]]-tblsales[[#This Row],[Cost Estimate USD]])</f>
        <v>1069401.5199999996</v>
      </c>
      <c r="BD621" s="23">
        <f>IF(tblsales[[#This Row],[Invoice Value USD]]="","",tblsales[[#This Row],[Collected Amount USD]]/tblsales[[#This Row],[Invoice Value USD]])</f>
        <v>0.50449513788942113</v>
      </c>
      <c r="BE621" s="11">
        <f>IF(tblsales[[#This Row],[SalesStage]]="Won",1,0)</f>
        <v>0</v>
      </c>
      <c r="BF621" s="21" t="str">
        <f>IF(tblsales[[#This Row],[Win Flag]]=1,"Won","Lost")</f>
        <v>Lost</v>
      </c>
      <c r="BG621" s="8"/>
    </row>
    <row r="622" spans="1:59" x14ac:dyDescent="0.3">
      <c r="A622" s="10" t="s">
        <v>2165</v>
      </c>
      <c r="B622" s="9">
        <v>45694</v>
      </c>
      <c r="C622" s="10" t="s">
        <v>269</v>
      </c>
      <c r="D622" s="10" t="s">
        <v>220</v>
      </c>
      <c r="E622" s="10" t="s">
        <v>36</v>
      </c>
      <c r="F622" s="10" t="s">
        <v>339</v>
      </c>
      <c r="G622" s="10" t="s">
        <v>23</v>
      </c>
      <c r="H622" s="10" t="s">
        <v>182</v>
      </c>
      <c r="I622" s="10" t="s">
        <v>332</v>
      </c>
      <c r="J622" s="10" t="s">
        <v>115</v>
      </c>
      <c r="K622" s="10" t="s">
        <v>204</v>
      </c>
      <c r="L622" s="10" t="s">
        <v>2166</v>
      </c>
      <c r="M622" s="9">
        <v>45334</v>
      </c>
      <c r="N622" s="9">
        <v>45714</v>
      </c>
      <c r="O622" s="9">
        <v>45731</v>
      </c>
      <c r="P622" s="11">
        <v>44</v>
      </c>
      <c r="Q622" s="12"/>
      <c r="S622" s="22">
        <v>0.3</v>
      </c>
      <c r="T622" s="22">
        <v>-0.02</v>
      </c>
      <c r="U622" s="12">
        <v>27044324.800000001</v>
      </c>
      <c r="V622" s="24">
        <v>31398461.092800003</v>
      </c>
      <c r="W622" s="8">
        <v>20543804.98</v>
      </c>
      <c r="X622" s="24">
        <v>23851357.581780002</v>
      </c>
      <c r="Y622" s="22">
        <v>0.24</v>
      </c>
      <c r="Z622" s="22">
        <v>0.17</v>
      </c>
      <c r="AA622" s="8" t="s">
        <v>2167</v>
      </c>
      <c r="AB622" s="8">
        <v>14328629.380000001</v>
      </c>
      <c r="AC622" s="24">
        <v>16635538.710180001</v>
      </c>
      <c r="AD622" s="8">
        <v>12755844.49</v>
      </c>
      <c r="AE622" s="24">
        <v>14809535.452890001</v>
      </c>
      <c r="AF622" s="8">
        <v>30</v>
      </c>
      <c r="AG622" s="8">
        <v>124</v>
      </c>
      <c r="AH622" s="8" t="s">
        <v>332</v>
      </c>
      <c r="AI622" s="8" t="s">
        <v>320</v>
      </c>
      <c r="AJ622" s="22">
        <v>0.09</v>
      </c>
      <c r="AK622" s="8" t="s">
        <v>159</v>
      </c>
      <c r="AL622" s="22">
        <v>0.05</v>
      </c>
      <c r="AM622" s="22">
        <v>0.08</v>
      </c>
      <c r="AN622" s="8">
        <v>14</v>
      </c>
      <c r="AO622" s="8">
        <v>1567</v>
      </c>
      <c r="AP622" s="8">
        <v>5048993.74</v>
      </c>
      <c r="AQ622" s="24">
        <v>5861881.73214</v>
      </c>
      <c r="AR622" s="8">
        <v>12351134.17</v>
      </c>
      <c r="AS622" s="37">
        <v>14339666.771370001</v>
      </c>
      <c r="AT622" s="8" t="s">
        <v>73</v>
      </c>
      <c r="AU622" s="8" t="s">
        <v>386</v>
      </c>
      <c r="AV622" s="8">
        <v>74.900000000000006</v>
      </c>
      <c r="AW622" s="8">
        <v>24</v>
      </c>
      <c r="AX622" s="8" t="s">
        <v>332</v>
      </c>
      <c r="AY622" s="8" t="s">
        <v>229</v>
      </c>
      <c r="AZ622" s="8" t="s">
        <v>357</v>
      </c>
      <c r="BA622" s="21">
        <f>IF(OR(tblsales[[#This Row],[Invoice Value USD]]="",tblsales[[#This Row],[Collected Amount USD]]=""),"",tblsales[[#This Row],[Invoice Value USD]]-tblsales[[#This Row],[Collected Amount USD]])</f>
        <v>1826003.2572900001</v>
      </c>
      <c r="BB622" s="21">
        <f>IF(OR(tblsales[[#This Row],[Contract Value USD]]="",tblsales[[#This Row],[Cost Estimate USD]]=""),"",tblsales[[#This Row],[Contract Value USD]]-tblsales[[#This Row],[Cost Estimate USD]])</f>
        <v>7547103.511020001</v>
      </c>
      <c r="BC622" s="21">
        <f>IF(OR(tblsales[[#This Row],[Contract Value USD]]="",tblsales[[#This Row],[Cost Estimate USD]]=""),"",tblsales[[#This Row],[Contract Value USD]]-tblsales[[#This Row],[Cost Estimate USD]])</f>
        <v>7547103.511020001</v>
      </c>
      <c r="BD622" s="23">
        <f>IF(tblsales[[#This Row],[Invoice Value USD]]="","",tblsales[[#This Row],[Collected Amount USD]]/tblsales[[#This Row],[Invoice Value USD]])</f>
        <v>0.89023479857778276</v>
      </c>
      <c r="BE622" s="11">
        <f>IF(tblsales[[#This Row],[SalesStage]]="Won",1,0)</f>
        <v>1</v>
      </c>
      <c r="BF622" s="21" t="str">
        <f>IF(tblsales[[#This Row],[Win Flag]]=1,"Won","Lost")</f>
        <v>Won</v>
      </c>
      <c r="BG622" s="8"/>
    </row>
    <row r="623" spans="1:59" x14ac:dyDescent="0.3">
      <c r="A623" s="10" t="s">
        <v>2168</v>
      </c>
      <c r="B623" s="9">
        <v>45850</v>
      </c>
      <c r="C623" s="10" t="s">
        <v>269</v>
      </c>
      <c r="D623" s="10" t="s">
        <v>238</v>
      </c>
      <c r="E623" s="10" t="s">
        <v>20</v>
      </c>
      <c r="F623" s="10" t="s">
        <v>196</v>
      </c>
      <c r="G623" s="10" t="s">
        <v>46</v>
      </c>
      <c r="H623" s="10" t="s">
        <v>332</v>
      </c>
      <c r="I623" s="10" t="s">
        <v>240</v>
      </c>
      <c r="J623" s="10" t="s">
        <v>136</v>
      </c>
      <c r="K623" s="10" t="s">
        <v>333</v>
      </c>
      <c r="L623" s="10" t="s">
        <v>2169</v>
      </c>
      <c r="M623" s="9">
        <v>45957</v>
      </c>
      <c r="N623" s="9">
        <v>46053</v>
      </c>
      <c r="O623" s="9">
        <v>46067</v>
      </c>
      <c r="P623" s="11">
        <v>43</v>
      </c>
      <c r="Q623" s="12">
        <v>28633219</v>
      </c>
      <c r="R623">
        <v>28633219</v>
      </c>
      <c r="S623" s="22">
        <v>0.08</v>
      </c>
      <c r="T623" s="22">
        <v>0.1</v>
      </c>
      <c r="U623" s="12">
        <v>28976817.629999999</v>
      </c>
      <c r="V623" s="24">
        <v>28976817.629999999</v>
      </c>
      <c r="W623" s="8">
        <v>24793431.559999999</v>
      </c>
      <c r="X623" s="24">
        <v>24793431.559999999</v>
      </c>
      <c r="Y623" s="22">
        <v>0.12</v>
      </c>
      <c r="Z623" s="22">
        <v>0.09</v>
      </c>
      <c r="AA623" s="8" t="s">
        <v>2170</v>
      </c>
      <c r="AB623" s="8">
        <v>14466162.65</v>
      </c>
      <c r="AC623" s="24">
        <v>14466162.65</v>
      </c>
      <c r="AD623" s="8">
        <v>13202291.789999999</v>
      </c>
      <c r="AE623" s="24">
        <v>13202291.789999999</v>
      </c>
      <c r="AF623" s="8">
        <v>60</v>
      </c>
      <c r="AG623" s="8">
        <v>137</v>
      </c>
      <c r="AH623" s="8" t="s">
        <v>329</v>
      </c>
      <c r="AI623" s="8" t="s">
        <v>336</v>
      </c>
      <c r="AJ623" s="22">
        <v>0.32</v>
      </c>
      <c r="AK623" s="8" t="s">
        <v>152</v>
      </c>
      <c r="AL623" s="22">
        <v>0.05</v>
      </c>
      <c r="AM623" s="22">
        <v>7.0000000000000007E-2</v>
      </c>
      <c r="AN623" s="8">
        <v>7</v>
      </c>
      <c r="AO623" s="8">
        <v>1617</v>
      </c>
      <c r="AP623" s="8">
        <v>5171727.33</v>
      </c>
      <c r="AQ623" s="24">
        <v>5171727.33</v>
      </c>
      <c r="AR623" s="8">
        <v>14167255.689999999</v>
      </c>
      <c r="AS623" s="37">
        <v>14167255.689999999</v>
      </c>
      <c r="AT623" s="8" t="s">
        <v>355</v>
      </c>
      <c r="AU623" s="8" t="s">
        <v>321</v>
      </c>
      <c r="AV623" s="8">
        <v>84.6</v>
      </c>
      <c r="AW623" s="8">
        <v>48</v>
      </c>
      <c r="AX623" s="8" t="s">
        <v>332</v>
      </c>
      <c r="AY623" s="8" t="s">
        <v>224</v>
      </c>
      <c r="AZ623" s="8" t="s">
        <v>377</v>
      </c>
      <c r="BA623" s="21">
        <f>IF(OR(tblsales[[#This Row],[Invoice Value USD]]="",tblsales[[#This Row],[Collected Amount USD]]=""),"",tblsales[[#This Row],[Invoice Value USD]]-tblsales[[#This Row],[Collected Amount USD]])</f>
        <v>1263870.8600000013</v>
      </c>
      <c r="BB623" s="21">
        <f>IF(OR(tblsales[[#This Row],[Contract Value USD]]="",tblsales[[#This Row],[Cost Estimate USD]]=""),"",tblsales[[#This Row],[Contract Value USD]]-tblsales[[#This Row],[Cost Estimate USD]])</f>
        <v>4183386.0700000003</v>
      </c>
      <c r="BC623" s="21">
        <f>IF(OR(tblsales[[#This Row],[Contract Value USD]]="",tblsales[[#This Row],[Cost Estimate USD]]=""),"",tblsales[[#This Row],[Contract Value USD]]-tblsales[[#This Row],[Cost Estimate USD]])</f>
        <v>4183386.0700000003</v>
      </c>
      <c r="BD623" s="23">
        <f>IF(tblsales[[#This Row],[Invoice Value USD]]="","",tblsales[[#This Row],[Collected Amount USD]]/tblsales[[#This Row],[Invoice Value USD]])</f>
        <v>0.91263261097095427</v>
      </c>
      <c r="BE623" s="11">
        <f>IF(tblsales[[#This Row],[SalesStage]]="Won",1,0)</f>
        <v>0</v>
      </c>
      <c r="BF623" s="21" t="str">
        <f>IF(tblsales[[#This Row],[Win Flag]]=1,"Won","Lost")</f>
        <v>Lost</v>
      </c>
      <c r="BG623" s="8"/>
    </row>
    <row r="624" spans="1:59" x14ac:dyDescent="0.3">
      <c r="A624" s="10" t="s">
        <v>2171</v>
      </c>
      <c r="B624" s="9">
        <v>45844</v>
      </c>
      <c r="C624" s="10" t="s">
        <v>276</v>
      </c>
      <c r="D624" s="10" t="s">
        <v>202</v>
      </c>
      <c r="E624" s="10" t="s">
        <v>113</v>
      </c>
      <c r="F624" s="10" t="s">
        <v>367</v>
      </c>
      <c r="G624" s="10" t="s">
        <v>23</v>
      </c>
      <c r="H624" s="10" t="s">
        <v>182</v>
      </c>
      <c r="I624" s="10" t="s">
        <v>213</v>
      </c>
      <c r="J624" s="10" t="s">
        <v>123</v>
      </c>
      <c r="K624" s="10" t="s">
        <v>204</v>
      </c>
      <c r="L624" s="10" t="s">
        <v>2172</v>
      </c>
      <c r="M624" s="9">
        <v>45842</v>
      </c>
      <c r="N624" s="9">
        <v>45846</v>
      </c>
      <c r="O624" s="9">
        <v>45883</v>
      </c>
      <c r="P624" s="11">
        <v>10</v>
      </c>
      <c r="Q624" s="12">
        <v>31027804</v>
      </c>
      <c r="R624">
        <v>8523337.7588</v>
      </c>
      <c r="S624" s="22">
        <v>0.02</v>
      </c>
      <c r="T624" s="22">
        <v>0.02</v>
      </c>
      <c r="U624" s="12">
        <v>31015392.879999999</v>
      </c>
      <c r="V624" s="24">
        <v>8519928.4241359998</v>
      </c>
      <c r="W624" s="8">
        <v>22404314.140000001</v>
      </c>
      <c r="X624" s="24">
        <v>6154465.0942580001</v>
      </c>
      <c r="Y624" s="22">
        <v>0.27</v>
      </c>
      <c r="Z624" s="22">
        <v>0.08</v>
      </c>
      <c r="AA624" s="8" t="s">
        <v>2173</v>
      </c>
      <c r="AB624" s="8">
        <v>11141825.35</v>
      </c>
      <c r="AC624" s="24">
        <v>3060659.423645</v>
      </c>
      <c r="AD624" s="8">
        <v>10466297.529999999</v>
      </c>
      <c r="AE624" s="24">
        <v>2875091.9314909996</v>
      </c>
      <c r="AF624" s="8">
        <v>30</v>
      </c>
      <c r="AG624" s="8">
        <v>168</v>
      </c>
      <c r="AH624" s="8" t="s">
        <v>342</v>
      </c>
      <c r="AI624" s="8" t="s">
        <v>406</v>
      </c>
      <c r="AJ624" s="22">
        <v>0.94</v>
      </c>
      <c r="AK624" s="8" t="s">
        <v>155</v>
      </c>
      <c r="AL624" s="22">
        <v>0.05</v>
      </c>
      <c r="AM624" s="22">
        <v>0.03</v>
      </c>
      <c r="AN624" s="8">
        <v>9</v>
      </c>
      <c r="AO624" s="8">
        <v>1431</v>
      </c>
      <c r="AP624" s="8">
        <v>5816663.6500000004</v>
      </c>
      <c r="AQ624" s="24">
        <v>1597837.5046550001</v>
      </c>
      <c r="AR624" s="8">
        <v>11188048.220000001</v>
      </c>
      <c r="AS624" s="37">
        <v>3073356.8460340002</v>
      </c>
      <c r="AT624" s="8" t="s">
        <v>73</v>
      </c>
      <c r="AU624" s="8" t="s">
        <v>386</v>
      </c>
      <c r="AV624" s="8">
        <v>64.400000000000006</v>
      </c>
      <c r="AW624" s="8">
        <v>60</v>
      </c>
      <c r="AX624" s="8" t="s">
        <v>332</v>
      </c>
      <c r="AY624" s="8" t="s">
        <v>224</v>
      </c>
      <c r="AZ624" s="8" t="s">
        <v>332</v>
      </c>
      <c r="BA624" s="21">
        <f>IF(OR(tblsales[[#This Row],[Invoice Value USD]]="",tblsales[[#This Row],[Collected Amount USD]]=""),"",tblsales[[#This Row],[Invoice Value USD]]-tblsales[[#This Row],[Collected Amount USD]])</f>
        <v>185567.49215400033</v>
      </c>
      <c r="BB624" s="21">
        <f>IF(OR(tblsales[[#This Row],[Contract Value USD]]="",tblsales[[#This Row],[Cost Estimate USD]]=""),"",tblsales[[#This Row],[Contract Value USD]]-tblsales[[#This Row],[Cost Estimate USD]])</f>
        <v>2365463.3298779996</v>
      </c>
      <c r="BC624" s="21">
        <f>IF(OR(tblsales[[#This Row],[Contract Value USD]]="",tblsales[[#This Row],[Cost Estimate USD]]=""),"",tblsales[[#This Row],[Contract Value USD]]-tblsales[[#This Row],[Cost Estimate USD]])</f>
        <v>2365463.3298779996</v>
      </c>
      <c r="BD624" s="23">
        <f>IF(tblsales[[#This Row],[Invoice Value USD]]="","",tblsales[[#This Row],[Collected Amount USD]]/tblsales[[#This Row],[Invoice Value USD]])</f>
        <v>0.93937009432659957</v>
      </c>
      <c r="BE624" s="11">
        <f>IF(tblsales[[#This Row],[SalesStage]]="Won",1,0)</f>
        <v>0</v>
      </c>
      <c r="BF624" s="21" t="str">
        <f>IF(tblsales[[#This Row],[Win Flag]]=1,"Won","Lost")</f>
        <v>Lost</v>
      </c>
      <c r="BG624" s="8"/>
    </row>
    <row r="625" spans="1:59" x14ac:dyDescent="0.3">
      <c r="A625" s="10" t="s">
        <v>2174</v>
      </c>
      <c r="B625" s="9">
        <v>45659</v>
      </c>
      <c r="C625" s="10" t="s">
        <v>189</v>
      </c>
      <c r="D625" s="10" t="s">
        <v>238</v>
      </c>
      <c r="E625" s="10" t="s">
        <v>41</v>
      </c>
      <c r="F625" s="10" t="s">
        <v>350</v>
      </c>
      <c r="G625" s="10" t="s">
        <v>16</v>
      </c>
      <c r="H625" s="10" t="s">
        <v>197</v>
      </c>
      <c r="I625" s="10" t="s">
        <v>246</v>
      </c>
      <c r="J625" s="10" t="s">
        <v>130</v>
      </c>
      <c r="K625" s="10" t="s">
        <v>221</v>
      </c>
      <c r="L625" s="10" t="s">
        <v>2175</v>
      </c>
      <c r="M625" s="9">
        <v>45588</v>
      </c>
      <c r="N625" s="9">
        <v>45678</v>
      </c>
      <c r="O625" s="9">
        <v>45770</v>
      </c>
      <c r="P625" s="11">
        <v>43</v>
      </c>
      <c r="Q625" s="12">
        <v>4304062</v>
      </c>
      <c r="R625">
        <v>1171996.0825999998</v>
      </c>
      <c r="S625" s="22">
        <v>0.17</v>
      </c>
      <c r="T625" s="22">
        <v>0.15</v>
      </c>
      <c r="U625" s="12">
        <v>4108227.18</v>
      </c>
      <c r="V625" s="24">
        <v>1118670.2611139999</v>
      </c>
      <c r="W625" s="8">
        <v>2989688.86</v>
      </c>
      <c r="X625" s="24">
        <v>814092.27657799993</v>
      </c>
      <c r="Y625" s="22">
        <v>0.26</v>
      </c>
      <c r="Z625" s="22">
        <v>7.0000000000000007E-2</v>
      </c>
      <c r="AA625" s="8" t="s">
        <v>2176</v>
      </c>
      <c r="AB625" s="8">
        <v>1117137.8400000001</v>
      </c>
      <c r="AC625" s="24">
        <v>304196.63383200002</v>
      </c>
      <c r="AD625" s="8">
        <v>1212382.53</v>
      </c>
      <c r="AE625" s="24">
        <v>330131.762919</v>
      </c>
      <c r="AF625" s="8">
        <v>30</v>
      </c>
      <c r="AG625" s="8">
        <v>136</v>
      </c>
      <c r="AH625" s="8" t="s">
        <v>342</v>
      </c>
      <c r="AI625" s="8" t="s">
        <v>455</v>
      </c>
      <c r="AJ625" s="22">
        <v>0.26</v>
      </c>
      <c r="AK625" s="8" t="s">
        <v>153</v>
      </c>
      <c r="AL625" s="22">
        <v>0.1</v>
      </c>
      <c r="AM625" s="22">
        <v>0.05</v>
      </c>
      <c r="AN625" s="8">
        <v>5</v>
      </c>
      <c r="AO625" s="8">
        <v>2545</v>
      </c>
      <c r="AP625" s="8">
        <v>914569.27</v>
      </c>
      <c r="AQ625" s="24">
        <v>249037.21222099999</v>
      </c>
      <c r="AR625" s="8">
        <v>1821260.51</v>
      </c>
      <c r="AS625" s="37">
        <v>495929.23687299999</v>
      </c>
      <c r="AT625" s="8" t="s">
        <v>343</v>
      </c>
      <c r="AU625" s="8" t="s">
        <v>321</v>
      </c>
      <c r="AV625" s="8">
        <v>93.2</v>
      </c>
      <c r="AW625" s="8"/>
      <c r="AX625" s="8" t="s">
        <v>323</v>
      </c>
      <c r="AY625" s="8" t="s">
        <v>229</v>
      </c>
      <c r="AZ625" s="8" t="s">
        <v>377</v>
      </c>
      <c r="BA625" s="21">
        <f>IF(OR(tblsales[[#This Row],[Invoice Value USD]]="",tblsales[[#This Row],[Collected Amount USD]]=""),"",tblsales[[#This Row],[Invoice Value USD]]-tblsales[[#This Row],[Collected Amount USD]])</f>
        <v>-25935.129086999979</v>
      </c>
      <c r="BB625" s="21">
        <f>IF(OR(tblsales[[#This Row],[Contract Value USD]]="",tblsales[[#This Row],[Cost Estimate USD]]=""),"",tblsales[[#This Row],[Contract Value USD]]-tblsales[[#This Row],[Cost Estimate USD]])</f>
        <v>304577.98453599995</v>
      </c>
      <c r="BC625" s="21">
        <f>IF(OR(tblsales[[#This Row],[Contract Value USD]]="",tblsales[[#This Row],[Cost Estimate USD]]=""),"",tblsales[[#This Row],[Contract Value USD]]-tblsales[[#This Row],[Cost Estimate USD]])</f>
        <v>304577.98453599995</v>
      </c>
      <c r="BD625" s="23">
        <f>IF(tblsales[[#This Row],[Invoice Value USD]]="","",tblsales[[#This Row],[Collected Amount USD]]/tblsales[[#This Row],[Invoice Value USD]])</f>
        <v>1.085257778037489</v>
      </c>
      <c r="BE625" s="11">
        <f>IF(tblsales[[#This Row],[SalesStage]]="Won",1,0)</f>
        <v>0</v>
      </c>
      <c r="BF625" s="21" t="str">
        <f>IF(tblsales[[#This Row],[Win Flag]]=1,"Won","Lost")</f>
        <v>Lost</v>
      </c>
      <c r="BG625" s="8"/>
    </row>
    <row r="626" spans="1:59" x14ac:dyDescent="0.3">
      <c r="A626" s="10" t="s">
        <v>2177</v>
      </c>
      <c r="B626" s="9">
        <v>45697</v>
      </c>
      <c r="C626" s="10" t="s">
        <v>273</v>
      </c>
      <c r="D626" s="10" t="s">
        <v>262</v>
      </c>
      <c r="E626" s="10" t="s">
        <v>41</v>
      </c>
      <c r="F626" s="10" t="s">
        <v>350</v>
      </c>
      <c r="G626" s="10" t="s">
        <v>332</v>
      </c>
      <c r="H626" s="10" t="s">
        <v>212</v>
      </c>
      <c r="I626" s="10" t="s">
        <v>240</v>
      </c>
      <c r="J626" s="10" t="s">
        <v>105</v>
      </c>
      <c r="K626" s="10" t="s">
        <v>204</v>
      </c>
      <c r="L626" s="10" t="s">
        <v>2178</v>
      </c>
      <c r="M626" s="9">
        <v>45673</v>
      </c>
      <c r="N626" s="9"/>
      <c r="O626" s="9">
        <v>45737</v>
      </c>
      <c r="P626" s="11">
        <v>42</v>
      </c>
      <c r="Q626" s="12">
        <v>18068414</v>
      </c>
      <c r="R626">
        <v>4920029.1321999999</v>
      </c>
      <c r="S626" s="22">
        <v>0.16</v>
      </c>
      <c r="T626" s="22">
        <v>0.04</v>
      </c>
      <c r="U626" s="12">
        <v>15784566.470000001</v>
      </c>
      <c r="V626" s="24">
        <v>4298137.4497809997</v>
      </c>
      <c r="W626" s="8">
        <v>10138474.029999999</v>
      </c>
      <c r="X626" s="24">
        <v>2760706.4783689999</v>
      </c>
      <c r="Y626" s="22"/>
      <c r="Z626" s="22">
        <v>0.12</v>
      </c>
      <c r="AA626" s="8" t="s">
        <v>2179</v>
      </c>
      <c r="AB626" s="8">
        <v>909828.87</v>
      </c>
      <c r="AC626" s="24">
        <v>247746.40130099998</v>
      </c>
      <c r="AD626" s="8">
        <v>351180.19</v>
      </c>
      <c r="AE626" s="24">
        <v>95626.365737</v>
      </c>
      <c r="AF626" s="8">
        <v>45</v>
      </c>
      <c r="AG626" s="8">
        <v>82</v>
      </c>
      <c r="AH626" s="8" t="s">
        <v>347</v>
      </c>
      <c r="AI626" s="8" t="s">
        <v>455</v>
      </c>
      <c r="AJ626" s="22">
        <v>0.05</v>
      </c>
      <c r="AK626" s="8" t="s">
        <v>153</v>
      </c>
      <c r="AL626" s="22">
        <v>0.15</v>
      </c>
      <c r="AM626" s="22">
        <v>0.1</v>
      </c>
      <c r="AN626" s="8">
        <v>2</v>
      </c>
      <c r="AO626" s="8">
        <v>1352</v>
      </c>
      <c r="AP626" s="8"/>
      <c r="AQ626" s="24"/>
      <c r="AR626" s="8"/>
      <c r="AS626" s="37"/>
      <c r="AT626" s="8" t="s">
        <v>73</v>
      </c>
      <c r="AU626" s="8" t="s">
        <v>330</v>
      </c>
      <c r="AV626" s="8">
        <v>80.900000000000006</v>
      </c>
      <c r="AW626" s="8"/>
      <c r="AX626" s="8" t="s">
        <v>392</v>
      </c>
      <c r="AY626" s="8" t="s">
        <v>229</v>
      </c>
      <c r="AZ626" s="8" t="s">
        <v>361</v>
      </c>
      <c r="BA626" s="21">
        <f>IF(OR(tblsales[[#This Row],[Invoice Value USD]]="",tblsales[[#This Row],[Collected Amount USD]]=""),"",tblsales[[#This Row],[Invoice Value USD]]-tblsales[[#This Row],[Collected Amount USD]])</f>
        <v>152120.03556399996</v>
      </c>
      <c r="BB626" s="21">
        <f>IF(OR(tblsales[[#This Row],[Contract Value USD]]="",tblsales[[#This Row],[Cost Estimate USD]]=""),"",tblsales[[#This Row],[Contract Value USD]]-tblsales[[#This Row],[Cost Estimate USD]])</f>
        <v>1537430.9714119998</v>
      </c>
      <c r="BC626" s="21">
        <f>IF(OR(tblsales[[#This Row],[Contract Value USD]]="",tblsales[[#This Row],[Cost Estimate USD]]=""),"",tblsales[[#This Row],[Contract Value USD]]-tblsales[[#This Row],[Cost Estimate USD]])</f>
        <v>1537430.9714119998</v>
      </c>
      <c r="BD626" s="23">
        <f>IF(tblsales[[#This Row],[Invoice Value USD]]="","",tblsales[[#This Row],[Collected Amount USD]]/tblsales[[#This Row],[Invoice Value USD]])</f>
        <v>0.38598488306927436</v>
      </c>
      <c r="BE626" s="11">
        <f>IF(tblsales[[#This Row],[SalesStage]]="Won",1,0)</f>
        <v>0</v>
      </c>
      <c r="BF626" s="21" t="str">
        <f>IF(tblsales[[#This Row],[Win Flag]]=1,"Won","Lost")</f>
        <v>Lost</v>
      </c>
      <c r="BG626" s="8"/>
    </row>
    <row r="627" spans="1:59" x14ac:dyDescent="0.3">
      <c r="A627" s="10" t="s">
        <v>2180</v>
      </c>
      <c r="B627" s="9">
        <v>45772</v>
      </c>
      <c r="C627" s="10" t="s">
        <v>284</v>
      </c>
      <c r="D627" s="10" t="s">
        <v>220</v>
      </c>
      <c r="E627" s="10" t="s">
        <v>113</v>
      </c>
      <c r="F627" s="10" t="s">
        <v>181</v>
      </c>
      <c r="G627" s="10" t="s">
        <v>78</v>
      </c>
      <c r="H627" s="10" t="s">
        <v>263</v>
      </c>
      <c r="I627" s="10" t="s">
        <v>240</v>
      </c>
      <c r="J627" s="10" t="s">
        <v>127</v>
      </c>
      <c r="K627" s="10" t="s">
        <v>223</v>
      </c>
      <c r="L627" s="10" t="s">
        <v>2181</v>
      </c>
      <c r="M627" s="9">
        <v>45811</v>
      </c>
      <c r="N627" s="9">
        <v>45802</v>
      </c>
      <c r="O627" s="9">
        <v>45857</v>
      </c>
      <c r="P627" s="11">
        <v>49</v>
      </c>
      <c r="Q627" s="12">
        <v>32971782</v>
      </c>
      <c r="R627">
        <v>38280238.902000003</v>
      </c>
      <c r="S627" s="22">
        <v>7.0000000000000007E-2</v>
      </c>
      <c r="T627" s="22">
        <v>0.13</v>
      </c>
      <c r="U627" s="12">
        <v>34650045.700000003</v>
      </c>
      <c r="V627" s="24">
        <v>40228703.057700008</v>
      </c>
      <c r="W627" s="8">
        <v>21209582.550000001</v>
      </c>
      <c r="X627" s="24">
        <v>24624325.340550002</v>
      </c>
      <c r="Y627" s="22">
        <v>0.26</v>
      </c>
      <c r="Z627" s="22">
        <v>0.16</v>
      </c>
      <c r="AA627" s="8" t="s">
        <v>2182</v>
      </c>
      <c r="AB627" s="8">
        <v>17438367.82</v>
      </c>
      <c r="AC627" s="24">
        <v>20245945.039020002</v>
      </c>
      <c r="AD627" s="8">
        <v>11134579.43</v>
      </c>
      <c r="AE627" s="24">
        <v>12927246.71823</v>
      </c>
      <c r="AF627" s="8">
        <v>60</v>
      </c>
      <c r="AG627" s="8">
        <v>149</v>
      </c>
      <c r="AH627" s="8" t="s">
        <v>332</v>
      </c>
      <c r="AI627" s="8" t="s">
        <v>226</v>
      </c>
      <c r="AJ627" s="22">
        <v>0.4</v>
      </c>
      <c r="AK627" s="8" t="s">
        <v>159</v>
      </c>
      <c r="AL627" s="22">
        <v>0.15</v>
      </c>
      <c r="AM627" s="22">
        <v>7.0000000000000007E-2</v>
      </c>
      <c r="AN627" s="8">
        <v>10</v>
      </c>
      <c r="AO627" s="8">
        <v>1946</v>
      </c>
      <c r="AP627" s="8">
        <v>7136257.7300000004</v>
      </c>
      <c r="AQ627" s="24">
        <v>8285195.2245300012</v>
      </c>
      <c r="AR627" s="8">
        <v>15586597.6</v>
      </c>
      <c r="AS627" s="37">
        <v>18096039.8136</v>
      </c>
      <c r="AT627" s="8" t="s">
        <v>73</v>
      </c>
      <c r="AU627" s="8" t="s">
        <v>348</v>
      </c>
      <c r="AV627" s="8">
        <v>50.2</v>
      </c>
      <c r="AW627" s="8">
        <v>60</v>
      </c>
      <c r="AX627" s="8" t="s">
        <v>387</v>
      </c>
      <c r="AY627" s="8" t="s">
        <v>206</v>
      </c>
      <c r="AZ627" s="8" t="s">
        <v>377</v>
      </c>
      <c r="BA627" s="21">
        <f>IF(OR(tblsales[[#This Row],[Invoice Value USD]]="",tblsales[[#This Row],[Collected Amount USD]]=""),"",tblsales[[#This Row],[Invoice Value USD]]-tblsales[[#This Row],[Collected Amount USD]])</f>
        <v>7318698.3207900021</v>
      </c>
      <c r="BB627" s="21">
        <f>IF(OR(tblsales[[#This Row],[Contract Value USD]]="",tblsales[[#This Row],[Cost Estimate USD]]=""),"",tblsales[[#This Row],[Contract Value USD]]-tblsales[[#This Row],[Cost Estimate USD]])</f>
        <v>15604377.717150006</v>
      </c>
      <c r="BC627" s="21">
        <f>IF(OR(tblsales[[#This Row],[Contract Value USD]]="",tblsales[[#This Row],[Cost Estimate USD]]=""),"",tblsales[[#This Row],[Contract Value USD]]-tblsales[[#This Row],[Cost Estimate USD]])</f>
        <v>15604377.717150006</v>
      </c>
      <c r="BD627" s="23">
        <f>IF(tblsales[[#This Row],[Invoice Value USD]]="","",tblsales[[#This Row],[Collected Amount USD]]/tblsales[[#This Row],[Invoice Value USD]])</f>
        <v>0.63851041249570328</v>
      </c>
      <c r="BE627" s="11">
        <f>IF(tblsales[[#This Row],[SalesStage]]="Won",1,0)</f>
        <v>0</v>
      </c>
      <c r="BF627" s="21" t="str">
        <f>IF(tblsales[[#This Row],[Win Flag]]=1,"Won","Lost")</f>
        <v>Lost</v>
      </c>
      <c r="BG627" s="8"/>
    </row>
    <row r="628" spans="1:59" x14ac:dyDescent="0.3">
      <c r="A628" s="10" t="s">
        <v>2183</v>
      </c>
      <c r="B628" s="9">
        <v>45872</v>
      </c>
      <c r="C628" s="10" t="s">
        <v>267</v>
      </c>
      <c r="D628" s="10" t="s">
        <v>255</v>
      </c>
      <c r="E628" s="10" t="s">
        <v>36</v>
      </c>
      <c r="F628" s="10" t="s">
        <v>19</v>
      </c>
      <c r="G628" s="10" t="s">
        <v>50</v>
      </c>
      <c r="H628" s="10" t="s">
        <v>236</v>
      </c>
      <c r="I628" s="10" t="s">
        <v>203</v>
      </c>
      <c r="J628" s="10" t="s">
        <v>115</v>
      </c>
      <c r="K628" s="10" t="s">
        <v>223</v>
      </c>
      <c r="L628" s="10" t="s">
        <v>2184</v>
      </c>
      <c r="M628" s="9">
        <v>45785</v>
      </c>
      <c r="N628" s="9">
        <v>45895</v>
      </c>
      <c r="O628" s="9">
        <v>45937</v>
      </c>
      <c r="P628" s="11">
        <v>32</v>
      </c>
      <c r="Q628" s="12">
        <v>14392118</v>
      </c>
      <c r="R628">
        <v>16709248.998</v>
      </c>
      <c r="S628" s="22">
        <v>0.13</v>
      </c>
      <c r="T628" s="22">
        <v>0.12</v>
      </c>
      <c r="U628" s="12">
        <v>14023679.779999999</v>
      </c>
      <c r="V628" s="24">
        <v>16281492.224579999</v>
      </c>
      <c r="W628" s="8">
        <v>12390819.810000001</v>
      </c>
      <c r="X628" s="24">
        <v>14385741.79941</v>
      </c>
      <c r="Y628" s="22">
        <v>0.34</v>
      </c>
      <c r="Z628" s="22">
        <v>0.16</v>
      </c>
      <c r="AA628" s="8" t="s">
        <v>2185</v>
      </c>
      <c r="AB628" s="8">
        <v>11515144.550000001</v>
      </c>
      <c r="AC628" s="24">
        <v>13369082.822550001</v>
      </c>
      <c r="AD628" s="8">
        <v>7073023.71</v>
      </c>
      <c r="AE628" s="24">
        <v>8211780.5273099998</v>
      </c>
      <c r="AF628" s="8">
        <v>90</v>
      </c>
      <c r="AG628" s="8">
        <v>84</v>
      </c>
      <c r="AH628" s="8" t="s">
        <v>347</v>
      </c>
      <c r="AI628" s="8" t="s">
        <v>354</v>
      </c>
      <c r="AJ628" s="22">
        <v>0.84</v>
      </c>
      <c r="AK628" s="8" t="s">
        <v>159</v>
      </c>
      <c r="AL628" s="22">
        <v>0.05</v>
      </c>
      <c r="AM628" s="22">
        <v>0.02</v>
      </c>
      <c r="AN628" s="8">
        <v>2</v>
      </c>
      <c r="AO628" s="8">
        <v>2074</v>
      </c>
      <c r="AP628" s="8">
        <v>2697895.76</v>
      </c>
      <c r="AQ628" s="24">
        <v>3132256.9773599999</v>
      </c>
      <c r="AR628" s="8">
        <v>5482812.3899999997</v>
      </c>
      <c r="AS628" s="37">
        <v>6365545.1847899994</v>
      </c>
      <c r="AT628" s="8" t="s">
        <v>343</v>
      </c>
      <c r="AU628" s="8" t="s">
        <v>330</v>
      </c>
      <c r="AV628" s="8">
        <v>96.3</v>
      </c>
      <c r="AW628" s="8">
        <v>36</v>
      </c>
      <c r="AX628" s="8" t="s">
        <v>332</v>
      </c>
      <c r="AY628" s="8" t="s">
        <v>229</v>
      </c>
      <c r="AZ628" s="8" t="s">
        <v>324</v>
      </c>
      <c r="BA628" s="21">
        <f>IF(OR(tblsales[[#This Row],[Invoice Value USD]]="",tblsales[[#This Row],[Collected Amount USD]]=""),"",tblsales[[#This Row],[Invoice Value USD]]-tblsales[[#This Row],[Collected Amount USD]])</f>
        <v>5157302.2952400008</v>
      </c>
      <c r="BB628" s="21">
        <f>IF(OR(tblsales[[#This Row],[Contract Value USD]]="",tblsales[[#This Row],[Cost Estimate USD]]=""),"",tblsales[[#This Row],[Contract Value USD]]-tblsales[[#This Row],[Cost Estimate USD]])</f>
        <v>1895750.4251699988</v>
      </c>
      <c r="BC628" s="21">
        <f>IF(OR(tblsales[[#This Row],[Contract Value USD]]="",tblsales[[#This Row],[Cost Estimate USD]]=""),"",tblsales[[#This Row],[Contract Value USD]]-tblsales[[#This Row],[Cost Estimate USD]])</f>
        <v>1895750.4251699988</v>
      </c>
      <c r="BD628" s="23">
        <f>IF(tblsales[[#This Row],[Invoice Value USD]]="","",tblsales[[#This Row],[Collected Amount USD]]/tblsales[[#This Row],[Invoice Value USD]])</f>
        <v>0.61423664108497877</v>
      </c>
      <c r="BE628" s="11">
        <f>IF(tblsales[[#This Row],[SalesStage]]="Won",1,0)</f>
        <v>0</v>
      </c>
      <c r="BF628" s="21" t="str">
        <f>IF(tblsales[[#This Row],[Win Flag]]=1,"Won","Lost")</f>
        <v>Lost</v>
      </c>
      <c r="BG628" s="8"/>
    </row>
    <row r="629" spans="1:59" x14ac:dyDescent="0.3">
      <c r="A629" s="10" t="s">
        <v>2186</v>
      </c>
      <c r="B629" s="9">
        <v>46328</v>
      </c>
      <c r="C629" s="10" t="s">
        <v>254</v>
      </c>
      <c r="D629" s="10" t="s">
        <v>250</v>
      </c>
      <c r="E629" s="10" t="s">
        <v>36</v>
      </c>
      <c r="F629" s="10" t="s">
        <v>19</v>
      </c>
      <c r="G629" s="10" t="s">
        <v>66</v>
      </c>
      <c r="H629" s="10" t="s">
        <v>332</v>
      </c>
      <c r="I629" s="10" t="s">
        <v>332</v>
      </c>
      <c r="J629" s="10" t="s">
        <v>115</v>
      </c>
      <c r="K629" s="10" t="s">
        <v>204</v>
      </c>
      <c r="L629" s="10" t="s">
        <v>2187</v>
      </c>
      <c r="M629" s="9">
        <v>46047</v>
      </c>
      <c r="N629" s="9">
        <v>46115</v>
      </c>
      <c r="O629" s="9"/>
      <c r="P629" s="11"/>
      <c r="Q629" s="12">
        <v>39967112</v>
      </c>
      <c r="R629">
        <v>39967112</v>
      </c>
      <c r="S629" s="22">
        <v>0.3</v>
      </c>
      <c r="T629" s="22">
        <v>-0.04</v>
      </c>
      <c r="U629" s="12">
        <v>26857899.260000002</v>
      </c>
      <c r="V629" s="24">
        <v>26857899.260000002</v>
      </c>
      <c r="W629" s="8">
        <v>22235183.190000001</v>
      </c>
      <c r="X629" s="24">
        <v>22235183.190000001</v>
      </c>
      <c r="Y629" s="22">
        <v>0.3</v>
      </c>
      <c r="Z629" s="22">
        <v>0.19</v>
      </c>
      <c r="AA629" s="8" t="s">
        <v>2188</v>
      </c>
      <c r="AB629" s="8">
        <v>16402680.029999999</v>
      </c>
      <c r="AC629" s="24">
        <v>16402680.029999999</v>
      </c>
      <c r="AD629" s="8">
        <v>15489834.23</v>
      </c>
      <c r="AE629" s="24">
        <v>15489834.23</v>
      </c>
      <c r="AF629" s="8">
        <v>45</v>
      </c>
      <c r="AG629" s="8">
        <v>41</v>
      </c>
      <c r="AH629" s="8" t="s">
        <v>332</v>
      </c>
      <c r="AI629" s="8" t="s">
        <v>455</v>
      </c>
      <c r="AJ629" s="22">
        <v>0.85</v>
      </c>
      <c r="AK629" s="8" t="s">
        <v>152</v>
      </c>
      <c r="AL629" s="22">
        <v>0.15</v>
      </c>
      <c r="AM629" s="22">
        <v>0.08</v>
      </c>
      <c r="AN629" s="8">
        <v>5</v>
      </c>
      <c r="AO629" s="8">
        <v>4461</v>
      </c>
      <c r="AP629" s="8">
        <v>4905545.87</v>
      </c>
      <c r="AQ629" s="24">
        <v>4905545.87</v>
      </c>
      <c r="AR629" s="8">
        <v>12801425.51</v>
      </c>
      <c r="AS629" s="37">
        <v>12801425.51</v>
      </c>
      <c r="AT629" s="8" t="s">
        <v>355</v>
      </c>
      <c r="AU629" s="8" t="s">
        <v>386</v>
      </c>
      <c r="AV629" s="8">
        <v>78.2</v>
      </c>
      <c r="AW629" s="8">
        <v>48</v>
      </c>
      <c r="AX629" s="8" t="s">
        <v>332</v>
      </c>
      <c r="AY629" s="8" t="s">
        <v>186</v>
      </c>
      <c r="AZ629" s="8" t="s">
        <v>361</v>
      </c>
      <c r="BA629" s="21">
        <f>IF(OR(tblsales[[#This Row],[Invoice Value USD]]="",tblsales[[#This Row],[Collected Amount USD]]=""),"",tblsales[[#This Row],[Invoice Value USD]]-tblsales[[#This Row],[Collected Amount USD]])</f>
        <v>912845.79999999888</v>
      </c>
      <c r="BB629" s="21">
        <f>IF(OR(tblsales[[#This Row],[Contract Value USD]]="",tblsales[[#This Row],[Cost Estimate USD]]=""),"",tblsales[[#This Row],[Contract Value USD]]-tblsales[[#This Row],[Cost Estimate USD]])</f>
        <v>4622716.07</v>
      </c>
      <c r="BC629" s="21">
        <f>IF(OR(tblsales[[#This Row],[Contract Value USD]]="",tblsales[[#This Row],[Cost Estimate USD]]=""),"",tblsales[[#This Row],[Contract Value USD]]-tblsales[[#This Row],[Cost Estimate USD]])</f>
        <v>4622716.07</v>
      </c>
      <c r="BD629" s="23">
        <f>IF(tblsales[[#This Row],[Invoice Value USD]]="","",tblsales[[#This Row],[Collected Amount USD]]/tblsales[[#This Row],[Invoice Value USD]])</f>
        <v>0.94434776522309571</v>
      </c>
      <c r="BE629" s="11">
        <f>IF(tblsales[[#This Row],[SalesStage]]="Won",1,0)</f>
        <v>0</v>
      </c>
      <c r="BF629" s="21" t="str">
        <f>IF(tblsales[[#This Row],[Win Flag]]=1,"Won","Lost")</f>
        <v>Lost</v>
      </c>
      <c r="BG629" s="8"/>
    </row>
    <row r="630" spans="1:59" x14ac:dyDescent="0.3">
      <c r="A630" s="10" t="s">
        <v>2189</v>
      </c>
      <c r="B630" s="9">
        <v>45872</v>
      </c>
      <c r="C630" s="10" t="s">
        <v>249</v>
      </c>
      <c r="D630" s="10" t="s">
        <v>245</v>
      </c>
      <c r="E630" s="10" t="s">
        <v>52</v>
      </c>
      <c r="F630" s="10" t="s">
        <v>75</v>
      </c>
      <c r="G630" s="10" t="s">
        <v>62</v>
      </c>
      <c r="H630" s="10" t="s">
        <v>182</v>
      </c>
      <c r="I630" s="10" t="s">
        <v>198</v>
      </c>
      <c r="J630" s="10" t="s">
        <v>133</v>
      </c>
      <c r="K630" s="10" t="s">
        <v>199</v>
      </c>
      <c r="L630" s="10" t="s">
        <v>2190</v>
      </c>
      <c r="M630" s="9">
        <v>45701</v>
      </c>
      <c r="N630" s="9">
        <v>45775</v>
      </c>
      <c r="O630" s="9"/>
      <c r="P630" s="11">
        <v>56</v>
      </c>
      <c r="Q630" s="12">
        <v>48720792</v>
      </c>
      <c r="R630">
        <v>56564839.512000002</v>
      </c>
      <c r="S630" s="22">
        <v>0.16</v>
      </c>
      <c r="T630" s="22">
        <v>-0.01</v>
      </c>
      <c r="U630" s="12">
        <v>40516210.630000003</v>
      </c>
      <c r="V630" s="24">
        <v>47039320.541430004</v>
      </c>
      <c r="W630" s="8">
        <v>32543124.449999999</v>
      </c>
      <c r="X630" s="24">
        <v>37782567.486450002</v>
      </c>
      <c r="Y630" s="22">
        <v>0.34</v>
      </c>
      <c r="Z630" s="22">
        <v>0.09</v>
      </c>
      <c r="AA630" s="8" t="s">
        <v>2191</v>
      </c>
      <c r="AB630" s="8">
        <v>11362837.33</v>
      </c>
      <c r="AC630" s="24">
        <v>13192254.14013</v>
      </c>
      <c r="AD630" s="8">
        <v>8055088.4400000004</v>
      </c>
      <c r="AE630" s="24">
        <v>9351957.6788400002</v>
      </c>
      <c r="AF630" s="8">
        <v>45</v>
      </c>
      <c r="AG630" s="8">
        <v>6</v>
      </c>
      <c r="AH630" s="8" t="s">
        <v>342</v>
      </c>
      <c r="AI630" s="8" t="s">
        <v>381</v>
      </c>
      <c r="AJ630" s="22">
        <v>0.42</v>
      </c>
      <c r="AK630" s="8" t="s">
        <v>159</v>
      </c>
      <c r="AL630" s="22">
        <v>0.05</v>
      </c>
      <c r="AM630" s="22">
        <v>0.03</v>
      </c>
      <c r="AN630" s="8">
        <v>13</v>
      </c>
      <c r="AO630" s="8">
        <v>454</v>
      </c>
      <c r="AP630" s="8">
        <v>7118950.0800000001</v>
      </c>
      <c r="AQ630" s="24">
        <v>8265101.0428800005</v>
      </c>
      <c r="AR630" s="8">
        <v>18929665.280000001</v>
      </c>
      <c r="AS630" s="37">
        <v>21977341.390080001</v>
      </c>
      <c r="AT630" s="8" t="s">
        <v>332</v>
      </c>
      <c r="AU630" s="8" t="s">
        <v>321</v>
      </c>
      <c r="AV630" s="8">
        <v>65.099999999999994</v>
      </c>
      <c r="AW630" s="8"/>
      <c r="AX630" s="8" t="s">
        <v>323</v>
      </c>
      <c r="AY630" s="8" t="s">
        <v>192</v>
      </c>
      <c r="AZ630" s="8" t="s">
        <v>188</v>
      </c>
      <c r="BA630" s="21">
        <f>IF(OR(tblsales[[#This Row],[Invoice Value USD]]="",tblsales[[#This Row],[Collected Amount USD]]=""),"",tblsales[[#This Row],[Invoice Value USD]]-tblsales[[#This Row],[Collected Amount USD]])</f>
        <v>3840296.46129</v>
      </c>
      <c r="BB630" s="21">
        <f>IF(OR(tblsales[[#This Row],[Contract Value USD]]="",tblsales[[#This Row],[Cost Estimate USD]]=""),"",tblsales[[#This Row],[Contract Value USD]]-tblsales[[#This Row],[Cost Estimate USD]])</f>
        <v>9256753.0549800023</v>
      </c>
      <c r="BC630" s="21">
        <f>IF(OR(tblsales[[#This Row],[Contract Value USD]]="",tblsales[[#This Row],[Cost Estimate USD]]=""),"",tblsales[[#This Row],[Contract Value USD]]-tblsales[[#This Row],[Cost Estimate USD]])</f>
        <v>9256753.0549800023</v>
      </c>
      <c r="BD630" s="23">
        <f>IF(tblsales[[#This Row],[Invoice Value USD]]="","",tblsales[[#This Row],[Collected Amount USD]]/tblsales[[#This Row],[Invoice Value USD]])</f>
        <v>0.70889762882841512</v>
      </c>
      <c r="BE630" s="11">
        <f>IF(tblsales[[#This Row],[SalesStage]]="Won",1,0)</f>
        <v>0</v>
      </c>
      <c r="BF630" s="21" t="str">
        <f>IF(tblsales[[#This Row],[Win Flag]]=1,"Won","Lost")</f>
        <v>Lost</v>
      </c>
      <c r="BG630" s="8"/>
    </row>
    <row r="631" spans="1:59" x14ac:dyDescent="0.3">
      <c r="A631" s="10" t="s">
        <v>2192</v>
      </c>
      <c r="B631" s="9">
        <v>45674</v>
      </c>
      <c r="C631" s="10" t="s">
        <v>231</v>
      </c>
      <c r="D631" s="10" t="s">
        <v>562</v>
      </c>
      <c r="E631" s="10" t="s">
        <v>41</v>
      </c>
      <c r="F631" s="10" t="s">
        <v>228</v>
      </c>
      <c r="G631" s="10" t="s">
        <v>66</v>
      </c>
      <c r="H631" s="10" t="s">
        <v>182</v>
      </c>
      <c r="I631" s="10" t="s">
        <v>240</v>
      </c>
      <c r="J631" s="10" t="s">
        <v>130</v>
      </c>
      <c r="K631" s="10" t="s">
        <v>199</v>
      </c>
      <c r="L631" s="10" t="s">
        <v>2193</v>
      </c>
      <c r="M631" s="9">
        <v>45639</v>
      </c>
      <c r="N631" s="9">
        <v>45750</v>
      </c>
      <c r="O631" s="9"/>
      <c r="P631" s="11"/>
      <c r="Q631" s="12">
        <v>39146754</v>
      </c>
      <c r="R631">
        <v>10659661.1142</v>
      </c>
      <c r="S631" s="22">
        <v>0.09</v>
      </c>
      <c r="T631" s="22">
        <v>0.05</v>
      </c>
      <c r="U631" s="12">
        <v>37404723.450000003</v>
      </c>
      <c r="V631" s="24">
        <v>10185306.195435001</v>
      </c>
      <c r="W631" s="8">
        <v>24735580.149999999</v>
      </c>
      <c r="X631" s="24">
        <v>6735498.4748449996</v>
      </c>
      <c r="Y631" s="22">
        <v>0.12</v>
      </c>
      <c r="Z631" s="22">
        <v>0.17</v>
      </c>
      <c r="AA631" s="8" t="s">
        <v>2194</v>
      </c>
      <c r="AB631" s="8">
        <v>24916666.059999999</v>
      </c>
      <c r="AC631" s="24">
        <v>6784808.1681379993</v>
      </c>
      <c r="AD631" s="8">
        <v>21890832.48</v>
      </c>
      <c r="AE631" s="24">
        <v>5960873.6843039999</v>
      </c>
      <c r="AF631" s="8">
        <v>90</v>
      </c>
      <c r="AG631" s="8">
        <v>128</v>
      </c>
      <c r="AH631" s="8" t="s">
        <v>353</v>
      </c>
      <c r="AI631" s="8" t="s">
        <v>354</v>
      </c>
      <c r="AJ631" s="22">
        <v>0.93</v>
      </c>
      <c r="AK631" s="8" t="s">
        <v>153</v>
      </c>
      <c r="AL631" s="22">
        <v>0.1</v>
      </c>
      <c r="AM631" s="22">
        <v>0.05</v>
      </c>
      <c r="AN631" s="8">
        <v>13</v>
      </c>
      <c r="AO631" s="8">
        <v>683</v>
      </c>
      <c r="AP631" s="8">
        <v>6587138.0899999999</v>
      </c>
      <c r="AQ631" s="24">
        <v>1793677.7019069998</v>
      </c>
      <c r="AR631" s="8">
        <v>8398498.25</v>
      </c>
      <c r="AS631" s="37">
        <v>2286911.073475</v>
      </c>
      <c r="AT631" s="8" t="s">
        <v>343</v>
      </c>
      <c r="AU631" s="8" t="s">
        <v>348</v>
      </c>
      <c r="AV631" s="8">
        <v>87.6</v>
      </c>
      <c r="AW631" s="8">
        <v>36</v>
      </c>
      <c r="AX631" s="8" t="s">
        <v>387</v>
      </c>
      <c r="AY631" s="8" t="s">
        <v>186</v>
      </c>
      <c r="AZ631" s="8" t="s">
        <v>332</v>
      </c>
      <c r="BA631" s="21">
        <f>IF(OR(tblsales[[#This Row],[Invoice Value USD]]="",tblsales[[#This Row],[Collected Amount USD]]=""),"",tblsales[[#This Row],[Invoice Value USD]]-tblsales[[#This Row],[Collected Amount USD]])</f>
        <v>823934.48383399937</v>
      </c>
      <c r="BB631" s="21">
        <f>IF(OR(tblsales[[#This Row],[Contract Value USD]]="",tblsales[[#This Row],[Cost Estimate USD]]=""),"",tblsales[[#This Row],[Contract Value USD]]-tblsales[[#This Row],[Cost Estimate USD]])</f>
        <v>3449807.720590001</v>
      </c>
      <c r="BC631" s="21">
        <f>IF(OR(tblsales[[#This Row],[Contract Value USD]]="",tblsales[[#This Row],[Cost Estimate USD]]=""),"",tblsales[[#This Row],[Contract Value USD]]-tblsales[[#This Row],[Cost Estimate USD]])</f>
        <v>3449807.720590001</v>
      </c>
      <c r="BD631" s="23">
        <f>IF(tblsales[[#This Row],[Invoice Value USD]]="","",tblsales[[#This Row],[Collected Amount USD]]/tblsales[[#This Row],[Invoice Value USD]])</f>
        <v>0.87856186005327885</v>
      </c>
      <c r="BE631" s="11">
        <f>IF(tblsales[[#This Row],[SalesStage]]="Won",1,0)</f>
        <v>0</v>
      </c>
      <c r="BF631" s="21" t="str">
        <f>IF(tblsales[[#This Row],[Win Flag]]=1,"Won","Lost")</f>
        <v>Lost</v>
      </c>
      <c r="BG631" s="8"/>
    </row>
    <row r="632" spans="1:59" x14ac:dyDescent="0.3">
      <c r="A632" s="10" t="s">
        <v>2195</v>
      </c>
      <c r="B632" s="9">
        <v>45666</v>
      </c>
      <c r="C632" s="10" t="s">
        <v>283</v>
      </c>
      <c r="D632" s="10" t="s">
        <v>274</v>
      </c>
      <c r="E632" s="10" t="s">
        <v>36</v>
      </c>
      <c r="F632" s="10" t="s">
        <v>339</v>
      </c>
      <c r="G632" s="10" t="s">
        <v>66</v>
      </c>
      <c r="H632" s="10" t="s">
        <v>182</v>
      </c>
      <c r="I632" s="10" t="s">
        <v>191</v>
      </c>
      <c r="J632" s="10" t="s">
        <v>115</v>
      </c>
      <c r="K632" s="10" t="s">
        <v>333</v>
      </c>
      <c r="L632" s="10" t="s">
        <v>2196</v>
      </c>
      <c r="M632" s="9">
        <v>45625</v>
      </c>
      <c r="N632" s="9"/>
      <c r="O632" s="9">
        <v>45751</v>
      </c>
      <c r="P632" s="11">
        <v>13</v>
      </c>
      <c r="Q632" s="12">
        <v>29202079</v>
      </c>
      <c r="R632">
        <v>29202079</v>
      </c>
      <c r="S632" s="22">
        <v>0.06</v>
      </c>
      <c r="T632" s="22">
        <v>0.15</v>
      </c>
      <c r="U632" s="12">
        <v>31567447.399999999</v>
      </c>
      <c r="V632" s="24">
        <v>31567447.399999999</v>
      </c>
      <c r="W632" s="8">
        <v>25254238.370000001</v>
      </c>
      <c r="X632" s="24">
        <v>25254238.370000001</v>
      </c>
      <c r="Y632" s="22">
        <v>0.31</v>
      </c>
      <c r="Z632" s="22">
        <v>0.17</v>
      </c>
      <c r="AA632" s="8" t="s">
        <v>2197</v>
      </c>
      <c r="AB632" s="8">
        <v>1959545.53</v>
      </c>
      <c r="AC632" s="24">
        <v>1959545.53</v>
      </c>
      <c r="AD632" s="8">
        <v>1277649.3700000001</v>
      </c>
      <c r="AE632" s="24">
        <v>1277649.3700000001</v>
      </c>
      <c r="AF632" s="8">
        <v>30</v>
      </c>
      <c r="AG632" s="8">
        <v>82</v>
      </c>
      <c r="AH632" s="8" t="s">
        <v>332</v>
      </c>
      <c r="AI632" s="8" t="s">
        <v>406</v>
      </c>
      <c r="AJ632" s="22">
        <v>0.64</v>
      </c>
      <c r="AK632" s="8" t="s">
        <v>152</v>
      </c>
      <c r="AL632" s="22">
        <v>0.05</v>
      </c>
      <c r="AM632" s="22">
        <v>0.08</v>
      </c>
      <c r="AN632" s="8">
        <v>9</v>
      </c>
      <c r="AO632" s="8">
        <v>1490</v>
      </c>
      <c r="AP632" s="8">
        <v>4484661.1399999997</v>
      </c>
      <c r="AQ632" s="24">
        <v>4484661.1399999997</v>
      </c>
      <c r="AR632" s="8">
        <v>10765585.390000001</v>
      </c>
      <c r="AS632" s="37">
        <v>10765585.390000001</v>
      </c>
      <c r="AT632" s="8" t="s">
        <v>343</v>
      </c>
      <c r="AU632" s="8" t="s">
        <v>386</v>
      </c>
      <c r="AV632" s="8">
        <v>60.3</v>
      </c>
      <c r="AW632" s="8"/>
      <c r="AX632" s="8" t="s">
        <v>337</v>
      </c>
      <c r="AY632" s="8" t="s">
        <v>192</v>
      </c>
      <c r="AZ632" s="8" t="s">
        <v>332</v>
      </c>
      <c r="BA632" s="21">
        <f>IF(OR(tblsales[[#This Row],[Invoice Value USD]]="",tblsales[[#This Row],[Collected Amount USD]]=""),"",tblsales[[#This Row],[Invoice Value USD]]-tblsales[[#This Row],[Collected Amount USD]])</f>
        <v>681896.15999999992</v>
      </c>
      <c r="BB632" s="21">
        <f>IF(OR(tblsales[[#This Row],[Contract Value USD]]="",tblsales[[#This Row],[Cost Estimate USD]]=""),"",tblsales[[#This Row],[Contract Value USD]]-tblsales[[#This Row],[Cost Estimate USD]])</f>
        <v>6313209.0299999975</v>
      </c>
      <c r="BC632" s="21">
        <f>IF(OR(tblsales[[#This Row],[Contract Value USD]]="",tblsales[[#This Row],[Cost Estimate USD]]=""),"",tblsales[[#This Row],[Contract Value USD]]-tblsales[[#This Row],[Cost Estimate USD]])</f>
        <v>6313209.0299999975</v>
      </c>
      <c r="BD632" s="23">
        <f>IF(tblsales[[#This Row],[Invoice Value USD]]="","",tblsales[[#This Row],[Collected Amount USD]]/tblsales[[#This Row],[Invoice Value USD]])</f>
        <v>0.65201310734535478</v>
      </c>
      <c r="BE632" s="11">
        <f>IF(tblsales[[#This Row],[SalesStage]]="Won",1,0)</f>
        <v>0</v>
      </c>
      <c r="BF632" s="21" t="str">
        <f>IF(tblsales[[#This Row],[Win Flag]]=1,"Won","Lost")</f>
        <v>Lost</v>
      </c>
      <c r="BG632" s="8"/>
    </row>
    <row r="633" spans="1:59" x14ac:dyDescent="0.3">
      <c r="A633" s="10" t="s">
        <v>2198</v>
      </c>
      <c r="B633" s="9">
        <v>45854</v>
      </c>
      <c r="C633" s="10" t="s">
        <v>225</v>
      </c>
      <c r="D633" s="10" t="s">
        <v>190</v>
      </c>
      <c r="E633" s="10" t="s">
        <v>41</v>
      </c>
      <c r="F633" s="10" t="s">
        <v>228</v>
      </c>
      <c r="G633" s="10" t="s">
        <v>73</v>
      </c>
      <c r="H633" s="10" t="s">
        <v>197</v>
      </c>
      <c r="I633" s="10" t="s">
        <v>191</v>
      </c>
      <c r="J633" s="10" t="s">
        <v>130</v>
      </c>
      <c r="K633" s="10" t="s">
        <v>333</v>
      </c>
      <c r="L633" s="10" t="s">
        <v>2199</v>
      </c>
      <c r="M633" s="9">
        <v>45776</v>
      </c>
      <c r="N633" s="9">
        <v>45885</v>
      </c>
      <c r="O633" s="9">
        <v>45948</v>
      </c>
      <c r="P633" s="11">
        <v>41</v>
      </c>
      <c r="Q633" s="12">
        <v>45746673</v>
      </c>
      <c r="R633">
        <v>12200637.689099999</v>
      </c>
      <c r="S633" s="22">
        <v>0.26</v>
      </c>
      <c r="T633" s="22">
        <v>0.11</v>
      </c>
      <c r="U633" s="12">
        <v>37576317.200000003</v>
      </c>
      <c r="V633" s="24">
        <v>10021603.79724</v>
      </c>
      <c r="W633" s="8">
        <v>31163902.629999999</v>
      </c>
      <c r="X633" s="24">
        <v>8311412.831421</v>
      </c>
      <c r="Y633" s="22">
        <v>0.28999999999999998</v>
      </c>
      <c r="Z633" s="22">
        <v>0.11</v>
      </c>
      <c r="AA633" s="8" t="s">
        <v>2200</v>
      </c>
      <c r="AB633" s="8">
        <v>4025802.73</v>
      </c>
      <c r="AC633" s="24">
        <v>1073681.588091</v>
      </c>
      <c r="AD633" s="8">
        <v>3484313.48</v>
      </c>
      <c r="AE633" s="24">
        <v>929266.40511599998</v>
      </c>
      <c r="AF633" s="8">
        <v>120</v>
      </c>
      <c r="AG633" s="8">
        <v>71</v>
      </c>
      <c r="AH633" s="8" t="s">
        <v>332</v>
      </c>
      <c r="AI633" s="8" t="s">
        <v>226</v>
      </c>
      <c r="AJ633" s="22">
        <v>0.34</v>
      </c>
      <c r="AK633" s="8" t="s">
        <v>162</v>
      </c>
      <c r="AL633" s="22">
        <v>0.1</v>
      </c>
      <c r="AM633" s="22">
        <v>7.0000000000000007E-2</v>
      </c>
      <c r="AN633" s="8">
        <v>9</v>
      </c>
      <c r="AO633" s="8">
        <v>2825</v>
      </c>
      <c r="AP633" s="8">
        <v>7172111.2000000002</v>
      </c>
      <c r="AQ633" s="24">
        <v>1912802.0570400001</v>
      </c>
      <c r="AR633" s="8">
        <v>14244111.52</v>
      </c>
      <c r="AS633" s="37">
        <v>3798904.5423839996</v>
      </c>
      <c r="AT633" s="8" t="s">
        <v>391</v>
      </c>
      <c r="AU633" s="8" t="s">
        <v>321</v>
      </c>
      <c r="AV633" s="8">
        <v>80.8</v>
      </c>
      <c r="AW633" s="8"/>
      <c r="AX633" s="8" t="s">
        <v>387</v>
      </c>
      <c r="AY633" s="8" t="s">
        <v>229</v>
      </c>
      <c r="AZ633" s="8" t="s">
        <v>377</v>
      </c>
      <c r="BA633" s="21">
        <f>IF(OR(tblsales[[#This Row],[Invoice Value USD]]="",tblsales[[#This Row],[Collected Amount USD]]=""),"",tblsales[[#This Row],[Invoice Value USD]]-tblsales[[#This Row],[Collected Amount USD]])</f>
        <v>144415.182975</v>
      </c>
      <c r="BB633" s="21">
        <f>IF(OR(tblsales[[#This Row],[Contract Value USD]]="",tblsales[[#This Row],[Cost Estimate USD]]=""),"",tblsales[[#This Row],[Contract Value USD]]-tblsales[[#This Row],[Cost Estimate USD]])</f>
        <v>1710190.9658190003</v>
      </c>
      <c r="BC633" s="21">
        <f>IF(OR(tblsales[[#This Row],[Contract Value USD]]="",tblsales[[#This Row],[Cost Estimate USD]]=""),"",tblsales[[#This Row],[Contract Value USD]]-tblsales[[#This Row],[Cost Estimate USD]])</f>
        <v>1710190.9658190003</v>
      </c>
      <c r="BD633" s="23">
        <f>IF(tblsales[[#This Row],[Invoice Value USD]]="","",tblsales[[#This Row],[Collected Amount USD]]/tblsales[[#This Row],[Invoice Value USD]])</f>
        <v>0.86549533439260196</v>
      </c>
      <c r="BE633" s="11">
        <f>IF(tblsales[[#This Row],[SalesStage]]="Won",1,0)</f>
        <v>0</v>
      </c>
      <c r="BF633" s="21" t="str">
        <f>IF(tblsales[[#This Row],[Win Flag]]=1,"Won","Lost")</f>
        <v>Lost</v>
      </c>
      <c r="BG633" s="8"/>
    </row>
    <row r="634" spans="1:59" x14ac:dyDescent="0.3">
      <c r="A634" s="10" t="s">
        <v>2201</v>
      </c>
      <c r="B634" s="9">
        <v>45781</v>
      </c>
      <c r="C634" s="10" t="s">
        <v>241</v>
      </c>
      <c r="D634" s="10" t="s">
        <v>190</v>
      </c>
      <c r="E634" s="10" t="s">
        <v>332</v>
      </c>
      <c r="F634" s="10" t="s">
        <v>350</v>
      </c>
      <c r="G634" s="10" t="s">
        <v>23</v>
      </c>
      <c r="H634" s="10" t="s">
        <v>182</v>
      </c>
      <c r="I634" s="10" t="s">
        <v>240</v>
      </c>
      <c r="J634" s="10" t="s">
        <v>99</v>
      </c>
      <c r="K634" s="10" t="s">
        <v>204</v>
      </c>
      <c r="L634" s="10" t="s">
        <v>2202</v>
      </c>
      <c r="M634" s="9">
        <v>45993</v>
      </c>
      <c r="N634" s="9">
        <v>45838</v>
      </c>
      <c r="O634" s="9">
        <v>45856</v>
      </c>
      <c r="P634" s="11">
        <v>59</v>
      </c>
      <c r="Q634" s="12">
        <v>18309307</v>
      </c>
      <c r="R634">
        <v>4985624.2960999999</v>
      </c>
      <c r="S634" s="22">
        <v>0.25</v>
      </c>
      <c r="T634" s="22">
        <v>0.06</v>
      </c>
      <c r="U634" s="12">
        <v>14555899.07</v>
      </c>
      <c r="V634" s="24">
        <v>3963571.3167610001</v>
      </c>
      <c r="W634" s="8">
        <v>12818813.76</v>
      </c>
      <c r="X634" s="24">
        <v>3490562.986848</v>
      </c>
      <c r="Y634" s="22">
        <v>0.18</v>
      </c>
      <c r="Z634" s="22">
        <v>0.12</v>
      </c>
      <c r="AA634" s="8" t="s">
        <v>2203</v>
      </c>
      <c r="AB634" s="8">
        <v>9053517.2400000002</v>
      </c>
      <c r="AC634" s="24">
        <v>2465272.7444520001</v>
      </c>
      <c r="AD634" s="8">
        <v>3482677.17</v>
      </c>
      <c r="AE634" s="24">
        <v>948332.99339099997</v>
      </c>
      <c r="AF634" s="8">
        <v>30</v>
      </c>
      <c r="AG634" s="8">
        <v>57</v>
      </c>
      <c r="AH634" s="8" t="s">
        <v>342</v>
      </c>
      <c r="AI634" s="8" t="s">
        <v>406</v>
      </c>
      <c r="AJ634" s="22">
        <v>0.67</v>
      </c>
      <c r="AK634" s="8" t="s">
        <v>153</v>
      </c>
      <c r="AL634" s="22">
        <v>0.05</v>
      </c>
      <c r="AM634" s="22">
        <v>0.08</v>
      </c>
      <c r="AN634" s="8">
        <v>4</v>
      </c>
      <c r="AO634" s="8">
        <v>3406</v>
      </c>
      <c r="AP634" s="8">
        <v>2240464.88</v>
      </c>
      <c r="AQ634" s="24">
        <v>610078.58682399988</v>
      </c>
      <c r="AR634" s="8">
        <v>1706817.77</v>
      </c>
      <c r="AS634" s="37">
        <v>464766.47877099999</v>
      </c>
      <c r="AT634" s="8" t="s">
        <v>321</v>
      </c>
      <c r="AU634" s="8" t="s">
        <v>356</v>
      </c>
      <c r="AV634" s="8">
        <v>91.8</v>
      </c>
      <c r="AW634" s="8">
        <v>24</v>
      </c>
      <c r="AX634" s="8" t="s">
        <v>323</v>
      </c>
      <c r="AY634" s="8" t="s">
        <v>186</v>
      </c>
      <c r="AZ634" s="8" t="s">
        <v>361</v>
      </c>
      <c r="BA634" s="21">
        <f>IF(OR(tblsales[[#This Row],[Invoice Value USD]]="",tblsales[[#This Row],[Collected Amount USD]]=""),"",tblsales[[#This Row],[Invoice Value USD]]-tblsales[[#This Row],[Collected Amount USD]])</f>
        <v>1516939.7510610002</v>
      </c>
      <c r="BB634" s="21">
        <f>IF(OR(tblsales[[#This Row],[Contract Value USD]]="",tblsales[[#This Row],[Cost Estimate USD]]=""),"",tblsales[[#This Row],[Contract Value USD]]-tblsales[[#This Row],[Cost Estimate USD]])</f>
        <v>473008.32991300011</v>
      </c>
      <c r="BC634" s="21">
        <f>IF(OR(tblsales[[#This Row],[Contract Value USD]]="",tblsales[[#This Row],[Cost Estimate USD]]=""),"",tblsales[[#This Row],[Contract Value USD]]-tblsales[[#This Row],[Cost Estimate USD]])</f>
        <v>473008.32991300011</v>
      </c>
      <c r="BD634" s="23">
        <f>IF(tblsales[[#This Row],[Invoice Value USD]]="","",tblsales[[#This Row],[Collected Amount USD]]/tblsales[[#This Row],[Invoice Value USD]])</f>
        <v>0.38467670383538138</v>
      </c>
      <c r="BE634" s="11">
        <f>IF(tblsales[[#This Row],[SalesStage]]="Won",1,0)</f>
        <v>0</v>
      </c>
      <c r="BF634" s="21" t="str">
        <f>IF(tblsales[[#This Row],[Win Flag]]=1,"Won","Lost")</f>
        <v>Lost</v>
      </c>
      <c r="BG634" s="8"/>
    </row>
    <row r="635" spans="1:59" x14ac:dyDescent="0.3">
      <c r="A635" s="10" t="s">
        <v>2204</v>
      </c>
      <c r="B635" s="9">
        <v>45719</v>
      </c>
      <c r="C635" s="10" t="s">
        <v>276</v>
      </c>
      <c r="D635" s="10" t="s">
        <v>281</v>
      </c>
      <c r="E635" s="10" t="s">
        <v>20</v>
      </c>
      <c r="F635" s="10" t="s">
        <v>196</v>
      </c>
      <c r="G635" s="10" t="s">
        <v>46</v>
      </c>
      <c r="H635" s="10" t="s">
        <v>182</v>
      </c>
      <c r="I635" s="10" t="s">
        <v>191</v>
      </c>
      <c r="J635" s="10" t="s">
        <v>136</v>
      </c>
      <c r="K635" s="10" t="s">
        <v>326</v>
      </c>
      <c r="L635" s="10" t="s">
        <v>2205</v>
      </c>
      <c r="M635" s="9">
        <v>45547</v>
      </c>
      <c r="N635" s="9">
        <v>45781</v>
      </c>
      <c r="O635" s="9">
        <v>45783</v>
      </c>
      <c r="P635" s="11">
        <v>8</v>
      </c>
      <c r="Q635" s="12">
        <v>46881088</v>
      </c>
      <c r="R635">
        <v>46881088</v>
      </c>
      <c r="S635" s="22">
        <v>0.15</v>
      </c>
      <c r="T635" s="22">
        <v>0.17</v>
      </c>
      <c r="U635" s="12">
        <v>46623242.020000003</v>
      </c>
      <c r="V635" s="24">
        <v>46623242.020000003</v>
      </c>
      <c r="W635" s="8">
        <v>40977832.530000001</v>
      </c>
      <c r="X635" s="24">
        <v>40977832.530000001</v>
      </c>
      <c r="Y635" s="22">
        <v>0.11</v>
      </c>
      <c r="Z635" s="22">
        <v>0.14000000000000001</v>
      </c>
      <c r="AA635" s="8" t="s">
        <v>2206</v>
      </c>
      <c r="AB635" s="8">
        <v>5174648.8099999996</v>
      </c>
      <c r="AC635" s="24">
        <v>5174648.8099999996</v>
      </c>
      <c r="AD635" s="8">
        <v>2409524.34</v>
      </c>
      <c r="AE635" s="24">
        <v>2409524.34</v>
      </c>
      <c r="AF635" s="8">
        <v>60</v>
      </c>
      <c r="AG635" s="8">
        <v>107</v>
      </c>
      <c r="AH635" s="8" t="s">
        <v>353</v>
      </c>
      <c r="AI635" s="8" t="s">
        <v>336</v>
      </c>
      <c r="AJ635" s="22">
        <v>0.98</v>
      </c>
      <c r="AK635" s="8" t="s">
        <v>152</v>
      </c>
      <c r="AL635" s="22">
        <v>0.05</v>
      </c>
      <c r="AM635" s="22">
        <v>0.02</v>
      </c>
      <c r="AN635" s="8">
        <v>11</v>
      </c>
      <c r="AO635" s="8">
        <v>4625</v>
      </c>
      <c r="AP635" s="8">
        <v>5457247.8099999996</v>
      </c>
      <c r="AQ635" s="24">
        <v>5457247.8099999996</v>
      </c>
      <c r="AR635" s="8">
        <v>4742971.05</v>
      </c>
      <c r="AS635" s="37">
        <v>4742971.05</v>
      </c>
      <c r="AT635" s="8" t="s">
        <v>332</v>
      </c>
      <c r="AU635" s="8" t="s">
        <v>386</v>
      </c>
      <c r="AV635" s="8">
        <v>69.400000000000006</v>
      </c>
      <c r="AW635" s="8">
        <v>48</v>
      </c>
      <c r="AX635" s="8" t="s">
        <v>323</v>
      </c>
      <c r="AY635" s="8" t="s">
        <v>192</v>
      </c>
      <c r="AZ635" s="8" t="s">
        <v>377</v>
      </c>
      <c r="BA635" s="21">
        <f>IF(OR(tblsales[[#This Row],[Invoice Value USD]]="",tblsales[[#This Row],[Collected Amount USD]]=""),"",tblsales[[#This Row],[Invoice Value USD]]-tblsales[[#This Row],[Collected Amount USD]])</f>
        <v>2765124.4699999997</v>
      </c>
      <c r="BB635" s="21">
        <f>IF(OR(tblsales[[#This Row],[Contract Value USD]]="",tblsales[[#This Row],[Cost Estimate USD]]=""),"",tblsales[[#This Row],[Contract Value USD]]-tblsales[[#This Row],[Cost Estimate USD]])</f>
        <v>5645409.4900000021</v>
      </c>
      <c r="BC635" s="21">
        <f>IF(OR(tblsales[[#This Row],[Contract Value USD]]="",tblsales[[#This Row],[Cost Estimate USD]]=""),"",tblsales[[#This Row],[Contract Value USD]]-tblsales[[#This Row],[Cost Estimate USD]])</f>
        <v>5645409.4900000021</v>
      </c>
      <c r="BD635" s="23">
        <f>IF(tblsales[[#This Row],[Invoice Value USD]]="","",tblsales[[#This Row],[Collected Amount USD]]/tblsales[[#This Row],[Invoice Value USD]])</f>
        <v>0.46564016776241868</v>
      </c>
      <c r="BE635" s="11">
        <f>IF(tblsales[[#This Row],[SalesStage]]="Won",1,0)</f>
        <v>0</v>
      </c>
      <c r="BF635" s="21" t="str">
        <f>IF(tblsales[[#This Row],[Win Flag]]=1,"Won","Lost")</f>
        <v>Lost</v>
      </c>
      <c r="BG635" s="8"/>
    </row>
    <row r="636" spans="1:59" x14ac:dyDescent="0.3">
      <c r="A636" s="10" t="s">
        <v>2207</v>
      </c>
      <c r="B636" s="9">
        <v>46043</v>
      </c>
      <c r="C636" s="10" t="s">
        <v>276</v>
      </c>
      <c r="D636" s="10" t="s">
        <v>220</v>
      </c>
      <c r="E636" s="10" t="s">
        <v>20</v>
      </c>
      <c r="F636" s="10" t="s">
        <v>332</v>
      </c>
      <c r="G636" s="10" t="s">
        <v>28</v>
      </c>
      <c r="H636" s="10" t="s">
        <v>236</v>
      </c>
      <c r="I636" s="10" t="s">
        <v>183</v>
      </c>
      <c r="J636" s="10" t="s">
        <v>99</v>
      </c>
      <c r="K636" s="10" t="s">
        <v>199</v>
      </c>
      <c r="L636" s="10" t="s">
        <v>2208</v>
      </c>
      <c r="M636" s="9">
        <v>46082</v>
      </c>
      <c r="N636" s="9">
        <v>46099</v>
      </c>
      <c r="O636" s="9">
        <v>46163</v>
      </c>
      <c r="P636" s="11">
        <v>50</v>
      </c>
      <c r="Q636" s="12">
        <v>40863856</v>
      </c>
      <c r="R636">
        <v>11127227.988799999</v>
      </c>
      <c r="S636" s="22">
        <v>0.04</v>
      </c>
      <c r="T636" s="22">
        <v>0.16</v>
      </c>
      <c r="U636" s="12">
        <v>45505990.039999999</v>
      </c>
      <c r="V636" s="24">
        <v>12391281.087892</v>
      </c>
      <c r="W636" s="8">
        <v>30078177.309999999</v>
      </c>
      <c r="X636" s="24">
        <v>8190287.6815129993</v>
      </c>
      <c r="Y636" s="22">
        <v>0.09</v>
      </c>
      <c r="Z636" s="22">
        <v>0.17</v>
      </c>
      <c r="AA636" s="8" t="s">
        <v>2209</v>
      </c>
      <c r="AB636" s="8">
        <v>35627542.859999999</v>
      </c>
      <c r="AC636" s="24">
        <v>9701379.9207779989</v>
      </c>
      <c r="AD636" s="8">
        <v>17634693.239999998</v>
      </c>
      <c r="AE636" s="24">
        <v>4801926.9692519996</v>
      </c>
      <c r="AF636" s="8">
        <v>30</v>
      </c>
      <c r="AG636" s="8">
        <v>135</v>
      </c>
      <c r="AH636" s="8" t="s">
        <v>376</v>
      </c>
      <c r="AI636" s="8" t="s">
        <v>455</v>
      </c>
      <c r="AJ636" s="22">
        <v>0.39</v>
      </c>
      <c r="AK636" s="8" t="s">
        <v>153</v>
      </c>
      <c r="AL636" s="22">
        <v>0.1</v>
      </c>
      <c r="AM636" s="22">
        <v>0.03</v>
      </c>
      <c r="AN636" s="8">
        <v>12</v>
      </c>
      <c r="AO636" s="8">
        <v>2671</v>
      </c>
      <c r="AP636" s="8">
        <v>8494345.0299999993</v>
      </c>
      <c r="AQ636" s="24">
        <v>2313010.1516689998</v>
      </c>
      <c r="AR636" s="8">
        <v>19823369.800000001</v>
      </c>
      <c r="AS636" s="37">
        <v>5397903.5965400003</v>
      </c>
      <c r="AT636" s="8" t="s">
        <v>343</v>
      </c>
      <c r="AU636" s="8" t="s">
        <v>322</v>
      </c>
      <c r="AV636" s="8">
        <v>65.2</v>
      </c>
      <c r="AW636" s="8"/>
      <c r="AX636" s="8" t="s">
        <v>323</v>
      </c>
      <c r="AY636" s="8" t="s">
        <v>229</v>
      </c>
      <c r="AZ636" s="8" t="s">
        <v>357</v>
      </c>
      <c r="BA636" s="21">
        <f>IF(OR(tblsales[[#This Row],[Invoice Value USD]]="",tblsales[[#This Row],[Collected Amount USD]]=""),"",tblsales[[#This Row],[Invoice Value USD]]-tblsales[[#This Row],[Collected Amount USD]])</f>
        <v>4899452.9515259992</v>
      </c>
      <c r="BB636" s="21">
        <f>IF(OR(tblsales[[#This Row],[Contract Value USD]]="",tblsales[[#This Row],[Cost Estimate USD]]=""),"",tblsales[[#This Row],[Contract Value USD]]-tblsales[[#This Row],[Cost Estimate USD]])</f>
        <v>4200993.4063790003</v>
      </c>
      <c r="BC636" s="21">
        <f>IF(OR(tblsales[[#This Row],[Contract Value USD]]="",tblsales[[#This Row],[Cost Estimate USD]]=""),"",tblsales[[#This Row],[Contract Value USD]]-tblsales[[#This Row],[Cost Estimate USD]])</f>
        <v>4200993.4063790003</v>
      </c>
      <c r="BD636" s="23">
        <f>IF(tblsales[[#This Row],[Invoice Value USD]]="","",tblsales[[#This Row],[Collected Amount USD]]/tblsales[[#This Row],[Invoice Value USD]])</f>
        <v>0.49497360256631517</v>
      </c>
      <c r="BE636" s="11">
        <f>IF(tblsales[[#This Row],[SalesStage]]="Won",1,0)</f>
        <v>0</v>
      </c>
      <c r="BF636" s="21" t="str">
        <f>IF(tblsales[[#This Row],[Win Flag]]=1,"Won","Lost")</f>
        <v>Lost</v>
      </c>
      <c r="BG636" s="8"/>
    </row>
    <row r="637" spans="1:59" x14ac:dyDescent="0.3">
      <c r="A637" s="10" t="s">
        <v>2210</v>
      </c>
      <c r="B637" s="9">
        <v>46080</v>
      </c>
      <c r="C637" s="10" t="s">
        <v>275</v>
      </c>
      <c r="D637" s="10" t="s">
        <v>220</v>
      </c>
      <c r="E637" s="10" t="s">
        <v>20</v>
      </c>
      <c r="F637" s="10" t="s">
        <v>196</v>
      </c>
      <c r="G637" s="10" t="s">
        <v>66</v>
      </c>
      <c r="H637" s="10" t="s">
        <v>236</v>
      </c>
      <c r="I637" s="10" t="s">
        <v>198</v>
      </c>
      <c r="J637" s="10" t="s">
        <v>136</v>
      </c>
      <c r="K637" s="10" t="s">
        <v>199</v>
      </c>
      <c r="L637" s="10" t="s">
        <v>2211</v>
      </c>
      <c r="M637" s="9">
        <v>46009</v>
      </c>
      <c r="N637" s="9">
        <v>46121</v>
      </c>
      <c r="O637" s="9"/>
      <c r="P637" s="11">
        <v>23</v>
      </c>
      <c r="Q637" s="12">
        <v>45337361</v>
      </c>
      <c r="R637">
        <v>45337361</v>
      </c>
      <c r="S637" s="22">
        <v>0.25</v>
      </c>
      <c r="T637" s="22">
        <v>0.1</v>
      </c>
      <c r="U637" s="12">
        <v>37403322.829999998</v>
      </c>
      <c r="V637" s="24">
        <v>37403322.829999998</v>
      </c>
      <c r="W637" s="8">
        <v>25582538.469999999</v>
      </c>
      <c r="X637" s="24">
        <v>25582538.469999999</v>
      </c>
      <c r="Y637" s="22"/>
      <c r="Z637" s="22">
        <v>0.08</v>
      </c>
      <c r="AA637" s="8" t="s">
        <v>2212</v>
      </c>
      <c r="AB637" s="8">
        <v>17943848.170000002</v>
      </c>
      <c r="AC637" s="24">
        <v>17943848.170000002</v>
      </c>
      <c r="AD637" s="8">
        <v>19522450.149999999</v>
      </c>
      <c r="AE637" s="24">
        <v>19522450.149999999</v>
      </c>
      <c r="AF637" s="8">
        <v>45</v>
      </c>
      <c r="AG637" s="8">
        <v>170</v>
      </c>
      <c r="AH637" s="8" t="s">
        <v>332</v>
      </c>
      <c r="AI637" s="8" t="s">
        <v>226</v>
      </c>
      <c r="AJ637" s="22">
        <v>0.11</v>
      </c>
      <c r="AK637" s="8" t="s">
        <v>152</v>
      </c>
      <c r="AL637" s="22">
        <v>0.1</v>
      </c>
      <c r="AM637" s="22">
        <v>0.03</v>
      </c>
      <c r="AN637" s="8">
        <v>2</v>
      </c>
      <c r="AO637" s="8">
        <v>262</v>
      </c>
      <c r="AP637" s="8">
        <v>4968306.1500000004</v>
      </c>
      <c r="AQ637" s="24">
        <v>4968306.1500000004</v>
      </c>
      <c r="AR637" s="8">
        <v>13209983.25</v>
      </c>
      <c r="AS637" s="37">
        <v>13209983.25</v>
      </c>
      <c r="AT637" s="8" t="s">
        <v>385</v>
      </c>
      <c r="AU637" s="8" t="s">
        <v>356</v>
      </c>
      <c r="AV637" s="8">
        <v>52.5</v>
      </c>
      <c r="AW637" s="8">
        <v>12</v>
      </c>
      <c r="AX637" s="8" t="s">
        <v>332</v>
      </c>
      <c r="AY637" s="8" t="s">
        <v>229</v>
      </c>
      <c r="AZ637" s="8" t="s">
        <v>361</v>
      </c>
      <c r="BA637" s="21">
        <f>IF(OR(tblsales[[#This Row],[Invoice Value USD]]="",tblsales[[#This Row],[Collected Amount USD]]=""),"",tblsales[[#This Row],[Invoice Value USD]]-tblsales[[#This Row],[Collected Amount USD]])</f>
        <v>-1578601.9799999967</v>
      </c>
      <c r="BB637" s="21">
        <f>IF(OR(tblsales[[#This Row],[Contract Value USD]]="",tblsales[[#This Row],[Cost Estimate USD]]=""),"",tblsales[[#This Row],[Contract Value USD]]-tblsales[[#This Row],[Cost Estimate USD]])</f>
        <v>11820784.359999999</v>
      </c>
      <c r="BC637" s="21">
        <f>IF(OR(tblsales[[#This Row],[Contract Value USD]]="",tblsales[[#This Row],[Cost Estimate USD]]=""),"",tblsales[[#This Row],[Contract Value USD]]-tblsales[[#This Row],[Cost Estimate USD]])</f>
        <v>11820784.359999999</v>
      </c>
      <c r="BD637" s="23">
        <f>IF(tblsales[[#This Row],[Invoice Value USD]]="","",tblsales[[#This Row],[Collected Amount USD]]/tblsales[[#This Row],[Invoice Value USD]])</f>
        <v>1.087974550667411</v>
      </c>
      <c r="BE637" s="11">
        <f>IF(tblsales[[#This Row],[SalesStage]]="Won",1,0)</f>
        <v>0</v>
      </c>
      <c r="BF637" s="21" t="str">
        <f>IF(tblsales[[#This Row],[Win Flag]]=1,"Won","Lost")</f>
        <v>Lost</v>
      </c>
      <c r="BG637" s="8"/>
    </row>
    <row r="638" spans="1:59" x14ac:dyDescent="0.3">
      <c r="A638" s="10" t="s">
        <v>2213</v>
      </c>
      <c r="B638" s="9">
        <v>46010</v>
      </c>
      <c r="C638" s="10" t="s">
        <v>241</v>
      </c>
      <c r="D638" s="10" t="s">
        <v>250</v>
      </c>
      <c r="E638" s="10" t="s">
        <v>41</v>
      </c>
      <c r="F638" s="10" t="s">
        <v>363</v>
      </c>
      <c r="G638" s="10" t="s">
        <v>28</v>
      </c>
      <c r="H638" s="10" t="s">
        <v>332</v>
      </c>
      <c r="I638" s="10" t="s">
        <v>332</v>
      </c>
      <c r="J638" s="10" t="s">
        <v>130</v>
      </c>
      <c r="K638" s="10" t="s">
        <v>221</v>
      </c>
      <c r="L638" s="10" t="s">
        <v>2214</v>
      </c>
      <c r="M638" s="9">
        <v>45818</v>
      </c>
      <c r="N638" s="9">
        <v>46068</v>
      </c>
      <c r="O638" s="9">
        <v>46075</v>
      </c>
      <c r="P638" s="11">
        <v>29</v>
      </c>
      <c r="Q638" s="12">
        <v>22347424</v>
      </c>
      <c r="R638">
        <v>22347424</v>
      </c>
      <c r="S638" s="22">
        <v>0.15</v>
      </c>
      <c r="T638" s="22">
        <v>0.16</v>
      </c>
      <c r="U638" s="12">
        <v>22034560.059999999</v>
      </c>
      <c r="V638" s="24">
        <v>22034560.059999999</v>
      </c>
      <c r="W638" s="8">
        <v>13810735.42</v>
      </c>
      <c r="X638" s="24">
        <v>13810735.42</v>
      </c>
      <c r="Y638" s="22">
        <v>0.08</v>
      </c>
      <c r="Z638" s="22">
        <v>0.18</v>
      </c>
      <c r="AA638" s="8" t="s">
        <v>790</v>
      </c>
      <c r="AB638" s="8">
        <v>12003113.76</v>
      </c>
      <c r="AC638" s="24">
        <v>12003113.76</v>
      </c>
      <c r="AD638" s="8">
        <v>6887901.3399999999</v>
      </c>
      <c r="AE638" s="24">
        <v>6887901.3399999999</v>
      </c>
      <c r="AF638" s="8">
        <v>45</v>
      </c>
      <c r="AG638" s="8">
        <v>14</v>
      </c>
      <c r="AH638" s="8" t="s">
        <v>329</v>
      </c>
      <c r="AI638" s="8" t="s">
        <v>336</v>
      </c>
      <c r="AJ638" s="22">
        <v>0.4</v>
      </c>
      <c r="AK638" s="8" t="s">
        <v>152</v>
      </c>
      <c r="AL638" s="22">
        <v>0.15</v>
      </c>
      <c r="AM638" s="22">
        <v>0.05</v>
      </c>
      <c r="AN638" s="8">
        <v>1</v>
      </c>
      <c r="AO638" s="8">
        <v>3178</v>
      </c>
      <c r="AP638" s="8">
        <v>3316736.11</v>
      </c>
      <c r="AQ638" s="24">
        <v>3316736.11</v>
      </c>
      <c r="AR638" s="8">
        <v>4573436.72</v>
      </c>
      <c r="AS638" s="37">
        <v>4573436.72</v>
      </c>
      <c r="AT638" s="8" t="s">
        <v>343</v>
      </c>
      <c r="AU638" s="8" t="s">
        <v>330</v>
      </c>
      <c r="AV638" s="8">
        <v>67.3</v>
      </c>
      <c r="AW638" s="8">
        <v>12</v>
      </c>
      <c r="AX638" s="8" t="s">
        <v>337</v>
      </c>
      <c r="AY638" s="8" t="s">
        <v>186</v>
      </c>
      <c r="AZ638" s="8" t="s">
        <v>324</v>
      </c>
      <c r="BA638" s="21">
        <f>IF(OR(tblsales[[#This Row],[Invoice Value USD]]="",tblsales[[#This Row],[Collected Amount USD]]=""),"",tblsales[[#This Row],[Invoice Value USD]]-tblsales[[#This Row],[Collected Amount USD]])</f>
        <v>5115212.42</v>
      </c>
      <c r="BB638" s="21">
        <f>IF(OR(tblsales[[#This Row],[Contract Value USD]]="",tblsales[[#This Row],[Cost Estimate USD]]=""),"",tblsales[[#This Row],[Contract Value USD]]-tblsales[[#This Row],[Cost Estimate USD]])</f>
        <v>8223824.6399999987</v>
      </c>
      <c r="BC638" s="21">
        <f>IF(OR(tblsales[[#This Row],[Contract Value USD]]="",tblsales[[#This Row],[Cost Estimate USD]]=""),"",tblsales[[#This Row],[Contract Value USD]]-tblsales[[#This Row],[Cost Estimate USD]])</f>
        <v>8223824.6399999987</v>
      </c>
      <c r="BD638" s="23">
        <f>IF(tblsales[[#This Row],[Invoice Value USD]]="","",tblsales[[#This Row],[Collected Amount USD]]/tblsales[[#This Row],[Invoice Value USD]])</f>
        <v>0.57384287758345798</v>
      </c>
      <c r="BE638" s="11">
        <f>IF(tblsales[[#This Row],[SalesStage]]="Won",1,0)</f>
        <v>0</v>
      </c>
      <c r="BF638" s="21" t="str">
        <f>IF(tblsales[[#This Row],[Win Flag]]=1,"Won","Lost")</f>
        <v>Lost</v>
      </c>
      <c r="BG638" s="8"/>
    </row>
    <row r="639" spans="1:59" x14ac:dyDescent="0.3">
      <c r="A639" s="10" t="s">
        <v>2215</v>
      </c>
      <c r="B639" s="9">
        <v>46037</v>
      </c>
      <c r="C639" s="10" t="s">
        <v>283</v>
      </c>
      <c r="D639" s="10" t="s">
        <v>245</v>
      </c>
      <c r="E639" s="10" t="s">
        <v>36</v>
      </c>
      <c r="F639" s="10" t="s">
        <v>339</v>
      </c>
      <c r="G639" s="10" t="s">
        <v>73</v>
      </c>
      <c r="H639" s="10" t="s">
        <v>332</v>
      </c>
      <c r="I639" s="10" t="s">
        <v>198</v>
      </c>
      <c r="J639" s="10" t="s">
        <v>115</v>
      </c>
      <c r="K639" s="10" t="s">
        <v>223</v>
      </c>
      <c r="L639" s="10" t="s">
        <v>2216</v>
      </c>
      <c r="M639" s="9">
        <v>45952</v>
      </c>
      <c r="N639" s="9">
        <v>46037</v>
      </c>
      <c r="O639" s="9">
        <v>46103</v>
      </c>
      <c r="P639" s="11">
        <v>32</v>
      </c>
      <c r="Q639" s="12">
        <v>21664089</v>
      </c>
      <c r="R639">
        <v>21664089</v>
      </c>
      <c r="S639" s="22">
        <v>0.17</v>
      </c>
      <c r="T639" s="22">
        <v>0.16</v>
      </c>
      <c r="U639" s="12">
        <v>20858184.890000001</v>
      </c>
      <c r="V639" s="24">
        <v>20858184.890000001</v>
      </c>
      <c r="W639" s="8"/>
      <c r="X639" s="24"/>
      <c r="Y639" s="22">
        <v>0.25</v>
      </c>
      <c r="Z639" s="22">
        <v>0.1</v>
      </c>
      <c r="AA639" s="8" t="s">
        <v>2217</v>
      </c>
      <c r="AB639" s="8">
        <v>18537489.710000001</v>
      </c>
      <c r="AC639" s="24">
        <v>18537489.710000001</v>
      </c>
      <c r="AD639" s="8">
        <v>18366073.050000001</v>
      </c>
      <c r="AE639" s="24">
        <v>18366073.050000001</v>
      </c>
      <c r="AF639" s="8">
        <v>30</v>
      </c>
      <c r="AG639" s="8">
        <v>61</v>
      </c>
      <c r="AH639" s="8" t="s">
        <v>332</v>
      </c>
      <c r="AI639" s="8" t="s">
        <v>336</v>
      </c>
      <c r="AJ639" s="22">
        <v>0.91</v>
      </c>
      <c r="AK639" s="8" t="s">
        <v>152</v>
      </c>
      <c r="AL639" s="22">
        <v>0.15</v>
      </c>
      <c r="AM639" s="22">
        <v>0.09</v>
      </c>
      <c r="AN639" s="8">
        <v>10</v>
      </c>
      <c r="AO639" s="8">
        <v>3600</v>
      </c>
      <c r="AP639" s="8">
        <v>3626330.88</v>
      </c>
      <c r="AQ639" s="24">
        <v>3626330.88</v>
      </c>
      <c r="AR639" s="8"/>
      <c r="AS639" s="37"/>
      <c r="AT639" s="8" t="s">
        <v>321</v>
      </c>
      <c r="AU639" s="8" t="s">
        <v>322</v>
      </c>
      <c r="AV639" s="8">
        <v>85.3</v>
      </c>
      <c r="AW639" s="8">
        <v>24</v>
      </c>
      <c r="AX639" s="8" t="s">
        <v>332</v>
      </c>
      <c r="AY639" s="8" t="s">
        <v>192</v>
      </c>
      <c r="AZ639" s="8" t="s">
        <v>332</v>
      </c>
      <c r="BA639" s="21">
        <f>IF(OR(tblsales[[#This Row],[Invoice Value USD]]="",tblsales[[#This Row],[Collected Amount USD]]=""),"",tblsales[[#This Row],[Invoice Value USD]]-tblsales[[#This Row],[Collected Amount USD]])</f>
        <v>171416.66000000015</v>
      </c>
      <c r="BB639" s="21" t="str">
        <f>IF(OR(tblsales[[#This Row],[Contract Value USD]]="",tblsales[[#This Row],[Cost Estimate USD]]=""),"",tblsales[[#This Row],[Contract Value USD]]-tblsales[[#This Row],[Cost Estimate USD]])</f>
        <v/>
      </c>
      <c r="BC639" s="21" t="str">
        <f>IF(OR(tblsales[[#This Row],[Contract Value USD]]="",tblsales[[#This Row],[Cost Estimate USD]]=""),"",tblsales[[#This Row],[Contract Value USD]]-tblsales[[#This Row],[Cost Estimate USD]])</f>
        <v/>
      </c>
      <c r="BD639" s="23">
        <f>IF(tblsales[[#This Row],[Invoice Value USD]]="","",tblsales[[#This Row],[Collected Amount USD]]/tblsales[[#This Row],[Invoice Value USD]])</f>
        <v>0.99075297342403756</v>
      </c>
      <c r="BE639" s="11">
        <f>IF(tblsales[[#This Row],[SalesStage]]="Won",1,0)</f>
        <v>0</v>
      </c>
      <c r="BF639" s="21" t="str">
        <f>IF(tblsales[[#This Row],[Win Flag]]=1,"Won","Lost")</f>
        <v>Lost</v>
      </c>
      <c r="BG639" s="8"/>
    </row>
    <row r="640" spans="1:59" x14ac:dyDescent="0.3">
      <c r="A640" s="10" t="s">
        <v>2218</v>
      </c>
      <c r="B640" s="9">
        <v>46046</v>
      </c>
      <c r="C640" s="10" t="s">
        <v>271</v>
      </c>
      <c r="D640" s="10" t="s">
        <v>255</v>
      </c>
      <c r="E640" s="10" t="s">
        <v>41</v>
      </c>
      <c r="F640" s="10" t="s">
        <v>363</v>
      </c>
      <c r="G640" s="10" t="s">
        <v>57</v>
      </c>
      <c r="H640" s="10" t="s">
        <v>216</v>
      </c>
      <c r="I640" s="10" t="s">
        <v>233</v>
      </c>
      <c r="J640" s="10" t="s">
        <v>105</v>
      </c>
      <c r="K640" s="10" t="s">
        <v>199</v>
      </c>
      <c r="L640" s="10" t="s">
        <v>2219</v>
      </c>
      <c r="M640" s="9">
        <v>46012</v>
      </c>
      <c r="N640" s="9">
        <v>46048</v>
      </c>
      <c r="O640" s="9">
        <v>46133</v>
      </c>
      <c r="P640" s="11">
        <v>7</v>
      </c>
      <c r="Q640" s="12">
        <v>38978201</v>
      </c>
      <c r="R640">
        <v>10613764.132299999</v>
      </c>
      <c r="S640" s="22">
        <v>0.22</v>
      </c>
      <c r="T640" s="22">
        <v>0.05</v>
      </c>
      <c r="U640" s="12">
        <v>31923146.620000001</v>
      </c>
      <c r="V640" s="24">
        <v>8692672.8246260006</v>
      </c>
      <c r="W640" s="8">
        <v>26104864.140000001</v>
      </c>
      <c r="X640" s="24">
        <v>7108354.505322</v>
      </c>
      <c r="Y640" s="22"/>
      <c r="Z640" s="22">
        <v>0.19</v>
      </c>
      <c r="AA640" s="8" t="s">
        <v>2220</v>
      </c>
      <c r="AB640" s="8"/>
      <c r="AC640" s="24"/>
      <c r="AD640" s="8">
        <v>15735514.310000001</v>
      </c>
      <c r="AE640" s="24">
        <v>4284780.5466130003</v>
      </c>
      <c r="AF640" s="8">
        <v>90</v>
      </c>
      <c r="AG640" s="8">
        <v>42</v>
      </c>
      <c r="AH640" s="8" t="s">
        <v>347</v>
      </c>
      <c r="AI640" s="8" t="s">
        <v>320</v>
      </c>
      <c r="AJ640" s="22">
        <v>0.94</v>
      </c>
      <c r="AK640" s="8" t="s">
        <v>153</v>
      </c>
      <c r="AL640" s="22">
        <v>0.05</v>
      </c>
      <c r="AM640" s="22">
        <v>7.0000000000000007E-2</v>
      </c>
      <c r="AN640" s="8">
        <v>7</v>
      </c>
      <c r="AO640" s="8">
        <v>1984</v>
      </c>
      <c r="AP640" s="8">
        <v>1006153.65</v>
      </c>
      <c r="AQ640" s="24">
        <v>273975.63889499998</v>
      </c>
      <c r="AR640" s="8">
        <v>15554315.59</v>
      </c>
      <c r="AS640" s="37">
        <v>4235440.1351569993</v>
      </c>
      <c r="AT640" s="8" t="s">
        <v>73</v>
      </c>
      <c r="AU640" s="8" t="s">
        <v>386</v>
      </c>
      <c r="AV640" s="8">
        <v>71.3</v>
      </c>
      <c r="AW640" s="8">
        <v>12</v>
      </c>
      <c r="AX640" s="8" t="s">
        <v>392</v>
      </c>
      <c r="AY640" s="8" t="s">
        <v>224</v>
      </c>
      <c r="AZ640" s="8" t="s">
        <v>332</v>
      </c>
      <c r="BA640" s="21" t="str">
        <f>IF(OR(tblsales[[#This Row],[Invoice Value USD]]="",tblsales[[#This Row],[Collected Amount USD]]=""),"",tblsales[[#This Row],[Invoice Value USD]]-tblsales[[#This Row],[Collected Amount USD]])</f>
        <v/>
      </c>
      <c r="BB640" s="21">
        <f>IF(OR(tblsales[[#This Row],[Contract Value USD]]="",tblsales[[#This Row],[Cost Estimate USD]]=""),"",tblsales[[#This Row],[Contract Value USD]]-tblsales[[#This Row],[Cost Estimate USD]])</f>
        <v>1584318.3193040006</v>
      </c>
      <c r="BC640" s="21">
        <f>IF(OR(tblsales[[#This Row],[Contract Value USD]]="",tblsales[[#This Row],[Cost Estimate USD]]=""),"",tblsales[[#This Row],[Contract Value USD]]-tblsales[[#This Row],[Cost Estimate USD]])</f>
        <v>1584318.3193040006</v>
      </c>
      <c r="BD640" s="23" t="str">
        <f>IF(tblsales[[#This Row],[Invoice Value USD]]="","",tblsales[[#This Row],[Collected Amount USD]]/tblsales[[#This Row],[Invoice Value USD]])</f>
        <v/>
      </c>
      <c r="BE640" s="11">
        <f>IF(tblsales[[#This Row],[SalesStage]]="Won",1,0)</f>
        <v>1</v>
      </c>
      <c r="BF640" s="21" t="str">
        <f>IF(tblsales[[#This Row],[Win Flag]]=1,"Won","Lost")</f>
        <v>Won</v>
      </c>
      <c r="BG640" s="8"/>
    </row>
    <row r="641" spans="1:59" x14ac:dyDescent="0.3">
      <c r="A641" s="10" t="s">
        <v>2221</v>
      </c>
      <c r="B641" s="9">
        <v>45785</v>
      </c>
      <c r="C641" s="10" t="s">
        <v>195</v>
      </c>
      <c r="D641" s="10" t="s">
        <v>265</v>
      </c>
      <c r="E641" s="10" t="s">
        <v>113</v>
      </c>
      <c r="F641" s="10" t="s">
        <v>181</v>
      </c>
      <c r="G641" s="10" t="s">
        <v>73</v>
      </c>
      <c r="H641" s="10" t="s">
        <v>212</v>
      </c>
      <c r="I641" s="10" t="s">
        <v>233</v>
      </c>
      <c r="J641" s="10" t="s">
        <v>127</v>
      </c>
      <c r="K641" s="10" t="s">
        <v>333</v>
      </c>
      <c r="L641" s="10" t="s">
        <v>2222</v>
      </c>
      <c r="M641" s="9">
        <v>45838</v>
      </c>
      <c r="N641" s="9"/>
      <c r="O641" s="9">
        <v>45994</v>
      </c>
      <c r="P641" s="11">
        <v>49</v>
      </c>
      <c r="Q641" s="12">
        <v>28357077</v>
      </c>
      <c r="R641">
        <v>28357077</v>
      </c>
      <c r="S641" s="22">
        <v>0.05</v>
      </c>
      <c r="T641" s="22">
        <v>0.02</v>
      </c>
      <c r="U641" s="12">
        <v>27478007.609999999</v>
      </c>
      <c r="V641" s="24">
        <v>27478007.609999999</v>
      </c>
      <c r="W641" s="8">
        <v>18498290.359999999</v>
      </c>
      <c r="X641" s="24">
        <v>18498290.359999999</v>
      </c>
      <c r="Y641" s="22">
        <v>0.25</v>
      </c>
      <c r="Z641" s="22">
        <v>0.17</v>
      </c>
      <c r="AA641" s="8" t="s">
        <v>2223</v>
      </c>
      <c r="AB641" s="8">
        <v>12943162.83</v>
      </c>
      <c r="AC641" s="24">
        <v>12943162.83</v>
      </c>
      <c r="AD641" s="8">
        <v>9147100</v>
      </c>
      <c r="AE641" s="24">
        <v>9147100</v>
      </c>
      <c r="AF641" s="8">
        <v>30</v>
      </c>
      <c r="AG641" s="8">
        <v>176</v>
      </c>
      <c r="AH641" s="8" t="s">
        <v>347</v>
      </c>
      <c r="AI641" s="8" t="s">
        <v>381</v>
      </c>
      <c r="AJ641" s="22">
        <v>0.08</v>
      </c>
      <c r="AK641" s="8" t="s">
        <v>152</v>
      </c>
      <c r="AL641" s="22">
        <v>0.1</v>
      </c>
      <c r="AM641" s="22">
        <v>0.06</v>
      </c>
      <c r="AN641" s="8">
        <v>9</v>
      </c>
      <c r="AO641" s="8">
        <v>4361</v>
      </c>
      <c r="AP641" s="8">
        <v>4185045.78</v>
      </c>
      <c r="AQ641" s="24">
        <v>4185045.78</v>
      </c>
      <c r="AR641" s="8">
        <v>8503627.7400000002</v>
      </c>
      <c r="AS641" s="37">
        <v>8503627.7400000002</v>
      </c>
      <c r="AT641" s="8" t="s">
        <v>343</v>
      </c>
      <c r="AU641" s="8" t="s">
        <v>356</v>
      </c>
      <c r="AV641" s="8">
        <v>77.7</v>
      </c>
      <c r="AW641" s="8">
        <v>24</v>
      </c>
      <c r="AX641" s="8" t="s">
        <v>332</v>
      </c>
      <c r="AY641" s="8" t="s">
        <v>224</v>
      </c>
      <c r="AZ641" s="8" t="s">
        <v>324</v>
      </c>
      <c r="BA641" s="21">
        <f>IF(OR(tblsales[[#This Row],[Invoice Value USD]]="",tblsales[[#This Row],[Collected Amount USD]]=""),"",tblsales[[#This Row],[Invoice Value USD]]-tblsales[[#This Row],[Collected Amount USD]])</f>
        <v>3796062.83</v>
      </c>
      <c r="BB641" s="21">
        <f>IF(OR(tblsales[[#This Row],[Contract Value USD]]="",tblsales[[#This Row],[Cost Estimate USD]]=""),"",tblsales[[#This Row],[Contract Value USD]]-tblsales[[#This Row],[Cost Estimate USD]])</f>
        <v>8979717.25</v>
      </c>
      <c r="BC641" s="21">
        <f>IF(OR(tblsales[[#This Row],[Contract Value USD]]="",tblsales[[#This Row],[Cost Estimate USD]]=""),"",tblsales[[#This Row],[Contract Value USD]]-tblsales[[#This Row],[Cost Estimate USD]])</f>
        <v>8979717.25</v>
      </c>
      <c r="BD641" s="23">
        <f>IF(tblsales[[#This Row],[Invoice Value USD]]="","",tblsales[[#This Row],[Collected Amount USD]]/tblsales[[#This Row],[Invoice Value USD]])</f>
        <v>0.70671288927916542</v>
      </c>
      <c r="BE641" s="11">
        <f>IF(tblsales[[#This Row],[SalesStage]]="Won",1,0)</f>
        <v>0</v>
      </c>
      <c r="BF641" s="21" t="str">
        <f>IF(tblsales[[#This Row],[Win Flag]]=1,"Won","Lost")</f>
        <v>Lost</v>
      </c>
      <c r="BG641" s="8"/>
    </row>
    <row r="642" spans="1:59" x14ac:dyDescent="0.3">
      <c r="A642" s="10" t="s">
        <v>2224</v>
      </c>
      <c r="B642" s="9">
        <v>45723</v>
      </c>
      <c r="C642" s="10" t="s">
        <v>195</v>
      </c>
      <c r="D642" s="10" t="s">
        <v>394</v>
      </c>
      <c r="E642" s="10" t="s">
        <v>113</v>
      </c>
      <c r="F642" s="10" t="s">
        <v>367</v>
      </c>
      <c r="G642" s="10" t="s">
        <v>38</v>
      </c>
      <c r="H642" s="10" t="s">
        <v>263</v>
      </c>
      <c r="I642" s="10" t="s">
        <v>332</v>
      </c>
      <c r="J642" s="10" t="s">
        <v>123</v>
      </c>
      <c r="K642" s="10" t="s">
        <v>333</v>
      </c>
      <c r="L642" s="10" t="s">
        <v>2225</v>
      </c>
      <c r="M642" s="9">
        <v>45662</v>
      </c>
      <c r="N642" s="9">
        <v>45868</v>
      </c>
      <c r="O642" s="9">
        <v>45920</v>
      </c>
      <c r="P642" s="11">
        <v>36</v>
      </c>
      <c r="Q642" s="12">
        <v>42495946</v>
      </c>
      <c r="R642">
        <v>49337793.306000002</v>
      </c>
      <c r="S642" s="22">
        <v>0.03</v>
      </c>
      <c r="T642" s="22">
        <v>-0.03</v>
      </c>
      <c r="U642" s="12">
        <v>39984435.590000004</v>
      </c>
      <c r="V642" s="24">
        <v>46421929.719990008</v>
      </c>
      <c r="W642" s="8">
        <v>27831341.050000001</v>
      </c>
      <c r="X642" s="24">
        <v>32312186.959050003</v>
      </c>
      <c r="Y642" s="22">
        <v>7.0000000000000007E-2</v>
      </c>
      <c r="Z642" s="22">
        <v>0.08</v>
      </c>
      <c r="AA642" s="8" t="s">
        <v>2226</v>
      </c>
      <c r="AB642" s="8">
        <v>32688971.75</v>
      </c>
      <c r="AC642" s="24">
        <v>37951896.201750003</v>
      </c>
      <c r="AD642" s="8">
        <v>26967500.370000001</v>
      </c>
      <c r="AE642" s="24">
        <v>31309267.929570001</v>
      </c>
      <c r="AF642" s="8">
        <v>45</v>
      </c>
      <c r="AG642" s="8">
        <v>91</v>
      </c>
      <c r="AH642" s="8" t="s">
        <v>347</v>
      </c>
      <c r="AI642" s="8" t="s">
        <v>381</v>
      </c>
      <c r="AJ642" s="22">
        <v>0.62</v>
      </c>
      <c r="AK642" s="8" t="s">
        <v>159</v>
      </c>
      <c r="AL642" s="22">
        <v>0.15</v>
      </c>
      <c r="AM642" s="22">
        <v>0.01</v>
      </c>
      <c r="AN642" s="8">
        <v>9</v>
      </c>
      <c r="AO642" s="8">
        <v>4516</v>
      </c>
      <c r="AP642" s="8">
        <v>5040484.54</v>
      </c>
      <c r="AQ642" s="24">
        <v>5852002.5509400005</v>
      </c>
      <c r="AR642" s="8">
        <v>15189630.74</v>
      </c>
      <c r="AS642" s="37">
        <v>17635161.289140001</v>
      </c>
      <c r="AT642" s="8" t="s">
        <v>332</v>
      </c>
      <c r="AU642" s="8" t="s">
        <v>332</v>
      </c>
      <c r="AV642" s="8">
        <v>82.4</v>
      </c>
      <c r="AW642" s="8">
        <v>60</v>
      </c>
      <c r="AX642" s="8" t="s">
        <v>392</v>
      </c>
      <c r="AY642" s="8" t="s">
        <v>224</v>
      </c>
      <c r="AZ642" s="8" t="s">
        <v>357</v>
      </c>
      <c r="BA642" s="21">
        <f>IF(OR(tblsales[[#This Row],[Invoice Value USD]]="",tblsales[[#This Row],[Collected Amount USD]]=""),"",tblsales[[#This Row],[Invoice Value USD]]-tblsales[[#This Row],[Collected Amount USD]])</f>
        <v>6642628.2721800022</v>
      </c>
      <c r="BB642" s="21">
        <f>IF(OR(tblsales[[#This Row],[Contract Value USD]]="",tblsales[[#This Row],[Cost Estimate USD]]=""),"",tblsales[[#This Row],[Contract Value USD]]-tblsales[[#This Row],[Cost Estimate USD]])</f>
        <v>14109742.760940004</v>
      </c>
      <c r="BC642" s="21">
        <f>IF(OR(tblsales[[#This Row],[Contract Value USD]]="",tblsales[[#This Row],[Cost Estimate USD]]=""),"",tblsales[[#This Row],[Contract Value USD]]-tblsales[[#This Row],[Cost Estimate USD]])</f>
        <v>14109742.760940004</v>
      </c>
      <c r="BD642" s="23">
        <f>IF(tblsales[[#This Row],[Invoice Value USD]]="","",tblsales[[#This Row],[Collected Amount USD]]/tblsales[[#This Row],[Invoice Value USD]])</f>
        <v>0.8249724272835226</v>
      </c>
      <c r="BE642" s="11">
        <f>IF(tblsales[[#This Row],[SalesStage]]="Won",1,0)</f>
        <v>0</v>
      </c>
      <c r="BF642" s="21" t="str">
        <f>IF(tblsales[[#This Row],[Win Flag]]=1,"Won","Lost")</f>
        <v>Lost</v>
      </c>
      <c r="BG642" s="8"/>
    </row>
    <row r="643" spans="1:59" x14ac:dyDescent="0.3">
      <c r="A643" s="10" t="s">
        <v>2227</v>
      </c>
      <c r="B643" s="9">
        <v>45982</v>
      </c>
      <c r="C643" s="10" t="s">
        <v>266</v>
      </c>
      <c r="D643" s="10" t="s">
        <v>202</v>
      </c>
      <c r="E643" s="10" t="s">
        <v>41</v>
      </c>
      <c r="F643" s="10" t="s">
        <v>228</v>
      </c>
      <c r="G643" s="10" t="s">
        <v>57</v>
      </c>
      <c r="H643" s="10" t="s">
        <v>197</v>
      </c>
      <c r="I643" s="10" t="s">
        <v>203</v>
      </c>
      <c r="J643" s="10" t="s">
        <v>105</v>
      </c>
      <c r="K643" s="10" t="s">
        <v>210</v>
      </c>
      <c r="L643" s="10" t="s">
        <v>2228</v>
      </c>
      <c r="M643" s="9">
        <v>45897</v>
      </c>
      <c r="N643" s="9">
        <v>46296</v>
      </c>
      <c r="O643" s="9">
        <v>46041</v>
      </c>
      <c r="P643" s="11">
        <v>36</v>
      </c>
      <c r="Q643" s="12">
        <v>42041341</v>
      </c>
      <c r="R643">
        <v>11212425.6447</v>
      </c>
      <c r="S643" s="22">
        <v>0.31</v>
      </c>
      <c r="T643" s="22">
        <v>0.15</v>
      </c>
      <c r="U643" s="12">
        <v>33359804.079999998</v>
      </c>
      <c r="V643" s="24">
        <v>8897059.7481359988</v>
      </c>
      <c r="W643" s="8">
        <v>29933473.48</v>
      </c>
      <c r="X643" s="24">
        <v>7983257.3771160003</v>
      </c>
      <c r="Y643" s="22">
        <v>0.2</v>
      </c>
      <c r="Z643" s="22">
        <v>0.06</v>
      </c>
      <c r="AA643" s="8" t="s">
        <v>2229</v>
      </c>
      <c r="AB643" s="8">
        <v>21677113.02</v>
      </c>
      <c r="AC643" s="24">
        <v>5781286.0424339995</v>
      </c>
      <c r="AD643" s="8">
        <v>9630890.3599999994</v>
      </c>
      <c r="AE643" s="24">
        <v>2568558.4590119999</v>
      </c>
      <c r="AF643" s="8">
        <v>90</v>
      </c>
      <c r="AG643" s="8">
        <v>63</v>
      </c>
      <c r="AH643" s="8" t="s">
        <v>353</v>
      </c>
      <c r="AI643" s="8" t="s">
        <v>406</v>
      </c>
      <c r="AJ643" s="22">
        <v>0.53</v>
      </c>
      <c r="AK643" s="8" t="s">
        <v>162</v>
      </c>
      <c r="AL643" s="22">
        <v>0.05</v>
      </c>
      <c r="AM643" s="22">
        <v>0.05</v>
      </c>
      <c r="AN643" s="8">
        <v>11</v>
      </c>
      <c r="AO643" s="8"/>
      <c r="AP643" s="8">
        <v>3568045.35</v>
      </c>
      <c r="AQ643" s="24">
        <v>951597.69484500005</v>
      </c>
      <c r="AR643" s="8">
        <v>9770079.0700000003</v>
      </c>
      <c r="AS643" s="37">
        <v>2605680.087969</v>
      </c>
      <c r="AT643" s="8" t="s">
        <v>332</v>
      </c>
      <c r="AU643" s="8" t="s">
        <v>348</v>
      </c>
      <c r="AV643" s="8">
        <v>95.4</v>
      </c>
      <c r="AW643" s="8">
        <v>24</v>
      </c>
      <c r="AX643" s="8" t="s">
        <v>332</v>
      </c>
      <c r="AY643" s="8" t="s">
        <v>186</v>
      </c>
      <c r="AZ643" s="8" t="s">
        <v>357</v>
      </c>
      <c r="BA643" s="21">
        <f>IF(OR(tblsales[[#This Row],[Invoice Value USD]]="",tblsales[[#This Row],[Collected Amount USD]]=""),"",tblsales[[#This Row],[Invoice Value USD]]-tblsales[[#This Row],[Collected Amount USD]])</f>
        <v>3212727.5834219996</v>
      </c>
      <c r="BB643" s="21">
        <f>IF(OR(tblsales[[#This Row],[Contract Value USD]]="",tblsales[[#This Row],[Cost Estimate USD]]=""),"",tblsales[[#This Row],[Contract Value USD]]-tblsales[[#This Row],[Cost Estimate USD]])</f>
        <v>913802.37101999857</v>
      </c>
      <c r="BC643" s="21">
        <f>IF(OR(tblsales[[#This Row],[Contract Value USD]]="",tblsales[[#This Row],[Cost Estimate USD]]=""),"",tblsales[[#This Row],[Contract Value USD]]-tblsales[[#This Row],[Cost Estimate USD]])</f>
        <v>913802.37101999857</v>
      </c>
      <c r="BD643" s="23">
        <f>IF(tblsales[[#This Row],[Invoice Value USD]]="","",tblsales[[#This Row],[Collected Amount USD]]/tblsales[[#This Row],[Invoice Value USD]])</f>
        <v>0.44428842305311744</v>
      </c>
      <c r="BE643" s="11">
        <f>IF(tblsales[[#This Row],[SalesStage]]="Won",1,0)</f>
        <v>0</v>
      </c>
      <c r="BF643" s="21" t="str">
        <f>IF(tblsales[[#This Row],[Win Flag]]=1,"Won","Lost")</f>
        <v>Lost</v>
      </c>
      <c r="BG643" s="8"/>
    </row>
    <row r="644" spans="1:59" x14ac:dyDescent="0.3">
      <c r="A644" s="10" t="s">
        <v>2230</v>
      </c>
      <c r="B644" s="9">
        <v>46042</v>
      </c>
      <c r="C644" s="10" t="s">
        <v>278</v>
      </c>
      <c r="D644" s="10" t="s">
        <v>232</v>
      </c>
      <c r="E644" s="10" t="s">
        <v>36</v>
      </c>
      <c r="F644" s="10" t="s">
        <v>339</v>
      </c>
      <c r="G644" s="10" t="s">
        <v>46</v>
      </c>
      <c r="H644" s="10" t="s">
        <v>332</v>
      </c>
      <c r="I644" s="10" t="s">
        <v>191</v>
      </c>
      <c r="J644" s="10" t="s">
        <v>115</v>
      </c>
      <c r="K644" s="10" t="s">
        <v>326</v>
      </c>
      <c r="L644" s="10" t="s">
        <v>2231</v>
      </c>
      <c r="M644" s="9">
        <v>45955</v>
      </c>
      <c r="N644" s="9">
        <v>46094</v>
      </c>
      <c r="O644" s="9">
        <v>46115</v>
      </c>
      <c r="P644" s="11">
        <v>30</v>
      </c>
      <c r="Q644" s="12">
        <v>31428087</v>
      </c>
      <c r="R644">
        <v>8557868.0900999997</v>
      </c>
      <c r="S644" s="22">
        <v>0.03</v>
      </c>
      <c r="T644" s="22">
        <v>0.18</v>
      </c>
      <c r="U644" s="12">
        <v>35972588.380000003</v>
      </c>
      <c r="V644" s="24">
        <v>9795335.815874001</v>
      </c>
      <c r="W644" s="8">
        <v>24277783.149999999</v>
      </c>
      <c r="X644" s="24">
        <v>6610840.3517449992</v>
      </c>
      <c r="Y644" s="22">
        <v>0.35</v>
      </c>
      <c r="Z644" s="22">
        <v>0.06</v>
      </c>
      <c r="AA644" s="8" t="s">
        <v>2232</v>
      </c>
      <c r="AB644" s="8">
        <v>10415263.08</v>
      </c>
      <c r="AC644" s="24">
        <v>2836076.136684</v>
      </c>
      <c r="AD644" s="8">
        <v>10136364.18</v>
      </c>
      <c r="AE644" s="24">
        <v>2760131.9662139998</v>
      </c>
      <c r="AF644" s="8">
        <v>90</v>
      </c>
      <c r="AG644" s="8">
        <v>67</v>
      </c>
      <c r="AH644" s="8" t="s">
        <v>332</v>
      </c>
      <c r="AI644" s="8" t="s">
        <v>354</v>
      </c>
      <c r="AJ644" s="22">
        <v>0.71</v>
      </c>
      <c r="AK644" s="8" t="s">
        <v>153</v>
      </c>
      <c r="AL644" s="22">
        <v>0.05</v>
      </c>
      <c r="AM644" s="22">
        <v>7.0000000000000007E-2</v>
      </c>
      <c r="AN644" s="8">
        <v>9</v>
      </c>
      <c r="AO644" s="8">
        <v>3399</v>
      </c>
      <c r="AP644" s="8">
        <v>7722478.9199999999</v>
      </c>
      <c r="AQ644" s="24">
        <v>2102831.0099160001</v>
      </c>
      <c r="AR644" s="8">
        <v>17562610.5</v>
      </c>
      <c r="AS644" s="37">
        <v>4782298.8391499994</v>
      </c>
      <c r="AT644" s="8" t="s">
        <v>385</v>
      </c>
      <c r="AU644" s="8" t="s">
        <v>330</v>
      </c>
      <c r="AV644" s="8">
        <v>86.8</v>
      </c>
      <c r="AW644" s="8">
        <v>60</v>
      </c>
      <c r="AX644" s="8" t="s">
        <v>332</v>
      </c>
      <c r="AY644" s="8" t="s">
        <v>186</v>
      </c>
      <c r="AZ644" s="8" t="s">
        <v>357</v>
      </c>
      <c r="BA644" s="21">
        <f>IF(OR(tblsales[[#This Row],[Invoice Value USD]]="",tblsales[[#This Row],[Collected Amount USD]]=""),"",tblsales[[#This Row],[Invoice Value USD]]-tblsales[[#This Row],[Collected Amount USD]])</f>
        <v>75944.170470000245</v>
      </c>
      <c r="BB644" s="21">
        <f>IF(OR(tblsales[[#This Row],[Contract Value USD]]="",tblsales[[#This Row],[Cost Estimate USD]]=""),"",tblsales[[#This Row],[Contract Value USD]]-tblsales[[#This Row],[Cost Estimate USD]])</f>
        <v>3184495.4641290018</v>
      </c>
      <c r="BC644" s="21">
        <f>IF(OR(tblsales[[#This Row],[Contract Value USD]]="",tblsales[[#This Row],[Cost Estimate USD]]=""),"",tblsales[[#This Row],[Contract Value USD]]-tblsales[[#This Row],[Cost Estimate USD]])</f>
        <v>3184495.4641290018</v>
      </c>
      <c r="BD644" s="23">
        <f>IF(tblsales[[#This Row],[Invoice Value USD]]="","",tblsales[[#This Row],[Collected Amount USD]]/tblsales[[#This Row],[Invoice Value USD]])</f>
        <v>0.9732220974297271</v>
      </c>
      <c r="BE644" s="11">
        <f>IF(tblsales[[#This Row],[SalesStage]]="Won",1,0)</f>
        <v>0</v>
      </c>
      <c r="BF644" s="21" t="str">
        <f>IF(tblsales[[#This Row],[Win Flag]]=1,"Won","Lost")</f>
        <v>Lost</v>
      </c>
      <c r="BG644" s="8"/>
    </row>
    <row r="645" spans="1:59" x14ac:dyDescent="0.3">
      <c r="A645" s="10" t="s">
        <v>2233</v>
      </c>
      <c r="B645" s="9">
        <v>46017</v>
      </c>
      <c r="C645" s="10" t="s">
        <v>219</v>
      </c>
      <c r="D645" s="10" t="s">
        <v>190</v>
      </c>
      <c r="E645" s="10" t="s">
        <v>36</v>
      </c>
      <c r="F645" s="10" t="s">
        <v>332</v>
      </c>
      <c r="G645" s="10" t="s">
        <v>78</v>
      </c>
      <c r="H645" s="10" t="s">
        <v>216</v>
      </c>
      <c r="I645" s="10" t="s">
        <v>240</v>
      </c>
      <c r="J645" s="10" t="s">
        <v>115</v>
      </c>
      <c r="K645" s="10" t="s">
        <v>223</v>
      </c>
      <c r="L645" s="10" t="s">
        <v>2234</v>
      </c>
      <c r="M645" s="9">
        <v>45947</v>
      </c>
      <c r="N645" s="9">
        <v>46051</v>
      </c>
      <c r="O645" s="9">
        <v>46072</v>
      </c>
      <c r="P645" s="11">
        <v>46</v>
      </c>
      <c r="Q645" s="12">
        <v>4262262</v>
      </c>
      <c r="R645">
        <v>1160613.9426</v>
      </c>
      <c r="S645" s="22">
        <v>7.0000000000000007E-2</v>
      </c>
      <c r="T645" s="22">
        <v>7.0000000000000007E-2</v>
      </c>
      <c r="U645" s="12">
        <v>4241376.92</v>
      </c>
      <c r="V645" s="24">
        <v>1154926.9353159999</v>
      </c>
      <c r="W645" s="8">
        <v>3700173.39</v>
      </c>
      <c r="X645" s="24">
        <v>1007557.214097</v>
      </c>
      <c r="Y645" s="22">
        <v>0.18</v>
      </c>
      <c r="Z645" s="22">
        <v>0.15</v>
      </c>
      <c r="AA645" s="8" t="s">
        <v>2235</v>
      </c>
      <c r="AB645" s="8">
        <v>2047624.93</v>
      </c>
      <c r="AC645" s="24">
        <v>557568.26843900001</v>
      </c>
      <c r="AD645" s="8">
        <v>1315928.3899999999</v>
      </c>
      <c r="AE645" s="24">
        <v>358327.30059699994</v>
      </c>
      <c r="AF645" s="8">
        <v>45</v>
      </c>
      <c r="AG645" s="8">
        <v>161</v>
      </c>
      <c r="AH645" s="8" t="s">
        <v>332</v>
      </c>
      <c r="AI645" s="8" t="s">
        <v>381</v>
      </c>
      <c r="AJ645" s="22">
        <v>0.33</v>
      </c>
      <c r="AK645" s="8" t="s">
        <v>153</v>
      </c>
      <c r="AL645" s="22">
        <v>0.15</v>
      </c>
      <c r="AM645" s="22">
        <v>0.09</v>
      </c>
      <c r="AN645" s="8">
        <v>12</v>
      </c>
      <c r="AO645" s="8">
        <v>3800</v>
      </c>
      <c r="AP645" s="8">
        <v>329621.03999999998</v>
      </c>
      <c r="AQ645" s="24">
        <v>89755.809191999986</v>
      </c>
      <c r="AR645" s="8">
        <v>1790595.26</v>
      </c>
      <c r="AS645" s="37">
        <v>487579.08929799998</v>
      </c>
      <c r="AT645" s="8" t="s">
        <v>385</v>
      </c>
      <c r="AU645" s="8" t="s">
        <v>356</v>
      </c>
      <c r="AV645" s="8">
        <v>88.6</v>
      </c>
      <c r="AW645" s="8">
        <v>24</v>
      </c>
      <c r="AX645" s="8" t="s">
        <v>332</v>
      </c>
      <c r="AY645" s="8" t="s">
        <v>186</v>
      </c>
      <c r="AZ645" s="8" t="s">
        <v>324</v>
      </c>
      <c r="BA645" s="21">
        <f>IF(OR(tblsales[[#This Row],[Invoice Value USD]]="",tblsales[[#This Row],[Collected Amount USD]]=""),"",tblsales[[#This Row],[Invoice Value USD]]-tblsales[[#This Row],[Collected Amount USD]])</f>
        <v>199240.96784200007</v>
      </c>
      <c r="BB645" s="21">
        <f>IF(OR(tblsales[[#This Row],[Contract Value USD]]="",tblsales[[#This Row],[Cost Estimate USD]]=""),"",tblsales[[#This Row],[Contract Value USD]]-tblsales[[#This Row],[Cost Estimate USD]])</f>
        <v>147369.72121899994</v>
      </c>
      <c r="BC645" s="21">
        <f>IF(OR(tblsales[[#This Row],[Contract Value USD]]="",tblsales[[#This Row],[Cost Estimate USD]]=""),"",tblsales[[#This Row],[Contract Value USD]]-tblsales[[#This Row],[Cost Estimate USD]])</f>
        <v>147369.72121899994</v>
      </c>
      <c r="BD645" s="23">
        <f>IF(tblsales[[#This Row],[Invoice Value USD]]="","",tblsales[[#This Row],[Collected Amount USD]]/tblsales[[#This Row],[Invoice Value USD]])</f>
        <v>0.64266085586289468</v>
      </c>
      <c r="BE645" s="11">
        <f>IF(tblsales[[#This Row],[SalesStage]]="Won",1,0)</f>
        <v>0</v>
      </c>
      <c r="BF645" s="21" t="str">
        <f>IF(tblsales[[#This Row],[Win Flag]]=1,"Won","Lost")</f>
        <v>Lost</v>
      </c>
      <c r="BG645" s="8"/>
    </row>
    <row r="646" spans="1:59" x14ac:dyDescent="0.3">
      <c r="A646" s="10" t="s">
        <v>2236</v>
      </c>
      <c r="B646" s="9">
        <v>45898</v>
      </c>
      <c r="C646" s="10" t="s">
        <v>266</v>
      </c>
      <c r="D646" s="10" t="s">
        <v>281</v>
      </c>
      <c r="E646" s="10" t="s">
        <v>20</v>
      </c>
      <c r="F646" s="10" t="s">
        <v>31</v>
      </c>
      <c r="G646" s="10" t="s">
        <v>38</v>
      </c>
      <c r="H646" s="10" t="s">
        <v>263</v>
      </c>
      <c r="I646" s="10" t="s">
        <v>240</v>
      </c>
      <c r="J646" s="10" t="s">
        <v>136</v>
      </c>
      <c r="K646" s="10" t="s">
        <v>223</v>
      </c>
      <c r="L646" s="10" t="s">
        <v>2237</v>
      </c>
      <c r="M646" s="9">
        <v>45858</v>
      </c>
      <c r="N646" s="9">
        <v>45904</v>
      </c>
      <c r="O646" s="9">
        <v>45975</v>
      </c>
      <c r="P646" s="11"/>
      <c r="Q646" s="12">
        <v>37798840</v>
      </c>
      <c r="R646">
        <v>37798840</v>
      </c>
      <c r="S646" s="22">
        <v>0.27</v>
      </c>
      <c r="T646" s="22">
        <v>0.14000000000000001</v>
      </c>
      <c r="U646" s="12">
        <v>31456194.649999999</v>
      </c>
      <c r="V646" s="24">
        <v>31456194.649999999</v>
      </c>
      <c r="W646" s="8">
        <v>20423122.48</v>
      </c>
      <c r="X646" s="24">
        <v>20423122.48</v>
      </c>
      <c r="Y646" s="22">
        <v>0.24</v>
      </c>
      <c r="Z646" s="22">
        <v>0.19</v>
      </c>
      <c r="AA646" s="8" t="s">
        <v>2238</v>
      </c>
      <c r="AB646" s="8"/>
      <c r="AC646" s="24"/>
      <c r="AD646" s="8">
        <v>12710501.289999999</v>
      </c>
      <c r="AE646" s="24">
        <v>12710501.289999999</v>
      </c>
      <c r="AF646" s="8">
        <v>30</v>
      </c>
      <c r="AG646" s="8">
        <v>147</v>
      </c>
      <c r="AH646" s="8" t="s">
        <v>329</v>
      </c>
      <c r="AI646" s="8" t="s">
        <v>354</v>
      </c>
      <c r="AJ646" s="22">
        <v>0.98</v>
      </c>
      <c r="AK646" s="8" t="s">
        <v>152</v>
      </c>
      <c r="AL646" s="22">
        <v>0.05</v>
      </c>
      <c r="AM646" s="22">
        <v>0.09</v>
      </c>
      <c r="AN646" s="8">
        <v>4</v>
      </c>
      <c r="AO646" s="8">
        <v>1850</v>
      </c>
      <c r="AP646" s="8"/>
      <c r="AQ646" s="24"/>
      <c r="AR646" s="8">
        <v>5140110.45</v>
      </c>
      <c r="AS646" s="37">
        <v>5140110.45</v>
      </c>
      <c r="AT646" s="8" t="s">
        <v>343</v>
      </c>
      <c r="AU646" s="8" t="s">
        <v>322</v>
      </c>
      <c r="AV646" s="8"/>
      <c r="AW646" s="8">
        <v>48</v>
      </c>
      <c r="AX646" s="8" t="s">
        <v>332</v>
      </c>
      <c r="AY646" s="8" t="s">
        <v>206</v>
      </c>
      <c r="AZ646" s="8" t="s">
        <v>332</v>
      </c>
      <c r="BA646" s="21" t="str">
        <f>IF(OR(tblsales[[#This Row],[Invoice Value USD]]="",tblsales[[#This Row],[Collected Amount USD]]=""),"",tblsales[[#This Row],[Invoice Value USD]]-tblsales[[#This Row],[Collected Amount USD]])</f>
        <v/>
      </c>
      <c r="BB646" s="21">
        <f>IF(OR(tblsales[[#This Row],[Contract Value USD]]="",tblsales[[#This Row],[Cost Estimate USD]]=""),"",tblsales[[#This Row],[Contract Value USD]]-tblsales[[#This Row],[Cost Estimate USD]])</f>
        <v>11033072.169999998</v>
      </c>
      <c r="BC646" s="21">
        <f>IF(OR(tblsales[[#This Row],[Contract Value USD]]="",tblsales[[#This Row],[Cost Estimate USD]]=""),"",tblsales[[#This Row],[Contract Value USD]]-tblsales[[#This Row],[Cost Estimate USD]])</f>
        <v>11033072.169999998</v>
      </c>
      <c r="BD646" s="23" t="str">
        <f>IF(tblsales[[#This Row],[Invoice Value USD]]="","",tblsales[[#This Row],[Collected Amount USD]]/tblsales[[#This Row],[Invoice Value USD]])</f>
        <v/>
      </c>
      <c r="BE646" s="11">
        <f>IF(tblsales[[#This Row],[SalesStage]]="Won",1,0)</f>
        <v>0</v>
      </c>
      <c r="BF646" s="21" t="str">
        <f>IF(tblsales[[#This Row],[Win Flag]]=1,"Won","Lost")</f>
        <v>Lost</v>
      </c>
      <c r="BG646" s="8"/>
    </row>
    <row r="647" spans="1:59" x14ac:dyDescent="0.3">
      <c r="A647" s="10" t="s">
        <v>2239</v>
      </c>
      <c r="B647" s="9">
        <v>46074</v>
      </c>
      <c r="C647" s="10" t="s">
        <v>244</v>
      </c>
      <c r="D647" s="10" t="s">
        <v>262</v>
      </c>
      <c r="E647" s="10" t="s">
        <v>36</v>
      </c>
      <c r="F647" s="10" t="s">
        <v>339</v>
      </c>
      <c r="G647" s="10" t="s">
        <v>73</v>
      </c>
      <c r="H647" s="10" t="s">
        <v>197</v>
      </c>
      <c r="I647" s="10" t="s">
        <v>198</v>
      </c>
      <c r="J647" s="10" t="s">
        <v>115</v>
      </c>
      <c r="K647" s="10" t="s">
        <v>204</v>
      </c>
      <c r="L647" s="10" t="s">
        <v>2240</v>
      </c>
      <c r="M647" s="9">
        <v>46038</v>
      </c>
      <c r="N647" s="9">
        <v>46128</v>
      </c>
      <c r="O647" s="9">
        <v>46126</v>
      </c>
      <c r="P647" s="11">
        <v>59</v>
      </c>
      <c r="Q647" s="12">
        <v>36885970</v>
      </c>
      <c r="R647">
        <v>10044049.630999999</v>
      </c>
      <c r="S647" s="22">
        <v>0.33</v>
      </c>
      <c r="T647" s="22">
        <v>0.04</v>
      </c>
      <c r="U647" s="12">
        <v>25702143.899999999</v>
      </c>
      <c r="V647" s="24">
        <v>6998693.7839699993</v>
      </c>
      <c r="W647" s="8">
        <v>18451041.960000001</v>
      </c>
      <c r="X647" s="24">
        <v>5024218.7257080004</v>
      </c>
      <c r="Y647" s="22">
        <v>0.12</v>
      </c>
      <c r="Z647" s="22">
        <v>0.05</v>
      </c>
      <c r="AA647" s="8" t="s">
        <v>2241</v>
      </c>
      <c r="AB647" s="8">
        <v>3475507.37</v>
      </c>
      <c r="AC647" s="24">
        <v>946380.65685100004</v>
      </c>
      <c r="AD647" s="8">
        <v>3345713.47</v>
      </c>
      <c r="AE647" s="24">
        <v>911037.77788099996</v>
      </c>
      <c r="AF647" s="8">
        <v>120</v>
      </c>
      <c r="AG647" s="8">
        <v>150</v>
      </c>
      <c r="AH647" s="8" t="s">
        <v>347</v>
      </c>
      <c r="AI647" s="8" t="s">
        <v>320</v>
      </c>
      <c r="AJ647" s="22">
        <v>0.72</v>
      </c>
      <c r="AK647" s="8" t="s">
        <v>153</v>
      </c>
      <c r="AL647" s="22">
        <v>0.15</v>
      </c>
      <c r="AM647" s="22">
        <v>0.02</v>
      </c>
      <c r="AN647" s="8">
        <v>6</v>
      </c>
      <c r="AO647" s="8">
        <v>1257</v>
      </c>
      <c r="AP647" s="8">
        <v>598467.86</v>
      </c>
      <c r="AQ647" s="24">
        <v>162962.798278</v>
      </c>
      <c r="AR647" s="8">
        <v>9777082.4800000004</v>
      </c>
      <c r="AS647" s="37">
        <v>2662299.5593039999</v>
      </c>
      <c r="AT647" s="8" t="s">
        <v>385</v>
      </c>
      <c r="AU647" s="8" t="s">
        <v>348</v>
      </c>
      <c r="AV647" s="8">
        <v>52.1</v>
      </c>
      <c r="AW647" s="8">
        <v>60</v>
      </c>
      <c r="AX647" s="8" t="s">
        <v>332</v>
      </c>
      <c r="AY647" s="8" t="s">
        <v>192</v>
      </c>
      <c r="AZ647" s="8" t="s">
        <v>377</v>
      </c>
      <c r="BA647" s="21">
        <f>IF(OR(tblsales[[#This Row],[Invoice Value USD]]="",tblsales[[#This Row],[Collected Amount USD]]=""),"",tblsales[[#This Row],[Invoice Value USD]]-tblsales[[#This Row],[Collected Amount USD]])</f>
        <v>35342.878970000078</v>
      </c>
      <c r="BB647" s="21">
        <f>IF(OR(tblsales[[#This Row],[Contract Value USD]]="",tblsales[[#This Row],[Cost Estimate USD]]=""),"",tblsales[[#This Row],[Contract Value USD]]-tblsales[[#This Row],[Cost Estimate USD]])</f>
        <v>1974475.0582619989</v>
      </c>
      <c r="BC647" s="21">
        <f>IF(OR(tblsales[[#This Row],[Contract Value USD]]="",tblsales[[#This Row],[Cost Estimate USD]]=""),"",tblsales[[#This Row],[Contract Value USD]]-tblsales[[#This Row],[Cost Estimate USD]])</f>
        <v>1974475.0582619989</v>
      </c>
      <c r="BD647" s="23">
        <f>IF(tblsales[[#This Row],[Invoice Value USD]]="","",tblsales[[#This Row],[Collected Amount USD]]/tblsales[[#This Row],[Invoice Value USD]])</f>
        <v>0.96265469004026305</v>
      </c>
      <c r="BE647" s="11">
        <f>IF(tblsales[[#This Row],[SalesStage]]="Won",1,0)</f>
        <v>1</v>
      </c>
      <c r="BF647" s="21" t="str">
        <f>IF(tblsales[[#This Row],[Win Flag]]=1,"Won","Lost")</f>
        <v>Won</v>
      </c>
      <c r="BG647" s="8"/>
    </row>
    <row r="648" spans="1:59" x14ac:dyDescent="0.3">
      <c r="A648" s="10" t="s">
        <v>2242</v>
      </c>
      <c r="B648" s="9">
        <v>45981</v>
      </c>
      <c r="C648" s="10" t="s">
        <v>243</v>
      </c>
      <c r="D648" s="10" t="s">
        <v>215</v>
      </c>
      <c r="E648" s="10" t="s">
        <v>52</v>
      </c>
      <c r="F648" s="10" t="s">
        <v>75</v>
      </c>
      <c r="G648" s="10" t="s">
        <v>73</v>
      </c>
      <c r="H648" s="10" t="s">
        <v>182</v>
      </c>
      <c r="I648" s="10" t="s">
        <v>233</v>
      </c>
      <c r="J648" s="10" t="s">
        <v>133</v>
      </c>
      <c r="K648" s="10" t="s">
        <v>326</v>
      </c>
      <c r="L648" s="10" t="s">
        <v>2243</v>
      </c>
      <c r="M648" s="9">
        <v>45952</v>
      </c>
      <c r="N648" s="9">
        <v>46003</v>
      </c>
      <c r="O648" s="9">
        <v>46054</v>
      </c>
      <c r="P648" s="11">
        <v>36</v>
      </c>
      <c r="Q648" s="12">
        <v>6260258</v>
      </c>
      <c r="R648">
        <v>7268159.5380000006</v>
      </c>
      <c r="S648" s="22">
        <v>0.16</v>
      </c>
      <c r="T648" s="22">
        <v>0.2</v>
      </c>
      <c r="U648" s="12">
        <v>6310340.0599999996</v>
      </c>
      <c r="V648" s="24">
        <v>7326304.8096599998</v>
      </c>
      <c r="W648" s="8">
        <v>3855084.74</v>
      </c>
      <c r="X648" s="24">
        <v>4475753.3831400005</v>
      </c>
      <c r="Y648" s="22">
        <v>0.32</v>
      </c>
      <c r="Z648" s="22">
        <v>0.16</v>
      </c>
      <c r="AA648" s="8" t="s">
        <v>2244</v>
      </c>
      <c r="AB648" s="8">
        <v>1678600.99</v>
      </c>
      <c r="AC648" s="24">
        <v>1948855.74939</v>
      </c>
      <c r="AD648" s="8">
        <v>1379135.74</v>
      </c>
      <c r="AE648" s="24">
        <v>1601176.5941399999</v>
      </c>
      <c r="AF648" s="8">
        <v>45</v>
      </c>
      <c r="AG648" s="8">
        <v>175</v>
      </c>
      <c r="AH648" s="8" t="s">
        <v>347</v>
      </c>
      <c r="AI648" s="8" t="s">
        <v>455</v>
      </c>
      <c r="AJ648" s="22">
        <v>0.08</v>
      </c>
      <c r="AK648" s="8" t="s">
        <v>159</v>
      </c>
      <c r="AL648" s="22">
        <v>0.05</v>
      </c>
      <c r="AM648" s="22">
        <v>0.02</v>
      </c>
      <c r="AN648" s="8">
        <v>3</v>
      </c>
      <c r="AO648" s="8">
        <v>154</v>
      </c>
      <c r="AP648" s="8">
        <v>768002.7</v>
      </c>
      <c r="AQ648" s="24">
        <v>891651.13469999994</v>
      </c>
      <c r="AR648" s="8">
        <v>1477882.8</v>
      </c>
      <c r="AS648" s="37">
        <v>1715821.9308000002</v>
      </c>
      <c r="AT648" s="8" t="s">
        <v>355</v>
      </c>
      <c r="AU648" s="8" t="s">
        <v>356</v>
      </c>
      <c r="AV648" s="8">
        <v>53</v>
      </c>
      <c r="AW648" s="8">
        <v>60</v>
      </c>
      <c r="AX648" s="8" t="s">
        <v>392</v>
      </c>
      <c r="AY648" s="8" t="s">
        <v>192</v>
      </c>
      <c r="AZ648" s="8" t="s">
        <v>361</v>
      </c>
      <c r="BA648" s="21">
        <f>IF(OR(tblsales[[#This Row],[Invoice Value USD]]="",tblsales[[#This Row],[Collected Amount USD]]=""),"",tblsales[[#This Row],[Invoice Value USD]]-tblsales[[#This Row],[Collected Amount USD]])</f>
        <v>347679.15525000007</v>
      </c>
      <c r="BB648" s="21">
        <f>IF(OR(tblsales[[#This Row],[Contract Value USD]]="",tblsales[[#This Row],[Cost Estimate USD]]=""),"",tblsales[[#This Row],[Contract Value USD]]-tblsales[[#This Row],[Cost Estimate USD]])</f>
        <v>2850551.4265199993</v>
      </c>
      <c r="BC648" s="21">
        <f>IF(OR(tblsales[[#This Row],[Contract Value USD]]="",tblsales[[#This Row],[Cost Estimate USD]]=""),"",tblsales[[#This Row],[Contract Value USD]]-tblsales[[#This Row],[Cost Estimate USD]])</f>
        <v>2850551.4265199993</v>
      </c>
      <c r="BD648" s="23">
        <f>IF(tblsales[[#This Row],[Invoice Value USD]]="","",tblsales[[#This Row],[Collected Amount USD]]/tblsales[[#This Row],[Invoice Value USD]])</f>
        <v>0.82159831205627964</v>
      </c>
      <c r="BE648" s="11">
        <f>IF(tblsales[[#This Row],[SalesStage]]="Won",1,0)</f>
        <v>0</v>
      </c>
      <c r="BF648" s="21" t="str">
        <f>IF(tblsales[[#This Row],[Win Flag]]=1,"Won","Lost")</f>
        <v>Lost</v>
      </c>
      <c r="BG648" s="8"/>
    </row>
    <row r="649" spans="1:59" x14ac:dyDescent="0.3">
      <c r="A649" s="10" t="s">
        <v>2245</v>
      </c>
      <c r="B649" s="9">
        <v>45696</v>
      </c>
      <c r="C649" s="10" t="s">
        <v>260</v>
      </c>
      <c r="D649" s="10" t="s">
        <v>265</v>
      </c>
      <c r="E649" s="10" t="s">
        <v>113</v>
      </c>
      <c r="F649" s="10" t="s">
        <v>181</v>
      </c>
      <c r="G649" s="10" t="s">
        <v>80</v>
      </c>
      <c r="H649" s="10" t="s">
        <v>216</v>
      </c>
      <c r="I649" s="10" t="s">
        <v>240</v>
      </c>
      <c r="J649" s="10" t="s">
        <v>127</v>
      </c>
      <c r="K649" s="10" t="s">
        <v>223</v>
      </c>
      <c r="L649" s="10" t="s">
        <v>2246</v>
      </c>
      <c r="M649" s="9">
        <v>45858</v>
      </c>
      <c r="N649" s="9"/>
      <c r="O649" s="9">
        <v>45945</v>
      </c>
      <c r="P649" s="11">
        <v>30</v>
      </c>
      <c r="Q649" s="12">
        <v>26296054</v>
      </c>
      <c r="R649">
        <v>7160415.5041999994</v>
      </c>
      <c r="S649" s="22">
        <v>0.22</v>
      </c>
      <c r="T649" s="22">
        <v>0.09</v>
      </c>
      <c r="U649" s="12">
        <v>22356905.109999999</v>
      </c>
      <c r="V649" s="24">
        <v>6087785.2614529999</v>
      </c>
      <c r="W649" s="8">
        <v>15108225.23</v>
      </c>
      <c r="X649" s="24">
        <v>4113969.7301289998</v>
      </c>
      <c r="Y649" s="22">
        <v>0.38</v>
      </c>
      <c r="Z649" s="22">
        <v>0.15</v>
      </c>
      <c r="AA649" s="8" t="s">
        <v>2247</v>
      </c>
      <c r="AB649" s="8">
        <v>6588730.0099999998</v>
      </c>
      <c r="AC649" s="24">
        <v>1794111.1817229998</v>
      </c>
      <c r="AD649" s="8">
        <v>7177768.8899999997</v>
      </c>
      <c r="AE649" s="24">
        <v>1954506.4687469997</v>
      </c>
      <c r="AF649" s="8">
        <v>45</v>
      </c>
      <c r="AG649" s="8">
        <v>38</v>
      </c>
      <c r="AH649" s="8" t="s">
        <v>353</v>
      </c>
      <c r="AI649" s="8" t="s">
        <v>226</v>
      </c>
      <c r="AJ649" s="22">
        <v>0.9</v>
      </c>
      <c r="AK649" s="8" t="s">
        <v>153</v>
      </c>
      <c r="AL649" s="22">
        <v>0.1</v>
      </c>
      <c r="AM649" s="22">
        <v>0.04</v>
      </c>
      <c r="AN649" s="8">
        <v>5</v>
      </c>
      <c r="AO649" s="8">
        <v>2933</v>
      </c>
      <c r="AP649" s="8">
        <v>4614174.88</v>
      </c>
      <c r="AQ649" s="24">
        <v>1256439.8198239999</v>
      </c>
      <c r="AR649" s="8">
        <v>10455074.25</v>
      </c>
      <c r="AS649" s="37">
        <v>2846916.7182749999</v>
      </c>
      <c r="AT649" s="8" t="s">
        <v>73</v>
      </c>
      <c r="AU649" s="8" t="s">
        <v>332</v>
      </c>
      <c r="AV649" s="8">
        <v>88.2</v>
      </c>
      <c r="AW649" s="8">
        <v>24</v>
      </c>
      <c r="AX649" s="8" t="s">
        <v>392</v>
      </c>
      <c r="AY649" s="8" t="s">
        <v>224</v>
      </c>
      <c r="AZ649" s="8" t="s">
        <v>357</v>
      </c>
      <c r="BA649" s="21">
        <f>IF(OR(tblsales[[#This Row],[Invoice Value USD]]="",tblsales[[#This Row],[Collected Amount USD]]=""),"",tblsales[[#This Row],[Invoice Value USD]]-tblsales[[#This Row],[Collected Amount USD]])</f>
        <v>-160395.28702399996</v>
      </c>
      <c r="BB649" s="21">
        <f>IF(OR(tblsales[[#This Row],[Contract Value USD]]="",tblsales[[#This Row],[Cost Estimate USD]]=""),"",tblsales[[#This Row],[Contract Value USD]]-tblsales[[#This Row],[Cost Estimate USD]])</f>
        <v>1973815.5313240001</v>
      </c>
      <c r="BC649" s="21">
        <f>IF(OR(tblsales[[#This Row],[Contract Value USD]]="",tblsales[[#This Row],[Cost Estimate USD]]=""),"",tblsales[[#This Row],[Contract Value USD]]-tblsales[[#This Row],[Cost Estimate USD]])</f>
        <v>1973815.5313240001</v>
      </c>
      <c r="BD649" s="23">
        <f>IF(tblsales[[#This Row],[Invoice Value USD]]="","",tblsales[[#This Row],[Collected Amount USD]]/tblsales[[#This Row],[Invoice Value USD]])</f>
        <v>1.0894009739518831</v>
      </c>
      <c r="BE649" s="11">
        <f>IF(tblsales[[#This Row],[SalesStage]]="Won",1,0)</f>
        <v>0</v>
      </c>
      <c r="BF649" s="21" t="str">
        <f>IF(tblsales[[#This Row],[Win Flag]]=1,"Won","Lost")</f>
        <v>Lost</v>
      </c>
      <c r="BG649" s="8"/>
    </row>
    <row r="650" spans="1:59" x14ac:dyDescent="0.3">
      <c r="A650" s="10" t="s">
        <v>2248</v>
      </c>
      <c r="B650" s="9">
        <v>45917</v>
      </c>
      <c r="C650" s="10" t="s">
        <v>195</v>
      </c>
      <c r="D650" s="10" t="s">
        <v>215</v>
      </c>
      <c r="E650" s="10" t="s">
        <v>332</v>
      </c>
      <c r="F650" s="10" t="s">
        <v>228</v>
      </c>
      <c r="G650" s="10" t="s">
        <v>50</v>
      </c>
      <c r="H650" s="10" t="s">
        <v>236</v>
      </c>
      <c r="I650" s="10" t="s">
        <v>198</v>
      </c>
      <c r="J650" s="10" t="s">
        <v>99</v>
      </c>
      <c r="K650" s="10" t="s">
        <v>199</v>
      </c>
      <c r="L650" s="10" t="s">
        <v>2249</v>
      </c>
      <c r="M650" s="9">
        <v>45831</v>
      </c>
      <c r="N650" s="9"/>
      <c r="O650" s="9">
        <v>45977</v>
      </c>
      <c r="P650" s="11">
        <v>47</v>
      </c>
      <c r="Q650" s="12">
        <v>45261831</v>
      </c>
      <c r="R650">
        <v>45261831</v>
      </c>
      <c r="S650" s="22">
        <v>0.32</v>
      </c>
      <c r="T650" s="22">
        <v>-0.03</v>
      </c>
      <c r="U650" s="12">
        <v>29854703.73</v>
      </c>
      <c r="V650" s="24">
        <v>29854703.73</v>
      </c>
      <c r="W650" s="8">
        <v>21185268.66</v>
      </c>
      <c r="X650" s="24">
        <v>21185268.66</v>
      </c>
      <c r="Y650" s="22">
        <v>0.11</v>
      </c>
      <c r="Z650" s="22">
        <v>0.09</v>
      </c>
      <c r="AA650" s="8" t="s">
        <v>2250</v>
      </c>
      <c r="AB650" s="8">
        <v>21442174.609999999</v>
      </c>
      <c r="AC650" s="24">
        <v>21442174.609999999</v>
      </c>
      <c r="AD650" s="8">
        <v>9537438.1500000004</v>
      </c>
      <c r="AE650" s="24">
        <v>9537438.1500000004</v>
      </c>
      <c r="AF650" s="8">
        <v>120</v>
      </c>
      <c r="AG650" s="8">
        <v>151</v>
      </c>
      <c r="AH650" s="8" t="s">
        <v>342</v>
      </c>
      <c r="AI650" s="8" t="s">
        <v>320</v>
      </c>
      <c r="AJ650" s="22">
        <v>0.86</v>
      </c>
      <c r="AK650" s="8" t="s">
        <v>152</v>
      </c>
      <c r="AL650" s="22">
        <v>0.15</v>
      </c>
      <c r="AM650" s="22">
        <v>0.04</v>
      </c>
      <c r="AN650" s="8">
        <v>3</v>
      </c>
      <c r="AO650" s="8">
        <v>2317</v>
      </c>
      <c r="AP650" s="8">
        <v>5806650.46</v>
      </c>
      <c r="AQ650" s="24">
        <v>5806650.46</v>
      </c>
      <c r="AR650" s="8">
        <v>14603855.84</v>
      </c>
      <c r="AS650" s="37">
        <v>14603855.84</v>
      </c>
      <c r="AT650" s="8" t="s">
        <v>343</v>
      </c>
      <c r="AU650" s="8" t="s">
        <v>330</v>
      </c>
      <c r="AV650" s="8">
        <v>89.4</v>
      </c>
      <c r="AW650" s="8">
        <v>24</v>
      </c>
      <c r="AX650" s="8" t="s">
        <v>337</v>
      </c>
      <c r="AY650" s="8" t="s">
        <v>206</v>
      </c>
      <c r="AZ650" s="8" t="s">
        <v>357</v>
      </c>
      <c r="BA650" s="21">
        <f>IF(OR(tblsales[[#This Row],[Invoice Value USD]]="",tblsales[[#This Row],[Collected Amount USD]]=""),"",tblsales[[#This Row],[Invoice Value USD]]-tblsales[[#This Row],[Collected Amount USD]])</f>
        <v>11904736.459999999</v>
      </c>
      <c r="BB650" s="21">
        <f>IF(OR(tblsales[[#This Row],[Contract Value USD]]="",tblsales[[#This Row],[Cost Estimate USD]]=""),"",tblsales[[#This Row],[Contract Value USD]]-tblsales[[#This Row],[Cost Estimate USD]])</f>
        <v>8669435.0700000003</v>
      </c>
      <c r="BC650" s="21">
        <f>IF(OR(tblsales[[#This Row],[Contract Value USD]]="",tblsales[[#This Row],[Cost Estimate USD]]=""),"",tblsales[[#This Row],[Contract Value USD]]-tblsales[[#This Row],[Cost Estimate USD]])</f>
        <v>8669435.0700000003</v>
      </c>
      <c r="BD650" s="23">
        <f>IF(tblsales[[#This Row],[Invoice Value USD]]="","",tblsales[[#This Row],[Collected Amount USD]]/tblsales[[#This Row],[Invoice Value USD]])</f>
        <v>0.44479808244598568</v>
      </c>
      <c r="BE650" s="11">
        <f>IF(tblsales[[#This Row],[SalesStage]]="Won",1,0)</f>
        <v>1</v>
      </c>
      <c r="BF650" s="21" t="str">
        <f>IF(tblsales[[#This Row],[Win Flag]]=1,"Won","Lost")</f>
        <v>Won</v>
      </c>
      <c r="BG650" s="8"/>
    </row>
    <row r="651" spans="1:59" x14ac:dyDescent="0.3">
      <c r="A651" s="10" t="s">
        <v>2251</v>
      </c>
      <c r="B651" s="9">
        <v>45794</v>
      </c>
      <c r="C651" s="10" t="s">
        <v>189</v>
      </c>
      <c r="D651" s="10" t="s">
        <v>215</v>
      </c>
      <c r="E651" s="10" t="s">
        <v>332</v>
      </c>
      <c r="F651" s="10" t="s">
        <v>367</v>
      </c>
      <c r="G651" s="10" t="s">
        <v>57</v>
      </c>
      <c r="H651" s="10" t="s">
        <v>182</v>
      </c>
      <c r="I651" s="10" t="s">
        <v>203</v>
      </c>
      <c r="J651" s="10" t="s">
        <v>99</v>
      </c>
      <c r="K651" s="10" t="s">
        <v>333</v>
      </c>
      <c r="L651" s="10" t="s">
        <v>2252</v>
      </c>
      <c r="M651" s="9">
        <v>45771</v>
      </c>
      <c r="N651" s="9">
        <v>45847</v>
      </c>
      <c r="O651" s="9"/>
      <c r="P651" s="11">
        <v>16</v>
      </c>
      <c r="Q651" s="12">
        <v>10558913</v>
      </c>
      <c r="R651">
        <v>2816062.0970999999</v>
      </c>
      <c r="S651" s="22">
        <v>0.3</v>
      </c>
      <c r="T651" s="22">
        <v>0.09</v>
      </c>
      <c r="U651" s="12">
        <v>8056450.6200000001</v>
      </c>
      <c r="V651" s="24">
        <v>2148655.3803539998</v>
      </c>
      <c r="W651" s="8">
        <v>5245705.13</v>
      </c>
      <c r="X651" s="24">
        <v>1399029.5581709999</v>
      </c>
      <c r="Y651" s="22">
        <v>7.0000000000000007E-2</v>
      </c>
      <c r="Z651" s="22">
        <v>0.09</v>
      </c>
      <c r="AA651" s="8" t="s">
        <v>2253</v>
      </c>
      <c r="AB651" s="8">
        <v>2843186.25</v>
      </c>
      <c r="AC651" s="24">
        <v>758277.77287500002</v>
      </c>
      <c r="AD651" s="8">
        <v>2046059.43</v>
      </c>
      <c r="AE651" s="24">
        <v>545684.04998100002</v>
      </c>
      <c r="AF651" s="8">
        <v>45</v>
      </c>
      <c r="AG651" s="8">
        <v>58</v>
      </c>
      <c r="AH651" s="8" t="s">
        <v>342</v>
      </c>
      <c r="AI651" s="8" t="s">
        <v>354</v>
      </c>
      <c r="AJ651" s="22">
        <v>0.98</v>
      </c>
      <c r="AK651" s="8" t="s">
        <v>162</v>
      </c>
      <c r="AL651" s="22">
        <v>0.15</v>
      </c>
      <c r="AM651" s="22">
        <v>0.05</v>
      </c>
      <c r="AN651" s="8">
        <v>8</v>
      </c>
      <c r="AO651" s="8">
        <v>1032</v>
      </c>
      <c r="AP651" s="8">
        <v>627014.30000000005</v>
      </c>
      <c r="AQ651" s="24">
        <v>167224.71381000002</v>
      </c>
      <c r="AR651" s="8">
        <v>900913.18</v>
      </c>
      <c r="AS651" s="37">
        <v>240273.54510600001</v>
      </c>
      <c r="AT651" s="8" t="s">
        <v>385</v>
      </c>
      <c r="AU651" s="8" t="s">
        <v>386</v>
      </c>
      <c r="AV651" s="8">
        <v>84.5</v>
      </c>
      <c r="AW651" s="8">
        <v>36</v>
      </c>
      <c r="AX651" s="8" t="s">
        <v>332</v>
      </c>
      <c r="AY651" s="8" t="s">
        <v>186</v>
      </c>
      <c r="AZ651" s="8" t="s">
        <v>361</v>
      </c>
      <c r="BA651" s="21">
        <f>IF(OR(tblsales[[#This Row],[Invoice Value USD]]="",tblsales[[#This Row],[Collected Amount USD]]=""),"",tblsales[[#This Row],[Invoice Value USD]]-tblsales[[#This Row],[Collected Amount USD]])</f>
        <v>212593.72289400001</v>
      </c>
      <c r="BB651" s="21">
        <f>IF(OR(tblsales[[#This Row],[Contract Value USD]]="",tblsales[[#This Row],[Cost Estimate USD]]=""),"",tblsales[[#This Row],[Contract Value USD]]-tblsales[[#This Row],[Cost Estimate USD]])</f>
        <v>749625.82218299992</v>
      </c>
      <c r="BC651" s="21">
        <f>IF(OR(tblsales[[#This Row],[Contract Value USD]]="",tblsales[[#This Row],[Cost Estimate USD]]=""),"",tblsales[[#This Row],[Contract Value USD]]-tblsales[[#This Row],[Cost Estimate USD]])</f>
        <v>749625.82218299992</v>
      </c>
      <c r="BD651" s="23">
        <f>IF(tblsales[[#This Row],[Invoice Value USD]]="","",tblsales[[#This Row],[Collected Amount USD]]/tblsales[[#This Row],[Invoice Value USD]])</f>
        <v>0.71963608785741706</v>
      </c>
      <c r="BE651" s="11">
        <f>IF(tblsales[[#This Row],[SalesStage]]="Won",1,0)</f>
        <v>0</v>
      </c>
      <c r="BF651" s="21" t="str">
        <f>IF(tblsales[[#This Row],[Win Flag]]=1,"Won","Lost")</f>
        <v>Lost</v>
      </c>
      <c r="BG651" s="8"/>
    </row>
    <row r="652" spans="1:59" x14ac:dyDescent="0.3">
      <c r="A652" s="10" t="s">
        <v>2254</v>
      </c>
      <c r="B652" s="9">
        <v>46003</v>
      </c>
      <c r="C652" s="10" t="s">
        <v>214</v>
      </c>
      <c r="D652" s="10" t="s">
        <v>332</v>
      </c>
      <c r="E652" s="10" t="s">
        <v>41</v>
      </c>
      <c r="F652" s="10" t="s">
        <v>363</v>
      </c>
      <c r="G652" s="10" t="s">
        <v>73</v>
      </c>
      <c r="H652" s="10" t="s">
        <v>212</v>
      </c>
      <c r="I652" s="10" t="s">
        <v>332</v>
      </c>
      <c r="J652" s="10" t="s">
        <v>130</v>
      </c>
      <c r="K652" s="10" t="s">
        <v>223</v>
      </c>
      <c r="L652" s="10" t="s">
        <v>2255</v>
      </c>
      <c r="M652" s="9">
        <v>45977</v>
      </c>
      <c r="N652" s="9"/>
      <c r="O652" s="9">
        <v>46064</v>
      </c>
      <c r="P652" s="11">
        <v>4</v>
      </c>
      <c r="Q652" s="12">
        <v>32866135</v>
      </c>
      <c r="R652">
        <v>38157582.734999999</v>
      </c>
      <c r="S652" s="22">
        <v>0.27</v>
      </c>
      <c r="T652" s="22">
        <v>7.0000000000000007E-2</v>
      </c>
      <c r="U652" s="12">
        <v>25671738.050000001</v>
      </c>
      <c r="V652" s="24">
        <v>29804887.876050003</v>
      </c>
      <c r="W652" s="8">
        <v>20083260.579999998</v>
      </c>
      <c r="X652" s="24">
        <v>23316665.533379998</v>
      </c>
      <c r="Y652" s="22">
        <v>0.22</v>
      </c>
      <c r="Z652" s="22">
        <v>0.12</v>
      </c>
      <c r="AA652" s="8" t="s">
        <v>2256</v>
      </c>
      <c r="AB652" s="8">
        <v>18319944.469999999</v>
      </c>
      <c r="AC652" s="24">
        <v>21269455.52967</v>
      </c>
      <c r="AD652" s="8">
        <v>14273076.220000001</v>
      </c>
      <c r="AE652" s="24">
        <v>16571041.491420001</v>
      </c>
      <c r="AF652" s="8">
        <v>90</v>
      </c>
      <c r="AG652" s="8">
        <v>97</v>
      </c>
      <c r="AH652" s="8" t="s">
        <v>353</v>
      </c>
      <c r="AI652" s="8" t="s">
        <v>406</v>
      </c>
      <c r="AJ652" s="22">
        <v>0.94</v>
      </c>
      <c r="AK652" s="8" t="s">
        <v>159</v>
      </c>
      <c r="AL652" s="22">
        <v>0.1</v>
      </c>
      <c r="AM652" s="22">
        <v>0.02</v>
      </c>
      <c r="AN652" s="8">
        <v>12</v>
      </c>
      <c r="AO652" s="8">
        <v>1787</v>
      </c>
      <c r="AP652" s="8">
        <v>1095896.79</v>
      </c>
      <c r="AQ652" s="24">
        <v>1272336.17319</v>
      </c>
      <c r="AR652" s="8">
        <v>7392232.0999999996</v>
      </c>
      <c r="AS652" s="37">
        <v>8582381.4681000002</v>
      </c>
      <c r="AT652" s="8" t="s">
        <v>73</v>
      </c>
      <c r="AU652" s="8" t="s">
        <v>322</v>
      </c>
      <c r="AV652" s="8">
        <v>71.5</v>
      </c>
      <c r="AW652" s="8"/>
      <c r="AX652" s="8" t="s">
        <v>332</v>
      </c>
      <c r="AY652" s="8" t="s">
        <v>224</v>
      </c>
      <c r="AZ652" s="8" t="s">
        <v>332</v>
      </c>
      <c r="BA652" s="21">
        <f>IF(OR(tblsales[[#This Row],[Invoice Value USD]]="",tblsales[[#This Row],[Collected Amount USD]]=""),"",tblsales[[#This Row],[Invoice Value USD]]-tblsales[[#This Row],[Collected Amount USD]])</f>
        <v>4698414.0382499993</v>
      </c>
      <c r="BB652" s="21">
        <f>IF(OR(tblsales[[#This Row],[Contract Value USD]]="",tblsales[[#This Row],[Cost Estimate USD]]=""),"",tblsales[[#This Row],[Contract Value USD]]-tblsales[[#This Row],[Cost Estimate USD]])</f>
        <v>6488222.3426700048</v>
      </c>
      <c r="BC652" s="21">
        <f>IF(OR(tblsales[[#This Row],[Contract Value USD]]="",tblsales[[#This Row],[Cost Estimate USD]]=""),"",tblsales[[#This Row],[Contract Value USD]]-tblsales[[#This Row],[Cost Estimate USD]])</f>
        <v>6488222.3426700048</v>
      </c>
      <c r="BD652" s="23">
        <f>IF(tblsales[[#This Row],[Invoice Value USD]]="","",tblsales[[#This Row],[Collected Amount USD]]/tblsales[[#This Row],[Invoice Value USD]])</f>
        <v>0.77910040848502637</v>
      </c>
      <c r="BE652" s="11">
        <f>IF(tblsales[[#This Row],[SalesStage]]="Won",1,0)</f>
        <v>0</v>
      </c>
      <c r="BF652" s="21" t="str">
        <f>IF(tblsales[[#This Row],[Win Flag]]=1,"Won","Lost")</f>
        <v>Lost</v>
      </c>
      <c r="BG652" s="8"/>
    </row>
    <row r="653" spans="1:59" x14ac:dyDescent="0.3">
      <c r="A653" s="10" t="s">
        <v>2257</v>
      </c>
      <c r="B653" s="9">
        <v>45907</v>
      </c>
      <c r="C653" s="10" t="s">
        <v>230</v>
      </c>
      <c r="D653" s="10" t="s">
        <v>190</v>
      </c>
      <c r="E653" s="10" t="s">
        <v>113</v>
      </c>
      <c r="F653" s="10" t="s">
        <v>367</v>
      </c>
      <c r="G653" s="10" t="s">
        <v>28</v>
      </c>
      <c r="H653" s="10" t="s">
        <v>332</v>
      </c>
      <c r="I653" s="10" t="s">
        <v>183</v>
      </c>
      <c r="J653" s="10" t="s">
        <v>127</v>
      </c>
      <c r="K653" s="10" t="s">
        <v>184</v>
      </c>
      <c r="L653" s="10" t="s">
        <v>2258</v>
      </c>
      <c r="M653" s="9">
        <v>45886</v>
      </c>
      <c r="N653" s="9"/>
      <c r="O653" s="9">
        <v>45881</v>
      </c>
      <c r="P653" s="11">
        <v>24</v>
      </c>
      <c r="Q653" s="12">
        <v>26068701</v>
      </c>
      <c r="R653">
        <v>26068701</v>
      </c>
      <c r="S653" s="22">
        <v>0.31</v>
      </c>
      <c r="T653" s="22">
        <v>-0.01</v>
      </c>
      <c r="U653" s="12">
        <v>17807529.649999999</v>
      </c>
      <c r="V653" s="24">
        <v>17807529.649999999</v>
      </c>
      <c r="W653" s="8">
        <v>13299255.09</v>
      </c>
      <c r="X653" s="24">
        <v>13299255.09</v>
      </c>
      <c r="Y653" s="22">
        <v>0.28000000000000003</v>
      </c>
      <c r="Z653" s="22">
        <v>0.18</v>
      </c>
      <c r="AA653" s="8" t="s">
        <v>2259</v>
      </c>
      <c r="AB653" s="8">
        <v>13453045.26</v>
      </c>
      <c r="AC653" s="24">
        <v>13453045.26</v>
      </c>
      <c r="AD653" s="8">
        <v>14225916.289999999</v>
      </c>
      <c r="AE653" s="24">
        <v>14225916.289999999</v>
      </c>
      <c r="AF653" s="8">
        <v>45</v>
      </c>
      <c r="AG653" s="8">
        <v>157</v>
      </c>
      <c r="AH653" s="8" t="s">
        <v>376</v>
      </c>
      <c r="AI653" s="8" t="s">
        <v>455</v>
      </c>
      <c r="AJ653" s="22">
        <v>0.26</v>
      </c>
      <c r="AK653" s="8" t="s">
        <v>152</v>
      </c>
      <c r="AL653" s="22">
        <v>0.05</v>
      </c>
      <c r="AM653" s="22">
        <v>0.1</v>
      </c>
      <c r="AN653" s="8">
        <v>11</v>
      </c>
      <c r="AO653" s="8">
        <v>3768</v>
      </c>
      <c r="AP653" s="8">
        <v>2826510.27</v>
      </c>
      <c r="AQ653" s="24">
        <v>2826510.27</v>
      </c>
      <c r="AR653" s="8">
        <v>7421157.2699999996</v>
      </c>
      <c r="AS653" s="37">
        <v>7421157.2699999996</v>
      </c>
      <c r="AT653" s="8" t="s">
        <v>73</v>
      </c>
      <c r="AU653" s="8" t="s">
        <v>321</v>
      </c>
      <c r="AV653" s="8">
        <v>79.400000000000006</v>
      </c>
      <c r="AW653" s="8">
        <v>36</v>
      </c>
      <c r="AX653" s="8" t="s">
        <v>392</v>
      </c>
      <c r="AY653" s="8" t="s">
        <v>192</v>
      </c>
      <c r="AZ653" s="8" t="s">
        <v>324</v>
      </c>
      <c r="BA653" s="21">
        <f>IF(OR(tblsales[[#This Row],[Invoice Value USD]]="",tblsales[[#This Row],[Collected Amount USD]]=""),"",tblsales[[#This Row],[Invoice Value USD]]-tblsales[[#This Row],[Collected Amount USD]])</f>
        <v>-772871.02999999933</v>
      </c>
      <c r="BB653" s="21">
        <f>IF(OR(tblsales[[#This Row],[Contract Value USD]]="",tblsales[[#This Row],[Cost Estimate USD]]=""),"",tblsales[[#This Row],[Contract Value USD]]-tblsales[[#This Row],[Cost Estimate USD]])</f>
        <v>4508274.5599999987</v>
      </c>
      <c r="BC653" s="21">
        <f>IF(OR(tblsales[[#This Row],[Contract Value USD]]="",tblsales[[#This Row],[Cost Estimate USD]]=""),"",tblsales[[#This Row],[Contract Value USD]]-tblsales[[#This Row],[Cost Estimate USD]])</f>
        <v>4508274.5599999987</v>
      </c>
      <c r="BD653" s="23">
        <f>IF(tblsales[[#This Row],[Invoice Value USD]]="","",tblsales[[#This Row],[Collected Amount USD]]/tblsales[[#This Row],[Invoice Value USD]])</f>
        <v>1.0574495227707277</v>
      </c>
      <c r="BE653" s="11">
        <f>IF(tblsales[[#This Row],[SalesStage]]="Won",1,0)</f>
        <v>0</v>
      </c>
      <c r="BF653" s="21" t="str">
        <f>IF(tblsales[[#This Row],[Win Flag]]=1,"Won","Lost")</f>
        <v>Lost</v>
      </c>
      <c r="BG653" s="8"/>
    </row>
    <row r="654" spans="1:59" x14ac:dyDescent="0.3">
      <c r="A654" s="10" t="s">
        <v>2260</v>
      </c>
      <c r="B654" s="9">
        <v>45997</v>
      </c>
      <c r="C654" s="10" t="s">
        <v>275</v>
      </c>
      <c r="D654" s="10" t="s">
        <v>250</v>
      </c>
      <c r="E654" s="10" t="s">
        <v>41</v>
      </c>
      <c r="F654" s="10" t="s">
        <v>363</v>
      </c>
      <c r="G654" s="10" t="s">
        <v>16</v>
      </c>
      <c r="H654" s="10" t="s">
        <v>212</v>
      </c>
      <c r="I654" s="10" t="s">
        <v>240</v>
      </c>
      <c r="J654" s="10" t="s">
        <v>105</v>
      </c>
      <c r="K654" s="10" t="s">
        <v>210</v>
      </c>
      <c r="L654" s="10" t="s">
        <v>2261</v>
      </c>
      <c r="M654" s="9">
        <v>45923</v>
      </c>
      <c r="N654" s="9">
        <v>46048</v>
      </c>
      <c r="O654" s="9">
        <v>46081</v>
      </c>
      <c r="P654" s="11">
        <v>35</v>
      </c>
      <c r="Q654" s="12">
        <v>13660066</v>
      </c>
      <c r="R654">
        <v>13660066</v>
      </c>
      <c r="S654" s="22">
        <v>0.27</v>
      </c>
      <c r="T654" s="22">
        <v>0.01</v>
      </c>
      <c r="U654" s="12">
        <v>10071566.66</v>
      </c>
      <c r="V654" s="24">
        <v>10071566.66</v>
      </c>
      <c r="W654" s="8">
        <v>6742710.1200000001</v>
      </c>
      <c r="X654" s="24">
        <v>6742710.1200000001</v>
      </c>
      <c r="Y654" s="22">
        <v>0.32</v>
      </c>
      <c r="Z654" s="22">
        <v>7.0000000000000007E-2</v>
      </c>
      <c r="AA654" s="8" t="s">
        <v>2262</v>
      </c>
      <c r="AB654" s="8">
        <v>3440997.21</v>
      </c>
      <c r="AC654" s="24">
        <v>3440997.21</v>
      </c>
      <c r="AD654" s="8">
        <v>1598257.73</v>
      </c>
      <c r="AE654" s="24">
        <v>1598257.73</v>
      </c>
      <c r="AF654" s="8">
        <v>90</v>
      </c>
      <c r="AG654" s="8">
        <v>139</v>
      </c>
      <c r="AH654" s="8" t="s">
        <v>376</v>
      </c>
      <c r="AI654" s="8" t="s">
        <v>226</v>
      </c>
      <c r="AJ654" s="22">
        <v>0.9</v>
      </c>
      <c r="AK654" s="8" t="s">
        <v>152</v>
      </c>
      <c r="AL654" s="22">
        <v>0.15</v>
      </c>
      <c r="AM654" s="22">
        <v>0.06</v>
      </c>
      <c r="AN654" s="8">
        <v>1</v>
      </c>
      <c r="AO654" s="8">
        <v>914</v>
      </c>
      <c r="AP654" s="8">
        <v>1093349.94</v>
      </c>
      <c r="AQ654" s="24">
        <v>1093349.94</v>
      </c>
      <c r="AR654" s="8">
        <v>3803986.26</v>
      </c>
      <c r="AS654" s="37">
        <v>3803986.26</v>
      </c>
      <c r="AT654" s="8" t="s">
        <v>391</v>
      </c>
      <c r="AU654" s="8" t="s">
        <v>386</v>
      </c>
      <c r="AV654" s="8">
        <v>66.599999999999994</v>
      </c>
      <c r="AW654" s="8">
        <v>12</v>
      </c>
      <c r="AX654" s="8" t="s">
        <v>323</v>
      </c>
      <c r="AY654" s="8" t="s">
        <v>206</v>
      </c>
      <c r="AZ654" s="8" t="s">
        <v>357</v>
      </c>
      <c r="BA654" s="21">
        <f>IF(OR(tblsales[[#This Row],[Invoice Value USD]]="",tblsales[[#This Row],[Collected Amount USD]]=""),"",tblsales[[#This Row],[Invoice Value USD]]-tblsales[[#This Row],[Collected Amount USD]])</f>
        <v>1842739.48</v>
      </c>
      <c r="BB654" s="21">
        <f>IF(OR(tblsales[[#This Row],[Contract Value USD]]="",tblsales[[#This Row],[Cost Estimate USD]]=""),"",tblsales[[#This Row],[Contract Value USD]]-tblsales[[#This Row],[Cost Estimate USD]])</f>
        <v>3328856.54</v>
      </c>
      <c r="BC654" s="21">
        <f>IF(OR(tblsales[[#This Row],[Contract Value USD]]="",tblsales[[#This Row],[Cost Estimate USD]]=""),"",tblsales[[#This Row],[Contract Value USD]]-tblsales[[#This Row],[Cost Estimate USD]])</f>
        <v>3328856.54</v>
      </c>
      <c r="BD654" s="23">
        <f>IF(tblsales[[#This Row],[Invoice Value USD]]="","",tblsales[[#This Row],[Collected Amount USD]]/tblsales[[#This Row],[Invoice Value USD]])</f>
        <v>0.46447516009465173</v>
      </c>
      <c r="BE654" s="11">
        <f>IF(tblsales[[#This Row],[SalesStage]]="Won",1,0)</f>
        <v>0</v>
      </c>
      <c r="BF654" s="21" t="str">
        <f>IF(tblsales[[#This Row],[Win Flag]]=1,"Won","Lost")</f>
        <v>Lost</v>
      </c>
      <c r="BG654" s="8"/>
    </row>
    <row r="655" spans="1:59" x14ac:dyDescent="0.3">
      <c r="A655" s="10" t="s">
        <v>2263</v>
      </c>
      <c r="B655" s="9">
        <v>45977</v>
      </c>
      <c r="C655" s="10" t="s">
        <v>201</v>
      </c>
      <c r="D655" s="10" t="s">
        <v>274</v>
      </c>
      <c r="E655" s="10" t="s">
        <v>36</v>
      </c>
      <c r="F655" s="10" t="s">
        <v>19</v>
      </c>
      <c r="G655" s="10" t="s">
        <v>23</v>
      </c>
      <c r="H655" s="10" t="s">
        <v>332</v>
      </c>
      <c r="I655" s="10" t="s">
        <v>183</v>
      </c>
      <c r="J655" s="10" t="s">
        <v>115</v>
      </c>
      <c r="K655" s="10" t="s">
        <v>223</v>
      </c>
      <c r="L655" s="10" t="s">
        <v>2264</v>
      </c>
      <c r="M655" s="9">
        <v>45920</v>
      </c>
      <c r="N655" s="9" t="s">
        <v>2265</v>
      </c>
      <c r="O655" s="9">
        <v>46267</v>
      </c>
      <c r="P655" s="11">
        <v>48</v>
      </c>
      <c r="Q655" s="12">
        <v>43239476</v>
      </c>
      <c r="R655">
        <v>11774109.3148</v>
      </c>
      <c r="S655" s="22">
        <v>0.3</v>
      </c>
      <c r="T655" s="22">
        <v>0.08</v>
      </c>
      <c r="U655" s="12">
        <v>32689043.859999999</v>
      </c>
      <c r="V655" s="24">
        <v>8901226.6430779994</v>
      </c>
      <c r="W655" s="8">
        <v>20549752.629999999</v>
      </c>
      <c r="X655" s="24">
        <v>5595697.6411489993</v>
      </c>
      <c r="Y655" s="22">
        <v>0.05</v>
      </c>
      <c r="Z655" s="22">
        <v>0.06</v>
      </c>
      <c r="AA655" s="8" t="s">
        <v>2266</v>
      </c>
      <c r="AB655" s="8">
        <v>26969336.539999999</v>
      </c>
      <c r="AC655" s="24">
        <v>7343750.3398419991</v>
      </c>
      <c r="AD655" s="8">
        <v>11642228.689999999</v>
      </c>
      <c r="AE655" s="24">
        <v>3170178.8722869996</v>
      </c>
      <c r="AF655" s="8">
        <v>120</v>
      </c>
      <c r="AG655" s="8">
        <v>173</v>
      </c>
      <c r="AH655" s="8" t="s">
        <v>376</v>
      </c>
      <c r="AI655" s="8" t="s">
        <v>336</v>
      </c>
      <c r="AJ655" s="22">
        <v>0.6</v>
      </c>
      <c r="AK655" s="8" t="s">
        <v>153</v>
      </c>
      <c r="AL655" s="22">
        <v>0.15</v>
      </c>
      <c r="AM655" s="22">
        <v>0.09</v>
      </c>
      <c r="AN655" s="8">
        <v>0</v>
      </c>
      <c r="AO655" s="8">
        <v>1017</v>
      </c>
      <c r="AP655" s="8"/>
      <c r="AQ655" s="24"/>
      <c r="AR655" s="8">
        <v>15939064.23</v>
      </c>
      <c r="AS655" s="37">
        <v>4340207.1898290003</v>
      </c>
      <c r="AT655" s="8" t="s">
        <v>321</v>
      </c>
      <c r="AU655" s="8" t="s">
        <v>356</v>
      </c>
      <c r="AV655" s="8">
        <v>89.2</v>
      </c>
      <c r="AW655" s="8"/>
      <c r="AX655" s="8" t="s">
        <v>387</v>
      </c>
      <c r="AY655" s="8" t="s">
        <v>206</v>
      </c>
      <c r="AZ655" s="8" t="s">
        <v>324</v>
      </c>
      <c r="BA655" s="21">
        <f>IF(OR(tblsales[[#This Row],[Invoice Value USD]]="",tblsales[[#This Row],[Collected Amount USD]]=""),"",tblsales[[#This Row],[Invoice Value USD]]-tblsales[[#This Row],[Collected Amount USD]])</f>
        <v>4173571.4675549995</v>
      </c>
      <c r="BB655" s="21">
        <f>IF(OR(tblsales[[#This Row],[Contract Value USD]]="",tblsales[[#This Row],[Cost Estimate USD]]=""),"",tblsales[[#This Row],[Contract Value USD]]-tblsales[[#This Row],[Cost Estimate USD]])</f>
        <v>3305529.001929</v>
      </c>
      <c r="BC655" s="21">
        <f>IF(OR(tblsales[[#This Row],[Contract Value USD]]="",tblsales[[#This Row],[Cost Estimate USD]]=""),"",tblsales[[#This Row],[Contract Value USD]]-tblsales[[#This Row],[Cost Estimate USD]])</f>
        <v>3305529.001929</v>
      </c>
      <c r="BD655" s="23">
        <f>IF(tblsales[[#This Row],[Invoice Value USD]]="","",tblsales[[#This Row],[Collected Amount USD]]/tblsales[[#This Row],[Invoice Value USD]])</f>
        <v>0.43168391156870484</v>
      </c>
      <c r="BE655" s="11">
        <f>IF(tblsales[[#This Row],[SalesStage]]="Won",1,0)</f>
        <v>0</v>
      </c>
      <c r="BF655" s="21" t="str">
        <f>IF(tblsales[[#This Row],[Win Flag]]=1,"Won","Lost")</f>
        <v>Lost</v>
      </c>
      <c r="BG655" s="8"/>
    </row>
    <row r="656" spans="1:59" x14ac:dyDescent="0.3">
      <c r="A656" s="10" t="s">
        <v>2267</v>
      </c>
      <c r="B656" s="9">
        <v>45915</v>
      </c>
      <c r="C656" s="10" t="s">
        <v>275</v>
      </c>
      <c r="D656" s="10" t="s">
        <v>248</v>
      </c>
      <c r="E656" s="10" t="s">
        <v>332</v>
      </c>
      <c r="F656" s="10" t="s">
        <v>363</v>
      </c>
      <c r="G656" s="10" t="s">
        <v>73</v>
      </c>
      <c r="H656" s="10" t="s">
        <v>212</v>
      </c>
      <c r="I656" s="10" t="s">
        <v>203</v>
      </c>
      <c r="J656" s="10" t="s">
        <v>99</v>
      </c>
      <c r="K656" s="10" t="s">
        <v>333</v>
      </c>
      <c r="L656" s="10" t="s">
        <v>2268</v>
      </c>
      <c r="M656" s="9">
        <v>45834</v>
      </c>
      <c r="N656" s="9">
        <v>45945</v>
      </c>
      <c r="O656" s="9">
        <v>46034</v>
      </c>
      <c r="P656" s="11">
        <v>40</v>
      </c>
      <c r="Q656" s="12">
        <v>44607487</v>
      </c>
      <c r="R656">
        <v>12146618.710099999</v>
      </c>
      <c r="S656" s="22">
        <v>0.32</v>
      </c>
      <c r="T656" s="22">
        <v>0.14000000000000001</v>
      </c>
      <c r="U656" s="12">
        <v>34579723.920000002</v>
      </c>
      <c r="V656" s="24">
        <v>9416058.8234160002</v>
      </c>
      <c r="W656" s="8">
        <v>22230009.809999999</v>
      </c>
      <c r="X656" s="24">
        <v>6053231.6712629991</v>
      </c>
      <c r="Y656" s="22">
        <v>0.26</v>
      </c>
      <c r="Z656" s="22">
        <v>0.17</v>
      </c>
      <c r="AA656" s="8" t="s">
        <v>2269</v>
      </c>
      <c r="AB656" s="8">
        <v>10708596.289999999</v>
      </c>
      <c r="AC656" s="24">
        <v>2915950.7697669994</v>
      </c>
      <c r="AD656" s="8">
        <v>7097247.4100000001</v>
      </c>
      <c r="AE656" s="24">
        <v>1932580.4697429999</v>
      </c>
      <c r="AF656" s="8">
        <v>45</v>
      </c>
      <c r="AG656" s="8">
        <v>69</v>
      </c>
      <c r="AH656" s="8" t="s">
        <v>347</v>
      </c>
      <c r="AI656" s="8" t="s">
        <v>455</v>
      </c>
      <c r="AJ656" s="22">
        <v>0.28999999999999998</v>
      </c>
      <c r="AK656" s="8" t="s">
        <v>153</v>
      </c>
      <c r="AL656" s="22">
        <v>0.15</v>
      </c>
      <c r="AM656" s="22">
        <v>7.0000000000000007E-2</v>
      </c>
      <c r="AN656" s="8">
        <v>4</v>
      </c>
      <c r="AO656" s="8">
        <v>26</v>
      </c>
      <c r="AP656" s="8">
        <v>1541156.6</v>
      </c>
      <c r="AQ656" s="24">
        <v>419656.94218000001</v>
      </c>
      <c r="AR656" s="8">
        <v>6561837.3399999999</v>
      </c>
      <c r="AS656" s="37">
        <v>1786788.3076819999</v>
      </c>
      <c r="AT656" s="8" t="s">
        <v>343</v>
      </c>
      <c r="AU656" s="8" t="s">
        <v>356</v>
      </c>
      <c r="AV656" s="8">
        <v>73</v>
      </c>
      <c r="AW656" s="8"/>
      <c r="AX656" s="8" t="s">
        <v>337</v>
      </c>
      <c r="AY656" s="8" t="s">
        <v>186</v>
      </c>
      <c r="AZ656" s="8" t="s">
        <v>377</v>
      </c>
      <c r="BA656" s="21">
        <f>IF(OR(tblsales[[#This Row],[Invoice Value USD]]="",tblsales[[#This Row],[Collected Amount USD]]=""),"",tblsales[[#This Row],[Invoice Value USD]]-tblsales[[#This Row],[Collected Amount USD]])</f>
        <v>983370.30002399953</v>
      </c>
      <c r="BB656" s="21">
        <f>IF(OR(tblsales[[#This Row],[Contract Value USD]]="",tblsales[[#This Row],[Cost Estimate USD]]=""),"",tblsales[[#This Row],[Contract Value USD]]-tblsales[[#This Row],[Cost Estimate USD]])</f>
        <v>3362827.1521530012</v>
      </c>
      <c r="BC656" s="21">
        <f>IF(OR(tblsales[[#This Row],[Contract Value USD]]="",tblsales[[#This Row],[Cost Estimate USD]]=""),"",tblsales[[#This Row],[Contract Value USD]]-tblsales[[#This Row],[Cost Estimate USD]])</f>
        <v>3362827.1521530012</v>
      </c>
      <c r="BD656" s="23">
        <f>IF(tblsales[[#This Row],[Invoice Value USD]]="","",tblsales[[#This Row],[Collected Amount USD]]/tblsales[[#This Row],[Invoice Value USD]])</f>
        <v>0.66276169329752566</v>
      </c>
      <c r="BE656" s="11">
        <f>IF(tblsales[[#This Row],[SalesStage]]="Won",1,0)</f>
        <v>0</v>
      </c>
      <c r="BF656" s="21" t="str">
        <f>IF(tblsales[[#This Row],[Win Flag]]=1,"Won","Lost")</f>
        <v>Lost</v>
      </c>
      <c r="BG656" s="8"/>
    </row>
    <row r="657" spans="1:59" x14ac:dyDescent="0.3">
      <c r="A657" s="10" t="s">
        <v>2270</v>
      </c>
      <c r="B657" s="9">
        <v>45719</v>
      </c>
      <c r="C657" s="10" t="s">
        <v>179</v>
      </c>
      <c r="D657" s="10" t="s">
        <v>215</v>
      </c>
      <c r="E657" s="10" t="s">
        <v>41</v>
      </c>
      <c r="F657" s="10" t="s">
        <v>350</v>
      </c>
      <c r="G657" s="10" t="s">
        <v>70</v>
      </c>
      <c r="H657" s="10" t="s">
        <v>332</v>
      </c>
      <c r="I657" s="10" t="s">
        <v>183</v>
      </c>
      <c r="J657" s="10" t="s">
        <v>130</v>
      </c>
      <c r="K657" s="10" t="s">
        <v>184</v>
      </c>
      <c r="L657" s="10" t="s">
        <v>2271</v>
      </c>
      <c r="M657" s="9">
        <v>45672</v>
      </c>
      <c r="N657" s="9">
        <v>45995</v>
      </c>
      <c r="O657" s="9">
        <v>45801</v>
      </c>
      <c r="P657" s="11">
        <v>58</v>
      </c>
      <c r="Q657" s="12">
        <v>13687415</v>
      </c>
      <c r="R657">
        <v>15891088.815000001</v>
      </c>
      <c r="S657" s="22">
        <v>0.32</v>
      </c>
      <c r="T657" s="22">
        <v>0.05</v>
      </c>
      <c r="U657" s="12">
        <v>9772814.3100000005</v>
      </c>
      <c r="V657" s="24">
        <v>11346237.413910002</v>
      </c>
      <c r="W657" s="8">
        <v>8454932.2200000007</v>
      </c>
      <c r="X657" s="24">
        <v>9816176.3074200004</v>
      </c>
      <c r="Y657" s="22"/>
      <c r="Z657" s="22">
        <v>0.16</v>
      </c>
      <c r="AA657" s="8" t="s">
        <v>2272</v>
      </c>
      <c r="AB657" s="8">
        <v>3785195.93</v>
      </c>
      <c r="AC657" s="24">
        <v>4394612.4747299999</v>
      </c>
      <c r="AD657" s="8">
        <v>2632082.2000000002</v>
      </c>
      <c r="AE657" s="24">
        <v>3055847.4342000005</v>
      </c>
      <c r="AF657" s="8">
        <v>60</v>
      </c>
      <c r="AG657" s="8">
        <v>38</v>
      </c>
      <c r="AH657" s="8" t="s">
        <v>342</v>
      </c>
      <c r="AI657" s="8" t="s">
        <v>381</v>
      </c>
      <c r="AJ657" s="22">
        <v>0.5</v>
      </c>
      <c r="AK657" s="8" t="s">
        <v>159</v>
      </c>
      <c r="AL657" s="22">
        <v>0.05</v>
      </c>
      <c r="AM657" s="22">
        <v>0.05</v>
      </c>
      <c r="AN657" s="8">
        <v>4</v>
      </c>
      <c r="AO657" s="8">
        <v>4190</v>
      </c>
      <c r="AP657" s="8">
        <v>1141775.3400000001</v>
      </c>
      <c r="AQ657" s="24">
        <v>1325601.16974</v>
      </c>
      <c r="AR657" s="8">
        <v>1470263.95</v>
      </c>
      <c r="AS657" s="37">
        <v>1706976.4459500001</v>
      </c>
      <c r="AT657" s="8" t="s">
        <v>73</v>
      </c>
      <c r="AU657" s="8" t="s">
        <v>386</v>
      </c>
      <c r="AV657" s="8">
        <v>53.6</v>
      </c>
      <c r="AW657" s="8">
        <v>36</v>
      </c>
      <c r="AX657" s="8" t="s">
        <v>392</v>
      </c>
      <c r="AY657" s="8" t="s">
        <v>224</v>
      </c>
      <c r="AZ657" s="8" t="s">
        <v>188</v>
      </c>
      <c r="BA657" s="21">
        <f>IF(OR(tblsales[[#This Row],[Invoice Value USD]]="",tblsales[[#This Row],[Collected Amount USD]]=""),"",tblsales[[#This Row],[Invoice Value USD]]-tblsales[[#This Row],[Collected Amount USD]])</f>
        <v>1338765.0405299994</v>
      </c>
      <c r="BB657" s="21">
        <f>IF(OR(tblsales[[#This Row],[Contract Value USD]]="",tblsales[[#This Row],[Cost Estimate USD]]=""),"",tblsales[[#This Row],[Contract Value USD]]-tblsales[[#This Row],[Cost Estimate USD]])</f>
        <v>1530061.1064900011</v>
      </c>
      <c r="BC657" s="21">
        <f>IF(OR(tblsales[[#This Row],[Contract Value USD]]="",tblsales[[#This Row],[Cost Estimate USD]]=""),"",tblsales[[#This Row],[Contract Value USD]]-tblsales[[#This Row],[Cost Estimate USD]])</f>
        <v>1530061.1064900011</v>
      </c>
      <c r="BD657" s="23">
        <f>IF(tblsales[[#This Row],[Invoice Value USD]]="","",tblsales[[#This Row],[Collected Amount USD]]/tblsales[[#This Row],[Invoice Value USD]])</f>
        <v>0.69536220810635829</v>
      </c>
      <c r="BE657" s="11">
        <f>IF(tblsales[[#This Row],[SalesStage]]="Won",1,0)</f>
        <v>0</v>
      </c>
      <c r="BF657" s="21" t="str">
        <f>IF(tblsales[[#This Row],[Win Flag]]=1,"Won","Lost")</f>
        <v>Lost</v>
      </c>
      <c r="BG657" s="8"/>
    </row>
    <row r="658" spans="1:59" x14ac:dyDescent="0.3">
      <c r="A658" s="10" t="s">
        <v>2273</v>
      </c>
      <c r="B658" s="9">
        <v>45999</v>
      </c>
      <c r="C658" s="10" t="s">
        <v>280</v>
      </c>
      <c r="D658" s="10" t="s">
        <v>562</v>
      </c>
      <c r="E658" s="10" t="s">
        <v>36</v>
      </c>
      <c r="F658" s="10" t="s">
        <v>339</v>
      </c>
      <c r="G658" s="10" t="s">
        <v>70</v>
      </c>
      <c r="H658" s="10" t="s">
        <v>263</v>
      </c>
      <c r="I658" s="10" t="s">
        <v>332</v>
      </c>
      <c r="J658" s="10" t="s">
        <v>115</v>
      </c>
      <c r="K658" s="10" t="s">
        <v>223</v>
      </c>
      <c r="L658" s="10" t="s">
        <v>2274</v>
      </c>
      <c r="M658" s="9">
        <v>45754</v>
      </c>
      <c r="N658" s="9"/>
      <c r="O658" s="9">
        <v>45728</v>
      </c>
      <c r="P658" s="11">
        <v>29</v>
      </c>
      <c r="Q658" s="12">
        <v>41831282</v>
      </c>
      <c r="R658">
        <v>48566118.402000003</v>
      </c>
      <c r="S658" s="22">
        <v>0.02</v>
      </c>
      <c r="T658" s="22">
        <v>0.12</v>
      </c>
      <c r="U658" s="12">
        <v>45914015.119999997</v>
      </c>
      <c r="V658" s="24">
        <v>53306171.55432</v>
      </c>
      <c r="W658" s="8">
        <v>31371315.140000001</v>
      </c>
      <c r="X658" s="24">
        <v>36422096.87754</v>
      </c>
      <c r="Y658" s="22">
        <v>0.3</v>
      </c>
      <c r="Z658" s="22">
        <v>0.19</v>
      </c>
      <c r="AA658" s="8" t="s">
        <v>2275</v>
      </c>
      <c r="AB658" s="8">
        <v>6491069.6299999999</v>
      </c>
      <c r="AC658" s="24">
        <v>7536131.8404299999</v>
      </c>
      <c r="AD658" s="8">
        <v>5634400.0199999996</v>
      </c>
      <c r="AE658" s="24">
        <v>6541538.4232199993</v>
      </c>
      <c r="AF658" s="8">
        <v>60</v>
      </c>
      <c r="AG658" s="8">
        <v>9</v>
      </c>
      <c r="AH658" s="8" t="s">
        <v>329</v>
      </c>
      <c r="AI658" s="8" t="s">
        <v>226</v>
      </c>
      <c r="AJ658" s="22">
        <v>0.67</v>
      </c>
      <c r="AK658" s="8" t="s">
        <v>159</v>
      </c>
      <c r="AL658" s="22">
        <v>0.05</v>
      </c>
      <c r="AM658" s="22">
        <v>0.05</v>
      </c>
      <c r="AN658" s="8">
        <v>2</v>
      </c>
      <c r="AO658" s="8"/>
      <c r="AP658" s="8">
        <v>1634072.76</v>
      </c>
      <c r="AQ658" s="24">
        <v>1897158.4743600001</v>
      </c>
      <c r="AR658" s="8">
        <v>14128548.1</v>
      </c>
      <c r="AS658" s="37">
        <v>16403244.3441</v>
      </c>
      <c r="AT658" s="8" t="s">
        <v>385</v>
      </c>
      <c r="AU658" s="8" t="s">
        <v>348</v>
      </c>
      <c r="AV658" s="8">
        <v>95.7</v>
      </c>
      <c r="AW658" s="8">
        <v>48</v>
      </c>
      <c r="AX658" s="8" t="s">
        <v>387</v>
      </c>
      <c r="AY658" s="8" t="s">
        <v>206</v>
      </c>
      <c r="AZ658" s="8" t="s">
        <v>332</v>
      </c>
      <c r="BA658" s="21">
        <f>IF(OR(tblsales[[#This Row],[Invoice Value USD]]="",tblsales[[#This Row],[Collected Amount USD]]=""),"",tblsales[[#This Row],[Invoice Value USD]]-tblsales[[#This Row],[Collected Amount USD]])</f>
        <v>994593.41721000057</v>
      </c>
      <c r="BB658" s="21">
        <f>IF(OR(tblsales[[#This Row],[Contract Value USD]]="",tblsales[[#This Row],[Cost Estimate USD]]=""),"",tblsales[[#This Row],[Contract Value USD]]-tblsales[[#This Row],[Cost Estimate USD]])</f>
        <v>16884074.67678</v>
      </c>
      <c r="BC658" s="21">
        <f>IF(OR(tblsales[[#This Row],[Contract Value USD]]="",tblsales[[#This Row],[Cost Estimate USD]]=""),"",tblsales[[#This Row],[Contract Value USD]]-tblsales[[#This Row],[Cost Estimate USD]])</f>
        <v>16884074.67678</v>
      </c>
      <c r="BD658" s="23">
        <f>IF(tblsales[[#This Row],[Invoice Value USD]]="","",tblsales[[#This Row],[Collected Amount USD]]/tblsales[[#This Row],[Invoice Value USD]])</f>
        <v>0.86802335226220639</v>
      </c>
      <c r="BE658" s="11">
        <f>IF(tblsales[[#This Row],[SalesStage]]="Won",1,0)</f>
        <v>0</v>
      </c>
      <c r="BF658" s="21" t="str">
        <f>IF(tblsales[[#This Row],[Win Flag]]=1,"Won","Lost")</f>
        <v>Lost</v>
      </c>
      <c r="BG658" s="8"/>
    </row>
    <row r="659" spans="1:59" x14ac:dyDescent="0.3">
      <c r="A659" s="10" t="s">
        <v>2276</v>
      </c>
      <c r="B659" s="9">
        <v>46045</v>
      </c>
      <c r="C659" s="10" t="s">
        <v>239</v>
      </c>
      <c r="D659" s="10" t="s">
        <v>202</v>
      </c>
      <c r="E659" s="10" t="s">
        <v>36</v>
      </c>
      <c r="F659" s="10" t="s">
        <v>339</v>
      </c>
      <c r="G659" s="10" t="s">
        <v>66</v>
      </c>
      <c r="H659" s="10" t="s">
        <v>182</v>
      </c>
      <c r="I659" s="10" t="s">
        <v>213</v>
      </c>
      <c r="J659" s="10" t="s">
        <v>115</v>
      </c>
      <c r="K659" s="10" t="s">
        <v>326</v>
      </c>
      <c r="L659" s="10" t="s">
        <v>2277</v>
      </c>
      <c r="M659" s="9">
        <v>46013</v>
      </c>
      <c r="N659" s="9">
        <v>46056</v>
      </c>
      <c r="O659" s="9">
        <v>46106</v>
      </c>
      <c r="P659" s="11">
        <v>5</v>
      </c>
      <c r="Q659" s="12">
        <v>44056844</v>
      </c>
      <c r="R659">
        <v>51149995.884000003</v>
      </c>
      <c r="S659" s="22">
        <v>0.2</v>
      </c>
      <c r="T659" s="22">
        <v>0.02</v>
      </c>
      <c r="U659" s="12">
        <v>35950384.700000003</v>
      </c>
      <c r="V659" s="24">
        <v>41738396.636700004</v>
      </c>
      <c r="W659" s="8">
        <v>23587978.09</v>
      </c>
      <c r="X659" s="24">
        <v>27385642.562490001</v>
      </c>
      <c r="Y659" s="22">
        <v>7.0000000000000007E-2</v>
      </c>
      <c r="Z659" s="22">
        <v>0.06</v>
      </c>
      <c r="AA659" s="8" t="s">
        <v>2278</v>
      </c>
      <c r="AB659" s="8">
        <v>11950310.74</v>
      </c>
      <c r="AC659" s="24">
        <v>13874310.769140001</v>
      </c>
      <c r="AD659" s="8">
        <v>7144275.6900000004</v>
      </c>
      <c r="AE659" s="24">
        <v>8294504.0760900006</v>
      </c>
      <c r="AF659" s="8">
        <v>90</v>
      </c>
      <c r="AG659" s="8">
        <v>29</v>
      </c>
      <c r="AH659" s="8" t="s">
        <v>342</v>
      </c>
      <c r="AI659" s="8" t="s">
        <v>320</v>
      </c>
      <c r="AJ659" s="22">
        <v>0.35</v>
      </c>
      <c r="AK659" s="8" t="s">
        <v>159</v>
      </c>
      <c r="AL659" s="22">
        <v>0.05</v>
      </c>
      <c r="AM659" s="22">
        <v>0.05</v>
      </c>
      <c r="AN659" s="8">
        <v>11</v>
      </c>
      <c r="AO659" s="8">
        <v>1654</v>
      </c>
      <c r="AP659" s="8">
        <v>5026791.97</v>
      </c>
      <c r="AQ659" s="24">
        <v>5836105.4771699999</v>
      </c>
      <c r="AR659" s="8">
        <v>6728180.5599999996</v>
      </c>
      <c r="AS659" s="37">
        <v>7811417.6301600002</v>
      </c>
      <c r="AT659" s="8" t="s">
        <v>321</v>
      </c>
      <c r="AU659" s="8" t="s">
        <v>332</v>
      </c>
      <c r="AV659" s="8">
        <v>79.400000000000006</v>
      </c>
      <c r="AW659" s="8">
        <v>24</v>
      </c>
      <c r="AX659" s="8" t="s">
        <v>337</v>
      </c>
      <c r="AY659" s="8" t="s">
        <v>192</v>
      </c>
      <c r="AZ659" s="8" t="s">
        <v>332</v>
      </c>
      <c r="BA659" s="21">
        <f>IF(OR(tblsales[[#This Row],[Invoice Value USD]]="",tblsales[[#This Row],[Collected Amount USD]]=""),"",tblsales[[#This Row],[Invoice Value USD]]-tblsales[[#This Row],[Collected Amount USD]])</f>
        <v>5579806.6930500008</v>
      </c>
      <c r="BB659" s="21">
        <f>IF(OR(tblsales[[#This Row],[Contract Value USD]]="",tblsales[[#This Row],[Cost Estimate USD]]=""),"",tblsales[[#This Row],[Contract Value USD]]-tblsales[[#This Row],[Cost Estimate USD]])</f>
        <v>14352754.074210003</v>
      </c>
      <c r="BC659" s="21">
        <f>IF(OR(tblsales[[#This Row],[Contract Value USD]]="",tblsales[[#This Row],[Cost Estimate USD]]=""),"",tblsales[[#This Row],[Contract Value USD]]-tblsales[[#This Row],[Cost Estimate USD]])</f>
        <v>14352754.074210003</v>
      </c>
      <c r="BD659" s="23">
        <f>IF(tblsales[[#This Row],[Invoice Value USD]]="","",tblsales[[#This Row],[Collected Amount USD]]/tblsales[[#This Row],[Invoice Value USD]])</f>
        <v>0.59783179244759954</v>
      </c>
      <c r="BE659" s="11">
        <f>IF(tblsales[[#This Row],[SalesStage]]="Won",1,0)</f>
        <v>1</v>
      </c>
      <c r="BF659" s="21" t="str">
        <f>IF(tblsales[[#This Row],[Win Flag]]=1,"Won","Lost")</f>
        <v>Won</v>
      </c>
      <c r="BG659" s="8"/>
    </row>
    <row r="660" spans="1:59" x14ac:dyDescent="0.3">
      <c r="A660" s="10" t="s">
        <v>2279</v>
      </c>
      <c r="B660" s="9">
        <v>45912</v>
      </c>
      <c r="C660" s="10" t="s">
        <v>285</v>
      </c>
      <c r="D660" s="10" t="s">
        <v>180</v>
      </c>
      <c r="E660" s="10" t="s">
        <v>41</v>
      </c>
      <c r="F660" s="10" t="s">
        <v>350</v>
      </c>
      <c r="G660" s="10" t="s">
        <v>70</v>
      </c>
      <c r="H660" s="10" t="s">
        <v>332</v>
      </c>
      <c r="I660" s="10" t="s">
        <v>233</v>
      </c>
      <c r="J660" s="10" t="s">
        <v>130</v>
      </c>
      <c r="K660" s="10" t="s">
        <v>199</v>
      </c>
      <c r="L660" s="10" t="s">
        <v>2280</v>
      </c>
      <c r="M660" s="9">
        <v>45923</v>
      </c>
      <c r="N660" s="9"/>
      <c r="O660" s="9">
        <v>46039</v>
      </c>
      <c r="P660" s="11"/>
      <c r="Q660" s="12">
        <v>4638402</v>
      </c>
      <c r="R660">
        <v>1263036.8646</v>
      </c>
      <c r="S660" s="22">
        <v>0.22</v>
      </c>
      <c r="T660" s="22">
        <v>7.0000000000000007E-2</v>
      </c>
      <c r="U660" s="12">
        <v>3871210.31</v>
      </c>
      <c r="V660" s="24">
        <v>1054130.5674129999</v>
      </c>
      <c r="W660" s="8">
        <v>3020810.8</v>
      </c>
      <c r="X660" s="24">
        <v>822566.7808399999</v>
      </c>
      <c r="Y660" s="22">
        <v>0.14000000000000001</v>
      </c>
      <c r="Z660" s="22">
        <v>0.12</v>
      </c>
      <c r="AA660" s="8" t="s">
        <v>2281</v>
      </c>
      <c r="AB660" s="8">
        <v>2456515.56</v>
      </c>
      <c r="AC660" s="24">
        <v>668909.18698799994</v>
      </c>
      <c r="AD660" s="8">
        <v>957055.51</v>
      </c>
      <c r="AE660" s="24">
        <v>260606.21537299998</v>
      </c>
      <c r="AF660" s="8">
        <v>60</v>
      </c>
      <c r="AG660" s="8">
        <v>107</v>
      </c>
      <c r="AH660" s="8" t="s">
        <v>347</v>
      </c>
      <c r="AI660" s="8" t="s">
        <v>406</v>
      </c>
      <c r="AJ660" s="22"/>
      <c r="AK660" s="8" t="s">
        <v>153</v>
      </c>
      <c r="AL660" s="22">
        <v>0.1</v>
      </c>
      <c r="AM660" s="22">
        <v>0.03</v>
      </c>
      <c r="AN660" s="8">
        <v>12</v>
      </c>
      <c r="AO660" s="8">
        <v>3301</v>
      </c>
      <c r="AP660" s="8">
        <v>511513.52</v>
      </c>
      <c r="AQ660" s="24">
        <v>139285.13149599999</v>
      </c>
      <c r="AR660" s="8">
        <v>773837.99</v>
      </c>
      <c r="AS660" s="37">
        <v>210716.08467699998</v>
      </c>
      <c r="AT660" s="8" t="s">
        <v>332</v>
      </c>
      <c r="AU660" s="8" t="s">
        <v>332</v>
      </c>
      <c r="AV660" s="8">
        <v>77.7</v>
      </c>
      <c r="AW660" s="8">
        <v>60</v>
      </c>
      <c r="AX660" s="8" t="s">
        <v>332</v>
      </c>
      <c r="AY660" s="8" t="s">
        <v>206</v>
      </c>
      <c r="AZ660" s="8" t="s">
        <v>324</v>
      </c>
      <c r="BA660" s="21">
        <f>IF(OR(tblsales[[#This Row],[Invoice Value USD]]="",tblsales[[#This Row],[Collected Amount USD]]=""),"",tblsales[[#This Row],[Invoice Value USD]]-tblsales[[#This Row],[Collected Amount USD]])</f>
        <v>408302.97161499993</v>
      </c>
      <c r="BB660" s="21">
        <f>IF(OR(tblsales[[#This Row],[Contract Value USD]]="",tblsales[[#This Row],[Cost Estimate USD]]=""),"",tblsales[[#This Row],[Contract Value USD]]-tblsales[[#This Row],[Cost Estimate USD]])</f>
        <v>231563.78657300002</v>
      </c>
      <c r="BC660" s="21">
        <f>IF(OR(tblsales[[#This Row],[Contract Value USD]]="",tblsales[[#This Row],[Cost Estimate USD]]=""),"",tblsales[[#This Row],[Contract Value USD]]-tblsales[[#This Row],[Cost Estimate USD]])</f>
        <v>231563.78657300002</v>
      </c>
      <c r="BD660" s="23">
        <f>IF(tblsales[[#This Row],[Invoice Value USD]]="","",tblsales[[#This Row],[Collected Amount USD]]/tblsales[[#This Row],[Invoice Value USD]])</f>
        <v>0.38959879822621601</v>
      </c>
      <c r="BE660" s="11">
        <f>IF(tblsales[[#This Row],[SalesStage]]="Won",1,0)</f>
        <v>0</v>
      </c>
      <c r="BF660" s="21" t="str">
        <f>IF(tblsales[[#This Row],[Win Flag]]=1,"Won","Lost")</f>
        <v>Lost</v>
      </c>
      <c r="BG660" s="8"/>
    </row>
    <row r="661" spans="1:59" x14ac:dyDescent="0.3">
      <c r="A661" s="10" t="s">
        <v>2282</v>
      </c>
      <c r="B661" s="9">
        <v>45679</v>
      </c>
      <c r="C661" s="10" t="s">
        <v>271</v>
      </c>
      <c r="D661" s="10" t="s">
        <v>248</v>
      </c>
      <c r="E661" s="10" t="s">
        <v>52</v>
      </c>
      <c r="F661" s="10" t="s">
        <v>332</v>
      </c>
      <c r="G661" s="10" t="s">
        <v>16</v>
      </c>
      <c r="H661" s="10" t="s">
        <v>197</v>
      </c>
      <c r="I661" s="10" t="s">
        <v>233</v>
      </c>
      <c r="J661" s="10" t="s">
        <v>119</v>
      </c>
      <c r="K661" s="10" t="s">
        <v>210</v>
      </c>
      <c r="L661" s="10" t="s">
        <v>2283</v>
      </c>
      <c r="M661" s="9">
        <v>45617</v>
      </c>
      <c r="N661" s="9">
        <v>45705</v>
      </c>
      <c r="O661" s="9">
        <v>45790</v>
      </c>
      <c r="P661" s="11">
        <v>59</v>
      </c>
      <c r="Q661" s="12">
        <v>36875399</v>
      </c>
      <c r="R661">
        <v>36875399</v>
      </c>
      <c r="S661" s="22">
        <v>0.05</v>
      </c>
      <c r="T661" s="22">
        <v>-0.05</v>
      </c>
      <c r="U661" s="12">
        <v>33280047.600000001</v>
      </c>
      <c r="V661" s="24">
        <v>33280047.600000001</v>
      </c>
      <c r="W661" s="8">
        <v>24262797.079999998</v>
      </c>
      <c r="X661" s="24">
        <v>24262797.079999998</v>
      </c>
      <c r="Y661" s="22">
        <v>0.2</v>
      </c>
      <c r="Z661" s="22">
        <v>0.09</v>
      </c>
      <c r="AA661" s="8" t="s">
        <v>2284</v>
      </c>
      <c r="AB661" s="8">
        <v>7792051.5199999996</v>
      </c>
      <c r="AC661" s="24">
        <v>7792051.5199999996</v>
      </c>
      <c r="AD661" s="8">
        <v>6778451.3099999996</v>
      </c>
      <c r="AE661" s="24">
        <v>6778451.3099999996</v>
      </c>
      <c r="AF661" s="8">
        <v>30</v>
      </c>
      <c r="AG661" s="8">
        <v>88</v>
      </c>
      <c r="AH661" s="8" t="s">
        <v>353</v>
      </c>
      <c r="AI661" s="8" t="s">
        <v>354</v>
      </c>
      <c r="AJ661" s="22">
        <v>0.98</v>
      </c>
      <c r="AK661" s="8" t="s">
        <v>152</v>
      </c>
      <c r="AL661" s="22">
        <v>0.15</v>
      </c>
      <c r="AM661" s="22">
        <v>0.09</v>
      </c>
      <c r="AN661" s="8">
        <v>3</v>
      </c>
      <c r="AO661" s="8">
        <v>1567</v>
      </c>
      <c r="AP661" s="8">
        <v>1880299.43</v>
      </c>
      <c r="AQ661" s="24">
        <v>1880299.43</v>
      </c>
      <c r="AR661" s="8">
        <v>14093777.49</v>
      </c>
      <c r="AS661" s="37">
        <v>14093777.49</v>
      </c>
      <c r="AT661" s="8" t="s">
        <v>73</v>
      </c>
      <c r="AU661" s="8" t="s">
        <v>348</v>
      </c>
      <c r="AV661" s="8">
        <v>85.3</v>
      </c>
      <c r="AW661" s="8">
        <v>60</v>
      </c>
      <c r="AX661" s="8" t="s">
        <v>332</v>
      </c>
      <c r="AY661" s="8" t="s">
        <v>192</v>
      </c>
      <c r="AZ661" s="8" t="s">
        <v>332</v>
      </c>
      <c r="BA661" s="21">
        <f>IF(OR(tblsales[[#This Row],[Invoice Value USD]]="",tblsales[[#This Row],[Collected Amount USD]]=""),"",tblsales[[#This Row],[Invoice Value USD]]-tblsales[[#This Row],[Collected Amount USD]])</f>
        <v>1013600.21</v>
      </c>
      <c r="BB661" s="21">
        <f>IF(OR(tblsales[[#This Row],[Contract Value USD]]="",tblsales[[#This Row],[Cost Estimate USD]]=""),"",tblsales[[#This Row],[Contract Value USD]]-tblsales[[#This Row],[Cost Estimate USD]])</f>
        <v>9017250.5200000033</v>
      </c>
      <c r="BC661" s="21">
        <f>IF(OR(tblsales[[#This Row],[Contract Value USD]]="",tblsales[[#This Row],[Cost Estimate USD]]=""),"",tblsales[[#This Row],[Contract Value USD]]-tblsales[[#This Row],[Cost Estimate USD]])</f>
        <v>9017250.5200000033</v>
      </c>
      <c r="BD661" s="23">
        <f>IF(tblsales[[#This Row],[Invoice Value USD]]="","",tblsales[[#This Row],[Collected Amount USD]]/tblsales[[#This Row],[Invoice Value USD]])</f>
        <v>0.86991869761148599</v>
      </c>
      <c r="BE661" s="11">
        <f>IF(tblsales[[#This Row],[SalesStage]]="Won",1,0)</f>
        <v>0</v>
      </c>
      <c r="BF661" s="21" t="str">
        <f>IF(tblsales[[#This Row],[Win Flag]]=1,"Won","Lost")</f>
        <v>Lost</v>
      </c>
      <c r="BG661" s="8"/>
    </row>
    <row r="662" spans="1:59" x14ac:dyDescent="0.3">
      <c r="A662" s="10" t="s">
        <v>2285</v>
      </c>
      <c r="B662" s="9">
        <v>45954</v>
      </c>
      <c r="C662" s="10" t="s">
        <v>273</v>
      </c>
      <c r="D662" s="10" t="s">
        <v>394</v>
      </c>
      <c r="E662" s="10" t="s">
        <v>332</v>
      </c>
      <c r="F662" s="10" t="s">
        <v>363</v>
      </c>
      <c r="G662" s="10" t="s">
        <v>46</v>
      </c>
      <c r="H662" s="10" t="s">
        <v>182</v>
      </c>
      <c r="I662" s="10" t="s">
        <v>332</v>
      </c>
      <c r="J662" s="10" t="s">
        <v>99</v>
      </c>
      <c r="K662" s="10" t="s">
        <v>326</v>
      </c>
      <c r="L662" s="10" t="s">
        <v>2286</v>
      </c>
      <c r="M662" s="9">
        <v>45847</v>
      </c>
      <c r="N662" s="9">
        <v>45976</v>
      </c>
      <c r="O662" s="9">
        <v>46002</v>
      </c>
      <c r="P662" s="11">
        <v>59</v>
      </c>
      <c r="Q662" s="12">
        <v>10174756</v>
      </c>
      <c r="R662">
        <v>2770586.0587999998</v>
      </c>
      <c r="S662" s="22">
        <v>0.01</v>
      </c>
      <c r="T662" s="22">
        <v>0.01</v>
      </c>
      <c r="U662" s="12">
        <v>10173738.52</v>
      </c>
      <c r="V662" s="24">
        <v>2770308.9989959998</v>
      </c>
      <c r="W662" s="8">
        <v>6492101.0800000001</v>
      </c>
      <c r="X662" s="24">
        <v>1767799.124084</v>
      </c>
      <c r="Y662" s="22">
        <v>0.22</v>
      </c>
      <c r="Z662" s="22">
        <v>7.0000000000000007E-2</v>
      </c>
      <c r="AA662" s="8" t="s">
        <v>2287</v>
      </c>
      <c r="AB662" s="8">
        <v>6769551.2800000003</v>
      </c>
      <c r="AC662" s="24">
        <v>1843348.813544</v>
      </c>
      <c r="AD662" s="8">
        <v>3437397.13</v>
      </c>
      <c r="AE662" s="24">
        <v>936003.23849899997</v>
      </c>
      <c r="AF662" s="8">
        <v>90</v>
      </c>
      <c r="AG662" s="8">
        <v>95</v>
      </c>
      <c r="AH662" s="8" t="s">
        <v>342</v>
      </c>
      <c r="AI662" s="8" t="s">
        <v>381</v>
      </c>
      <c r="AJ662" s="22">
        <v>0.44</v>
      </c>
      <c r="AK662" s="8" t="s">
        <v>153</v>
      </c>
      <c r="AL662" s="22">
        <v>0.15</v>
      </c>
      <c r="AM662" s="22">
        <v>0.04</v>
      </c>
      <c r="AN662" s="8">
        <v>3</v>
      </c>
      <c r="AO662" s="8">
        <v>1536</v>
      </c>
      <c r="AP662" s="8">
        <v>2292123.89</v>
      </c>
      <c r="AQ662" s="24">
        <v>624145.33524699998</v>
      </c>
      <c r="AR662" s="8">
        <v>3330924.41</v>
      </c>
      <c r="AS662" s="37">
        <v>907010.71684300003</v>
      </c>
      <c r="AT662" s="8" t="s">
        <v>391</v>
      </c>
      <c r="AU662" s="8" t="s">
        <v>386</v>
      </c>
      <c r="AV662" s="8">
        <v>98.9</v>
      </c>
      <c r="AW662" s="8">
        <v>36</v>
      </c>
      <c r="AX662" s="8" t="s">
        <v>387</v>
      </c>
      <c r="AY662" s="8" t="s">
        <v>192</v>
      </c>
      <c r="AZ662" s="8" t="s">
        <v>332</v>
      </c>
      <c r="BA662" s="21">
        <f>IF(OR(tblsales[[#This Row],[Invoice Value USD]]="",tblsales[[#This Row],[Collected Amount USD]]=""),"",tblsales[[#This Row],[Invoice Value USD]]-tblsales[[#This Row],[Collected Amount USD]])</f>
        <v>907345.57504500006</v>
      </c>
      <c r="BB662" s="21">
        <f>IF(OR(tblsales[[#This Row],[Contract Value USD]]="",tblsales[[#This Row],[Cost Estimate USD]]=""),"",tblsales[[#This Row],[Contract Value USD]]-tblsales[[#This Row],[Cost Estimate USD]])</f>
        <v>1002509.8749119998</v>
      </c>
      <c r="BC662" s="21">
        <f>IF(OR(tblsales[[#This Row],[Contract Value USD]]="",tblsales[[#This Row],[Cost Estimate USD]]=""),"",tblsales[[#This Row],[Contract Value USD]]-tblsales[[#This Row],[Cost Estimate USD]])</f>
        <v>1002509.8749119998</v>
      </c>
      <c r="BD662" s="23">
        <f>IF(tblsales[[#This Row],[Invoice Value USD]]="","",tblsales[[#This Row],[Collected Amount USD]]/tblsales[[#This Row],[Invoice Value USD]])</f>
        <v>0.50777326115476296</v>
      </c>
      <c r="BE662" s="11">
        <f>IF(tblsales[[#This Row],[SalesStage]]="Won",1,0)</f>
        <v>0</v>
      </c>
      <c r="BF662" s="21" t="str">
        <f>IF(tblsales[[#This Row],[Win Flag]]=1,"Won","Lost")</f>
        <v>Lost</v>
      </c>
      <c r="BG662" s="8"/>
    </row>
    <row r="663" spans="1:59" x14ac:dyDescent="0.3">
      <c r="A663" s="10" t="s">
        <v>2288</v>
      </c>
      <c r="B663" s="9">
        <v>46010</v>
      </c>
      <c r="C663" s="10" t="s">
        <v>271</v>
      </c>
      <c r="D663" s="10" t="s">
        <v>255</v>
      </c>
      <c r="E663" s="10" t="s">
        <v>332</v>
      </c>
      <c r="F663" s="10" t="s">
        <v>332</v>
      </c>
      <c r="G663" s="10" t="s">
        <v>66</v>
      </c>
      <c r="H663" s="10" t="s">
        <v>182</v>
      </c>
      <c r="I663" s="10" t="s">
        <v>198</v>
      </c>
      <c r="J663" s="10" t="s">
        <v>99</v>
      </c>
      <c r="K663" s="10" t="s">
        <v>223</v>
      </c>
      <c r="L663" s="10" t="s">
        <v>2289</v>
      </c>
      <c r="M663" s="9">
        <v>45924</v>
      </c>
      <c r="N663" s="9" t="s">
        <v>2290</v>
      </c>
      <c r="O663" s="9">
        <v>46205</v>
      </c>
      <c r="P663" s="11">
        <v>37</v>
      </c>
      <c r="Q663" s="12">
        <v>21870258</v>
      </c>
      <c r="R663">
        <v>5955271.2533999998</v>
      </c>
      <c r="S663" s="22">
        <v>0.3</v>
      </c>
      <c r="T663" s="22">
        <v>0</v>
      </c>
      <c r="U663" s="12">
        <v>15309180.6</v>
      </c>
      <c r="V663" s="24">
        <v>4168689.8773799995</v>
      </c>
      <c r="W663" s="8">
        <v>12888189</v>
      </c>
      <c r="X663" s="24">
        <v>3509453.8646999998</v>
      </c>
      <c r="Y663" s="22">
        <v>0.13</v>
      </c>
      <c r="Z663" s="22">
        <v>0.09</v>
      </c>
      <c r="AA663" s="8"/>
      <c r="AB663" s="8">
        <v>3958803.23</v>
      </c>
      <c r="AC663" s="24">
        <v>1077982.119529</v>
      </c>
      <c r="AD663" s="8">
        <v>3988929.03</v>
      </c>
      <c r="AE663" s="24">
        <v>1086185.3748689999</v>
      </c>
      <c r="AF663" s="8">
        <v>30</v>
      </c>
      <c r="AG663" s="8">
        <v>133</v>
      </c>
      <c r="AH663" s="8" t="s">
        <v>376</v>
      </c>
      <c r="AI663" s="8" t="s">
        <v>381</v>
      </c>
      <c r="AJ663" s="22">
        <v>0.26</v>
      </c>
      <c r="AK663" s="8" t="s">
        <v>153</v>
      </c>
      <c r="AL663" s="22">
        <v>0.1</v>
      </c>
      <c r="AM663" s="22">
        <v>7.0000000000000007E-2</v>
      </c>
      <c r="AN663" s="8">
        <v>8</v>
      </c>
      <c r="AO663" s="8">
        <v>3862</v>
      </c>
      <c r="AP663" s="8">
        <v>3197688.65</v>
      </c>
      <c r="AQ663" s="24">
        <v>870730.61939499993</v>
      </c>
      <c r="AR663" s="8">
        <v>1731260.85</v>
      </c>
      <c r="AS663" s="37">
        <v>471422.329455</v>
      </c>
      <c r="AT663" s="8" t="s">
        <v>355</v>
      </c>
      <c r="AU663" s="8" t="s">
        <v>348</v>
      </c>
      <c r="AV663" s="8">
        <v>87</v>
      </c>
      <c r="AW663" s="8">
        <v>24</v>
      </c>
      <c r="AX663" s="8" t="s">
        <v>387</v>
      </c>
      <c r="AY663" s="8" t="s">
        <v>192</v>
      </c>
      <c r="AZ663" s="8" t="s">
        <v>377</v>
      </c>
      <c r="BA663" s="21">
        <f>IF(OR(tblsales[[#This Row],[Invoice Value USD]]="",tblsales[[#This Row],[Collected Amount USD]]=""),"",tblsales[[#This Row],[Invoice Value USD]]-tblsales[[#This Row],[Collected Amount USD]])</f>
        <v>-8203.255339999916</v>
      </c>
      <c r="BB663" s="21">
        <f>IF(OR(tblsales[[#This Row],[Contract Value USD]]="",tblsales[[#This Row],[Cost Estimate USD]]=""),"",tblsales[[#This Row],[Contract Value USD]]-tblsales[[#This Row],[Cost Estimate USD]])</f>
        <v>659236.01267999969</v>
      </c>
      <c r="BC663" s="21">
        <f>IF(OR(tblsales[[#This Row],[Contract Value USD]]="",tblsales[[#This Row],[Cost Estimate USD]]=""),"",tblsales[[#This Row],[Contract Value USD]]-tblsales[[#This Row],[Cost Estimate USD]])</f>
        <v>659236.01267999969</v>
      </c>
      <c r="BD663" s="23">
        <f>IF(tblsales[[#This Row],[Invoice Value USD]]="","",tblsales[[#This Row],[Collected Amount USD]]/tblsales[[#This Row],[Invoice Value USD]])</f>
        <v>1.0076098250531134</v>
      </c>
      <c r="BE663" s="11">
        <f>IF(tblsales[[#This Row],[SalesStage]]="Won",1,0)</f>
        <v>0</v>
      </c>
      <c r="BF663" s="21" t="str">
        <f>IF(tblsales[[#This Row],[Win Flag]]=1,"Won","Lost")</f>
        <v>Lost</v>
      </c>
      <c r="BG663" s="8"/>
    </row>
    <row r="664" spans="1:59" x14ac:dyDescent="0.3">
      <c r="A664" s="10" t="s">
        <v>2291</v>
      </c>
      <c r="B664" s="9">
        <v>45873</v>
      </c>
      <c r="C664" s="10" t="s">
        <v>283</v>
      </c>
      <c r="D664" s="10" t="s">
        <v>265</v>
      </c>
      <c r="E664" s="10" t="s">
        <v>332</v>
      </c>
      <c r="F664" s="10" t="s">
        <v>228</v>
      </c>
      <c r="G664" s="10" t="s">
        <v>33</v>
      </c>
      <c r="H664" s="10" t="s">
        <v>212</v>
      </c>
      <c r="I664" s="10" t="s">
        <v>203</v>
      </c>
      <c r="J664" s="10" t="s">
        <v>99</v>
      </c>
      <c r="K664" s="10" t="s">
        <v>326</v>
      </c>
      <c r="L664" s="10" t="s">
        <v>2292</v>
      </c>
      <c r="M664" s="9">
        <v>45804</v>
      </c>
      <c r="N664" s="9" t="s">
        <v>2293</v>
      </c>
      <c r="O664" s="9">
        <v>45787</v>
      </c>
      <c r="P664" s="11">
        <v>43</v>
      </c>
      <c r="Q664" s="12">
        <v>8920404</v>
      </c>
      <c r="R664">
        <v>8920404</v>
      </c>
      <c r="S664" s="22">
        <v>0.2</v>
      </c>
      <c r="T664" s="22">
        <v>0.04</v>
      </c>
      <c r="U664" s="12">
        <v>7421776.1299999999</v>
      </c>
      <c r="V664" s="24">
        <v>7421776.1299999999</v>
      </c>
      <c r="W664" s="8">
        <v>4568266.66</v>
      </c>
      <c r="X664" s="24">
        <v>4568266.66</v>
      </c>
      <c r="Y664" s="22">
        <v>0.08</v>
      </c>
      <c r="Z664" s="22">
        <v>0.18</v>
      </c>
      <c r="AA664" s="8" t="s">
        <v>2294</v>
      </c>
      <c r="AB664" s="8">
        <v>6138164.3499999996</v>
      </c>
      <c r="AC664" s="24">
        <v>6138164.3499999996</v>
      </c>
      <c r="AD664" s="8">
        <v>2497101.2599999998</v>
      </c>
      <c r="AE664" s="24">
        <v>2497101.2599999998</v>
      </c>
      <c r="AF664" s="8">
        <v>90</v>
      </c>
      <c r="AG664" s="8">
        <v>170</v>
      </c>
      <c r="AH664" s="8" t="s">
        <v>376</v>
      </c>
      <c r="AI664" s="8" t="s">
        <v>381</v>
      </c>
      <c r="AJ664" s="22">
        <v>0.76</v>
      </c>
      <c r="AK664" s="8" t="s">
        <v>152</v>
      </c>
      <c r="AL664" s="22">
        <v>0.1</v>
      </c>
      <c r="AM664" s="22">
        <v>0.03</v>
      </c>
      <c r="AN664" s="8">
        <v>7</v>
      </c>
      <c r="AO664" s="8">
        <v>3846</v>
      </c>
      <c r="AP664" s="8">
        <v>444459.81</v>
      </c>
      <c r="AQ664" s="24">
        <v>444459.81</v>
      </c>
      <c r="AR664" s="8"/>
      <c r="AS664" s="37"/>
      <c r="AT664" s="8" t="s">
        <v>355</v>
      </c>
      <c r="AU664" s="8" t="s">
        <v>386</v>
      </c>
      <c r="AV664" s="8"/>
      <c r="AW664" s="8"/>
      <c r="AX664" s="8" t="s">
        <v>332</v>
      </c>
      <c r="AY664" s="8" t="s">
        <v>224</v>
      </c>
      <c r="AZ664" s="8" t="s">
        <v>332</v>
      </c>
      <c r="BA664" s="21">
        <f>IF(OR(tblsales[[#This Row],[Invoice Value USD]]="",tblsales[[#This Row],[Collected Amount USD]]=""),"",tblsales[[#This Row],[Invoice Value USD]]-tblsales[[#This Row],[Collected Amount USD]])</f>
        <v>3641063.09</v>
      </c>
      <c r="BB664" s="21">
        <f>IF(OR(tblsales[[#This Row],[Contract Value USD]]="",tblsales[[#This Row],[Cost Estimate USD]]=""),"",tblsales[[#This Row],[Contract Value USD]]-tblsales[[#This Row],[Cost Estimate USD]])</f>
        <v>2853509.4699999997</v>
      </c>
      <c r="BC664" s="21">
        <f>IF(OR(tblsales[[#This Row],[Contract Value USD]]="",tblsales[[#This Row],[Cost Estimate USD]]=""),"",tblsales[[#This Row],[Contract Value USD]]-tblsales[[#This Row],[Cost Estimate USD]])</f>
        <v>2853509.4699999997</v>
      </c>
      <c r="BD664" s="23">
        <f>IF(tblsales[[#This Row],[Invoice Value USD]]="","",tblsales[[#This Row],[Collected Amount USD]]/tblsales[[#This Row],[Invoice Value USD]])</f>
        <v>0.40681564024918948</v>
      </c>
      <c r="BE664" s="11">
        <f>IF(tblsales[[#This Row],[SalesStage]]="Won",1,0)</f>
        <v>0</v>
      </c>
      <c r="BF664" s="21" t="str">
        <f>IF(tblsales[[#This Row],[Win Flag]]=1,"Won","Lost")</f>
        <v>Lost</v>
      </c>
      <c r="BG664" s="8"/>
    </row>
    <row r="665" spans="1:59" x14ac:dyDescent="0.3">
      <c r="A665" s="10" t="s">
        <v>2295</v>
      </c>
      <c r="B665" s="9">
        <v>45842</v>
      </c>
      <c r="C665" s="10" t="s">
        <v>214</v>
      </c>
      <c r="D665" s="10" t="s">
        <v>209</v>
      </c>
      <c r="E665" s="10" t="s">
        <v>41</v>
      </c>
      <c r="F665" s="10" t="s">
        <v>350</v>
      </c>
      <c r="G665" s="10" t="s">
        <v>28</v>
      </c>
      <c r="H665" s="10" t="s">
        <v>182</v>
      </c>
      <c r="I665" s="10" t="s">
        <v>246</v>
      </c>
      <c r="J665" s="10" t="s">
        <v>105</v>
      </c>
      <c r="K665" s="10" t="s">
        <v>199</v>
      </c>
      <c r="L665" s="10" t="s">
        <v>2296</v>
      </c>
      <c r="M665" s="9">
        <v>45677</v>
      </c>
      <c r="N665" s="9">
        <v>45756</v>
      </c>
      <c r="O665" s="9">
        <v>45808</v>
      </c>
      <c r="P665" s="11">
        <v>28</v>
      </c>
      <c r="Q665" s="12">
        <v>19158342</v>
      </c>
      <c r="R665">
        <v>5262796.5473999996</v>
      </c>
      <c r="S665" s="22">
        <v>0.06</v>
      </c>
      <c r="T665" s="22">
        <v>0.03</v>
      </c>
      <c r="U665" s="12">
        <v>18549106.719999999</v>
      </c>
      <c r="V665" s="24">
        <v>5095439.6159839993</v>
      </c>
      <c r="W665" s="8">
        <v>14102312.380000001</v>
      </c>
      <c r="X665" s="24">
        <v>3873905.2107860004</v>
      </c>
      <c r="Y665" s="22">
        <v>0.23</v>
      </c>
      <c r="Z665" s="22">
        <v>0.09</v>
      </c>
      <c r="AA665" s="8" t="s">
        <v>2297</v>
      </c>
      <c r="AB665" s="8">
        <v>10253054.41</v>
      </c>
      <c r="AC665" s="24">
        <v>2816514.0464269998</v>
      </c>
      <c r="AD665" s="8">
        <v>10795857.619999999</v>
      </c>
      <c r="AE665" s="24">
        <v>2965622.0882139998</v>
      </c>
      <c r="AF665" s="8">
        <v>45</v>
      </c>
      <c r="AG665" s="8">
        <v>35</v>
      </c>
      <c r="AH665" s="8" t="s">
        <v>347</v>
      </c>
      <c r="AI665" s="8" t="s">
        <v>381</v>
      </c>
      <c r="AJ665" s="22">
        <v>0.3</v>
      </c>
      <c r="AK665" s="8" t="s">
        <v>155</v>
      </c>
      <c r="AL665" s="22">
        <v>0.1</v>
      </c>
      <c r="AM665" s="22">
        <v>0.09</v>
      </c>
      <c r="AN665" s="8">
        <v>15</v>
      </c>
      <c r="AO665" s="8">
        <v>4825</v>
      </c>
      <c r="AP665" s="8">
        <v>1422982.56</v>
      </c>
      <c r="AQ665" s="24">
        <v>390893.30923200003</v>
      </c>
      <c r="AR665" s="8">
        <v>7728267.7699999996</v>
      </c>
      <c r="AS665" s="37">
        <v>2122955.1564189997</v>
      </c>
      <c r="AT665" s="8" t="s">
        <v>391</v>
      </c>
      <c r="AU665" s="8" t="s">
        <v>332</v>
      </c>
      <c r="AV665" s="8">
        <v>87.9</v>
      </c>
      <c r="AW665" s="8">
        <v>48</v>
      </c>
      <c r="AX665" s="8" t="s">
        <v>332</v>
      </c>
      <c r="AY665" s="8" t="s">
        <v>206</v>
      </c>
      <c r="AZ665" s="8" t="s">
        <v>188</v>
      </c>
      <c r="BA665" s="21">
        <f>IF(OR(tblsales[[#This Row],[Invoice Value USD]]="",tblsales[[#This Row],[Collected Amount USD]]=""),"",tblsales[[#This Row],[Invoice Value USD]]-tblsales[[#This Row],[Collected Amount USD]])</f>
        <v>-149108.04178699991</v>
      </c>
      <c r="BB665" s="21">
        <f>IF(OR(tblsales[[#This Row],[Contract Value USD]]="",tblsales[[#This Row],[Cost Estimate USD]]=""),"",tblsales[[#This Row],[Contract Value USD]]-tblsales[[#This Row],[Cost Estimate USD]])</f>
        <v>1221534.405197999</v>
      </c>
      <c r="BC665" s="21">
        <f>IF(OR(tblsales[[#This Row],[Contract Value USD]]="",tblsales[[#This Row],[Cost Estimate USD]]=""),"",tblsales[[#This Row],[Contract Value USD]]-tblsales[[#This Row],[Cost Estimate USD]])</f>
        <v>1221534.405197999</v>
      </c>
      <c r="BD665" s="23">
        <f>IF(tblsales[[#This Row],[Invoice Value USD]]="","",tblsales[[#This Row],[Collected Amount USD]]/tblsales[[#This Row],[Invoice Value USD]])</f>
        <v>1.0529406348873556</v>
      </c>
      <c r="BE665" s="11">
        <f>IF(tblsales[[#This Row],[SalesStage]]="Won",1,0)</f>
        <v>0</v>
      </c>
      <c r="BF665" s="21" t="str">
        <f>IF(tblsales[[#This Row],[Win Flag]]=1,"Won","Lost")</f>
        <v>Lost</v>
      </c>
      <c r="BG665" s="8"/>
    </row>
    <row r="666" spans="1:59" x14ac:dyDescent="0.3">
      <c r="A666" s="10" t="s">
        <v>2298</v>
      </c>
      <c r="B666" s="9">
        <v>45748</v>
      </c>
      <c r="C666" s="10" t="s">
        <v>284</v>
      </c>
      <c r="D666" s="10" t="s">
        <v>253</v>
      </c>
      <c r="E666" s="10" t="s">
        <v>113</v>
      </c>
      <c r="F666" s="10" t="s">
        <v>367</v>
      </c>
      <c r="G666" s="10" t="s">
        <v>50</v>
      </c>
      <c r="H666" s="10" t="s">
        <v>332</v>
      </c>
      <c r="I666" s="10" t="s">
        <v>246</v>
      </c>
      <c r="J666" s="10" t="s">
        <v>111</v>
      </c>
      <c r="K666" s="10" t="s">
        <v>221</v>
      </c>
      <c r="L666" s="10" t="s">
        <v>2299</v>
      </c>
      <c r="M666" s="9">
        <v>45665</v>
      </c>
      <c r="N666" s="9">
        <v>45766</v>
      </c>
      <c r="O666" s="9">
        <v>45852</v>
      </c>
      <c r="P666" s="11">
        <v>7</v>
      </c>
      <c r="Q666" s="12">
        <v>35514329</v>
      </c>
      <c r="R666">
        <v>35514329</v>
      </c>
      <c r="S666" s="22">
        <v>0.13</v>
      </c>
      <c r="T666" s="22">
        <v>-0.02</v>
      </c>
      <c r="U666" s="12">
        <v>30279516.91</v>
      </c>
      <c r="V666" s="24">
        <v>30279516.91</v>
      </c>
      <c r="W666" s="8">
        <v>23257168.52</v>
      </c>
      <c r="X666" s="24">
        <v>23257168.52</v>
      </c>
      <c r="Y666" s="22">
        <v>0.11</v>
      </c>
      <c r="Z666" s="22">
        <v>0.19</v>
      </c>
      <c r="AA666" s="8" t="s">
        <v>2300</v>
      </c>
      <c r="AB666" s="8">
        <v>17959495.02</v>
      </c>
      <c r="AC666" s="24">
        <v>17959495.02</v>
      </c>
      <c r="AD666" s="8">
        <v>7546054.5700000003</v>
      </c>
      <c r="AE666" s="24">
        <v>7546054.5700000003</v>
      </c>
      <c r="AF666" s="8">
        <v>60</v>
      </c>
      <c r="AG666" s="8">
        <v>80</v>
      </c>
      <c r="AH666" s="8" t="s">
        <v>353</v>
      </c>
      <c r="AI666" s="8" t="s">
        <v>320</v>
      </c>
      <c r="AJ666" s="22">
        <v>0.43</v>
      </c>
      <c r="AK666" s="8" t="s">
        <v>152</v>
      </c>
      <c r="AL666" s="22">
        <v>0.1</v>
      </c>
      <c r="AM666" s="22">
        <v>7.0000000000000007E-2</v>
      </c>
      <c r="AN666" s="8">
        <v>15</v>
      </c>
      <c r="AO666" s="8">
        <v>4002</v>
      </c>
      <c r="AP666" s="8">
        <v>1564150.62</v>
      </c>
      <c r="AQ666" s="24">
        <v>1564150.62</v>
      </c>
      <c r="AR666" s="8">
        <v>9146613.0999999996</v>
      </c>
      <c r="AS666" s="37">
        <v>9146613.0999999996</v>
      </c>
      <c r="AT666" s="8" t="s">
        <v>391</v>
      </c>
      <c r="AU666" s="8" t="s">
        <v>386</v>
      </c>
      <c r="AV666" s="8">
        <v>52.6</v>
      </c>
      <c r="AW666" s="8">
        <v>48</v>
      </c>
      <c r="AX666" s="8" t="s">
        <v>332</v>
      </c>
      <c r="AY666" s="8" t="s">
        <v>192</v>
      </c>
      <c r="AZ666" s="8" t="s">
        <v>377</v>
      </c>
      <c r="BA666" s="21">
        <f>IF(OR(tblsales[[#This Row],[Invoice Value USD]]="",tblsales[[#This Row],[Collected Amount USD]]=""),"",tblsales[[#This Row],[Invoice Value USD]]-tblsales[[#This Row],[Collected Amount USD]])</f>
        <v>10413440.449999999</v>
      </c>
      <c r="BB666" s="21">
        <f>IF(OR(tblsales[[#This Row],[Contract Value USD]]="",tblsales[[#This Row],[Cost Estimate USD]]=""),"",tblsales[[#This Row],[Contract Value USD]]-tblsales[[#This Row],[Cost Estimate USD]])</f>
        <v>7022348.3900000006</v>
      </c>
      <c r="BC666" s="21">
        <f>IF(OR(tblsales[[#This Row],[Contract Value USD]]="",tblsales[[#This Row],[Cost Estimate USD]]=""),"",tblsales[[#This Row],[Contract Value USD]]-tblsales[[#This Row],[Cost Estimate USD]])</f>
        <v>7022348.3900000006</v>
      </c>
      <c r="BD666" s="23">
        <f>IF(tblsales[[#This Row],[Invoice Value USD]]="","",tblsales[[#This Row],[Collected Amount USD]]/tblsales[[#This Row],[Invoice Value USD]])</f>
        <v>0.42017075433338108</v>
      </c>
      <c r="BE666" s="11">
        <f>IF(tblsales[[#This Row],[SalesStage]]="Won",1,0)</f>
        <v>1</v>
      </c>
      <c r="BF666" s="21" t="str">
        <f>IF(tblsales[[#This Row],[Win Flag]]=1,"Won","Lost")</f>
        <v>Won</v>
      </c>
      <c r="BG666" s="8"/>
    </row>
    <row r="667" spans="1:59" x14ac:dyDescent="0.3">
      <c r="A667" s="10" t="s">
        <v>2301</v>
      </c>
      <c r="B667" s="9">
        <v>46020</v>
      </c>
      <c r="C667" s="10" t="s">
        <v>211</v>
      </c>
      <c r="D667" s="10" t="s">
        <v>215</v>
      </c>
      <c r="E667" s="10" t="s">
        <v>41</v>
      </c>
      <c r="F667" s="10" t="s">
        <v>350</v>
      </c>
      <c r="G667" s="10" t="s">
        <v>28</v>
      </c>
      <c r="H667" s="10" t="s">
        <v>236</v>
      </c>
      <c r="I667" s="10" t="s">
        <v>332</v>
      </c>
      <c r="J667" s="10" t="s">
        <v>105</v>
      </c>
      <c r="K667" s="10" t="s">
        <v>184</v>
      </c>
      <c r="L667" s="10" t="s">
        <v>2302</v>
      </c>
      <c r="M667" s="9">
        <v>45879</v>
      </c>
      <c r="N667" s="9">
        <v>46205</v>
      </c>
      <c r="O667" s="9">
        <v>46051</v>
      </c>
      <c r="P667" s="11">
        <v>43</v>
      </c>
      <c r="Q667" s="12">
        <v>32324395</v>
      </c>
      <c r="R667">
        <v>32324395</v>
      </c>
      <c r="S667" s="22">
        <v>0.2</v>
      </c>
      <c r="T667" s="22">
        <v>0.11</v>
      </c>
      <c r="U667" s="12">
        <v>28704062.760000002</v>
      </c>
      <c r="V667" s="24">
        <v>28704062.760000002</v>
      </c>
      <c r="W667" s="8">
        <v>21655875.260000002</v>
      </c>
      <c r="X667" s="24">
        <v>21655875.260000002</v>
      </c>
      <c r="Y667" s="22">
        <v>0.11</v>
      </c>
      <c r="Z667" s="22">
        <v>7.0000000000000007E-2</v>
      </c>
      <c r="AA667" s="8" t="s">
        <v>2303</v>
      </c>
      <c r="AB667" s="8">
        <v>21200165.219999999</v>
      </c>
      <c r="AC667" s="24">
        <v>21200165.219999999</v>
      </c>
      <c r="AD667" s="8">
        <v>19831444.239999998</v>
      </c>
      <c r="AE667" s="24">
        <v>19831444.239999998</v>
      </c>
      <c r="AF667" s="8">
        <v>30</v>
      </c>
      <c r="AG667" s="8">
        <v>12</v>
      </c>
      <c r="AH667" s="8" t="s">
        <v>353</v>
      </c>
      <c r="AI667" s="8" t="s">
        <v>381</v>
      </c>
      <c r="AJ667" s="22">
        <v>0.56999999999999995</v>
      </c>
      <c r="AK667" s="8" t="s">
        <v>152</v>
      </c>
      <c r="AL667" s="22">
        <v>0.15</v>
      </c>
      <c r="AM667" s="22">
        <v>0.02</v>
      </c>
      <c r="AN667" s="8">
        <v>0</v>
      </c>
      <c r="AO667" s="8">
        <v>3238</v>
      </c>
      <c r="AP667" s="8">
        <v>5220327.5199999996</v>
      </c>
      <c r="AQ667" s="24">
        <v>5220327.5199999996</v>
      </c>
      <c r="AR667" s="8">
        <v>6285167.8899999997</v>
      </c>
      <c r="AS667" s="37">
        <v>6285167.8899999997</v>
      </c>
      <c r="AT667" s="8" t="s">
        <v>385</v>
      </c>
      <c r="AU667" s="8" t="s">
        <v>322</v>
      </c>
      <c r="AV667" s="8">
        <v>83.7</v>
      </c>
      <c r="AW667" s="8">
        <v>12</v>
      </c>
      <c r="AX667" s="8" t="s">
        <v>332</v>
      </c>
      <c r="AY667" s="8" t="s">
        <v>186</v>
      </c>
      <c r="AZ667" s="8" t="s">
        <v>377</v>
      </c>
      <c r="BA667" s="21">
        <f>IF(OR(tblsales[[#This Row],[Invoice Value USD]]="",tblsales[[#This Row],[Collected Amount USD]]=""),"",tblsales[[#This Row],[Invoice Value USD]]-tblsales[[#This Row],[Collected Amount USD]])</f>
        <v>1368720.9800000004</v>
      </c>
      <c r="BB667" s="21">
        <f>IF(OR(tblsales[[#This Row],[Contract Value USD]]="",tblsales[[#This Row],[Cost Estimate USD]]=""),"",tblsales[[#This Row],[Contract Value USD]]-tblsales[[#This Row],[Cost Estimate USD]])</f>
        <v>7048187.5</v>
      </c>
      <c r="BC667" s="21">
        <f>IF(OR(tblsales[[#This Row],[Contract Value USD]]="",tblsales[[#This Row],[Cost Estimate USD]]=""),"",tblsales[[#This Row],[Contract Value USD]]-tblsales[[#This Row],[Cost Estimate USD]])</f>
        <v>7048187.5</v>
      </c>
      <c r="BD667" s="23">
        <f>IF(tblsales[[#This Row],[Invoice Value USD]]="","",tblsales[[#This Row],[Collected Amount USD]]/tblsales[[#This Row],[Invoice Value USD]])</f>
        <v>0.93543819277838625</v>
      </c>
      <c r="BE667" s="11">
        <f>IF(tblsales[[#This Row],[SalesStage]]="Won",1,0)</f>
        <v>0</v>
      </c>
      <c r="BF667" s="21" t="str">
        <f>IF(tblsales[[#This Row],[Win Flag]]=1,"Won","Lost")</f>
        <v>Lost</v>
      </c>
      <c r="BG667" s="8"/>
    </row>
    <row r="668" spans="1:59" x14ac:dyDescent="0.3">
      <c r="A668" s="10" t="s">
        <v>2304</v>
      </c>
      <c r="B668" s="9">
        <v>45690</v>
      </c>
      <c r="C668" s="10" t="s">
        <v>268</v>
      </c>
      <c r="D668" s="10" t="s">
        <v>215</v>
      </c>
      <c r="E668" s="10" t="s">
        <v>113</v>
      </c>
      <c r="F668" s="10" t="s">
        <v>367</v>
      </c>
      <c r="G668" s="10" t="s">
        <v>66</v>
      </c>
      <c r="H668" s="10" t="s">
        <v>216</v>
      </c>
      <c r="I668" s="10" t="s">
        <v>240</v>
      </c>
      <c r="J668" s="10" t="s">
        <v>111</v>
      </c>
      <c r="K668" s="10" t="s">
        <v>333</v>
      </c>
      <c r="L668" s="10" t="s">
        <v>2305</v>
      </c>
      <c r="M668" s="9">
        <v>45515</v>
      </c>
      <c r="N668" s="9"/>
      <c r="O668" s="9">
        <v>45752</v>
      </c>
      <c r="P668" s="11">
        <v>46</v>
      </c>
      <c r="Q668" s="12">
        <v>12282373</v>
      </c>
      <c r="R668">
        <v>12282373</v>
      </c>
      <c r="S668" s="22">
        <v>0.23</v>
      </c>
      <c r="T668" s="22">
        <v>0.17</v>
      </c>
      <c r="U668" s="12">
        <v>11065189.84</v>
      </c>
      <c r="V668" s="24">
        <v>11065189.84</v>
      </c>
      <c r="W668" s="8">
        <v>9518668.1899999995</v>
      </c>
      <c r="X668" s="24">
        <v>9518668.1899999995</v>
      </c>
      <c r="Y668" s="22"/>
      <c r="Z668" s="22">
        <v>0.17</v>
      </c>
      <c r="AA668" s="8" t="s">
        <v>2306</v>
      </c>
      <c r="AB668" s="8">
        <v>2961224.18</v>
      </c>
      <c r="AC668" s="24">
        <v>2961224.18</v>
      </c>
      <c r="AD668" s="8">
        <v>2686111.27</v>
      </c>
      <c r="AE668" s="24">
        <v>2686111.27</v>
      </c>
      <c r="AF668" s="8">
        <v>45</v>
      </c>
      <c r="AG668" s="8">
        <v>84</v>
      </c>
      <c r="AH668" s="8" t="s">
        <v>342</v>
      </c>
      <c r="AI668" s="8" t="s">
        <v>406</v>
      </c>
      <c r="AJ668" s="22">
        <v>0.27</v>
      </c>
      <c r="AK668" s="8" t="s">
        <v>152</v>
      </c>
      <c r="AL668" s="22">
        <v>0.1</v>
      </c>
      <c r="AM668" s="22">
        <v>0.05</v>
      </c>
      <c r="AN668" s="8">
        <v>14</v>
      </c>
      <c r="AO668" s="8">
        <v>3240</v>
      </c>
      <c r="AP668" s="8">
        <v>2023113.66</v>
      </c>
      <c r="AQ668" s="24">
        <v>2023113.66</v>
      </c>
      <c r="AR668" s="8">
        <v>4483373.63</v>
      </c>
      <c r="AS668" s="37">
        <v>4483373.63</v>
      </c>
      <c r="AT668" s="8" t="s">
        <v>391</v>
      </c>
      <c r="AU668" s="8" t="s">
        <v>321</v>
      </c>
      <c r="AV668" s="8">
        <v>99.6</v>
      </c>
      <c r="AW668" s="8">
        <v>36</v>
      </c>
      <c r="AX668" s="8" t="s">
        <v>387</v>
      </c>
      <c r="AY668" s="8" t="s">
        <v>224</v>
      </c>
      <c r="AZ668" s="8" t="s">
        <v>332</v>
      </c>
      <c r="BA668" s="21">
        <f>IF(OR(tblsales[[#This Row],[Invoice Value USD]]="",tblsales[[#This Row],[Collected Amount USD]]=""),"",tblsales[[#This Row],[Invoice Value USD]]-tblsales[[#This Row],[Collected Amount USD]])</f>
        <v>275112.91000000015</v>
      </c>
      <c r="BB668" s="21">
        <f>IF(OR(tblsales[[#This Row],[Contract Value USD]]="",tblsales[[#This Row],[Cost Estimate USD]]=""),"",tblsales[[#This Row],[Contract Value USD]]-tblsales[[#This Row],[Cost Estimate USD]])</f>
        <v>1546521.6500000004</v>
      </c>
      <c r="BC668" s="21">
        <f>IF(OR(tblsales[[#This Row],[Contract Value USD]]="",tblsales[[#This Row],[Cost Estimate USD]]=""),"",tblsales[[#This Row],[Contract Value USD]]-tblsales[[#This Row],[Cost Estimate USD]])</f>
        <v>1546521.6500000004</v>
      </c>
      <c r="BD668" s="23">
        <f>IF(tblsales[[#This Row],[Invoice Value USD]]="","",tblsales[[#This Row],[Collected Amount USD]]/tblsales[[#This Row],[Invoice Value USD]])</f>
        <v>0.90709487249965648</v>
      </c>
      <c r="BE668" s="11">
        <f>IF(tblsales[[#This Row],[SalesStage]]="Won",1,0)</f>
        <v>0</v>
      </c>
      <c r="BF668" s="21" t="str">
        <f>IF(tblsales[[#This Row],[Win Flag]]=1,"Won","Lost")</f>
        <v>Lost</v>
      </c>
      <c r="BG668" s="8"/>
    </row>
    <row r="669" spans="1:59" x14ac:dyDescent="0.3">
      <c r="A669" s="10" t="s">
        <v>2307</v>
      </c>
      <c r="B669" s="9">
        <v>45846</v>
      </c>
      <c r="C669" s="10" t="s">
        <v>261</v>
      </c>
      <c r="D669" s="10" t="s">
        <v>265</v>
      </c>
      <c r="E669" s="10" t="s">
        <v>113</v>
      </c>
      <c r="F669" s="10" t="s">
        <v>367</v>
      </c>
      <c r="G669" s="10" t="s">
        <v>46</v>
      </c>
      <c r="H669" s="10" t="s">
        <v>197</v>
      </c>
      <c r="I669" s="10" t="s">
        <v>198</v>
      </c>
      <c r="J669" s="10" t="s">
        <v>111</v>
      </c>
      <c r="K669" s="10" t="s">
        <v>221</v>
      </c>
      <c r="L669" s="10" t="s">
        <v>2308</v>
      </c>
      <c r="M669" s="9">
        <v>45760</v>
      </c>
      <c r="N669" s="9">
        <v>45899</v>
      </c>
      <c r="O669" s="9">
        <v>45929</v>
      </c>
      <c r="P669" s="11">
        <v>27</v>
      </c>
      <c r="Q669" s="12">
        <v>26375691</v>
      </c>
      <c r="R669">
        <v>30622177.251000002</v>
      </c>
      <c r="S669" s="22">
        <v>0.15</v>
      </c>
      <c r="T669" s="22">
        <v>0.11</v>
      </c>
      <c r="U669" s="12">
        <v>24885464.460000001</v>
      </c>
      <c r="V669" s="24">
        <v>28892024.238060001</v>
      </c>
      <c r="W669" s="8">
        <v>19480788.52</v>
      </c>
      <c r="X669" s="24">
        <v>22617195.471719999</v>
      </c>
      <c r="Y669" s="22">
        <v>0.26</v>
      </c>
      <c r="Z669" s="22">
        <v>0.15</v>
      </c>
      <c r="AA669" s="8" t="s">
        <v>2309</v>
      </c>
      <c r="AB669" s="8">
        <v>6426245.5899999999</v>
      </c>
      <c r="AC669" s="24">
        <v>7460871.1299900003</v>
      </c>
      <c r="AD669" s="8">
        <v>7015246.29</v>
      </c>
      <c r="AE669" s="24">
        <v>8144700.9426899999</v>
      </c>
      <c r="AF669" s="8">
        <v>30</v>
      </c>
      <c r="AG669" s="8">
        <v>56</v>
      </c>
      <c r="AH669" s="8" t="s">
        <v>353</v>
      </c>
      <c r="AI669" s="8" t="s">
        <v>336</v>
      </c>
      <c r="AJ669" s="22">
        <v>0.19</v>
      </c>
      <c r="AK669" s="8" t="s">
        <v>159</v>
      </c>
      <c r="AL669" s="22">
        <v>0.05</v>
      </c>
      <c r="AM669" s="22">
        <v>0.04</v>
      </c>
      <c r="AN669" s="8">
        <v>11</v>
      </c>
      <c r="AO669" s="8">
        <v>3625</v>
      </c>
      <c r="AP669" s="8">
        <v>4493026.28</v>
      </c>
      <c r="AQ669" s="24">
        <v>5216403.5110800005</v>
      </c>
      <c r="AR669" s="8">
        <v>8262913.0199999996</v>
      </c>
      <c r="AS669" s="37">
        <v>9593242.0162199996</v>
      </c>
      <c r="AT669" s="8" t="s">
        <v>343</v>
      </c>
      <c r="AU669" s="8" t="s">
        <v>356</v>
      </c>
      <c r="AV669" s="8">
        <v>55.4</v>
      </c>
      <c r="AW669" s="8">
        <v>60</v>
      </c>
      <c r="AX669" s="8" t="s">
        <v>337</v>
      </c>
      <c r="AY669" s="8" t="s">
        <v>192</v>
      </c>
      <c r="AZ669" s="8" t="s">
        <v>377</v>
      </c>
      <c r="BA669" s="21">
        <f>IF(OR(tblsales[[#This Row],[Invoice Value USD]]="",tblsales[[#This Row],[Collected Amount USD]]=""),"",tblsales[[#This Row],[Invoice Value USD]]-tblsales[[#This Row],[Collected Amount USD]])</f>
        <v>-683829.81269999966</v>
      </c>
      <c r="BB669" s="21">
        <f>IF(OR(tblsales[[#This Row],[Contract Value USD]]="",tblsales[[#This Row],[Cost Estimate USD]]=""),"",tblsales[[#This Row],[Contract Value USD]]-tblsales[[#This Row],[Cost Estimate USD]])</f>
        <v>6274828.7663400024</v>
      </c>
      <c r="BC669" s="21">
        <f>IF(OR(tblsales[[#This Row],[Contract Value USD]]="",tblsales[[#This Row],[Cost Estimate USD]]=""),"",tblsales[[#This Row],[Contract Value USD]]-tblsales[[#This Row],[Cost Estimate USD]])</f>
        <v>6274828.7663400024</v>
      </c>
      <c r="BD669" s="23">
        <f>IF(tblsales[[#This Row],[Invoice Value USD]]="","",tblsales[[#This Row],[Collected Amount USD]]/tblsales[[#This Row],[Invoice Value USD]])</f>
        <v>1.091655491803263</v>
      </c>
      <c r="BE669" s="11">
        <f>IF(tblsales[[#This Row],[SalesStage]]="Won",1,0)</f>
        <v>0</v>
      </c>
      <c r="BF669" s="21" t="str">
        <f>IF(tblsales[[#This Row],[Win Flag]]=1,"Won","Lost")</f>
        <v>Lost</v>
      </c>
      <c r="BG669" s="8"/>
    </row>
    <row r="670" spans="1:59" x14ac:dyDescent="0.3">
      <c r="A670" s="10" t="s">
        <v>2310</v>
      </c>
      <c r="B670" s="9">
        <v>45689</v>
      </c>
      <c r="C670" s="10" t="s">
        <v>214</v>
      </c>
      <c r="D670" s="10" t="s">
        <v>253</v>
      </c>
      <c r="E670" s="10" t="s">
        <v>113</v>
      </c>
      <c r="F670" s="10" t="s">
        <v>367</v>
      </c>
      <c r="G670" s="10" t="s">
        <v>70</v>
      </c>
      <c r="H670" s="10" t="s">
        <v>332</v>
      </c>
      <c r="I670" s="10" t="s">
        <v>183</v>
      </c>
      <c r="J670" s="10" t="s">
        <v>123</v>
      </c>
      <c r="K670" s="10" t="s">
        <v>333</v>
      </c>
      <c r="L670" s="10" t="s">
        <v>2311</v>
      </c>
      <c r="M670" s="9">
        <v>45599</v>
      </c>
      <c r="N670" s="9">
        <v>45712</v>
      </c>
      <c r="O670" s="9">
        <v>45799</v>
      </c>
      <c r="P670" s="11">
        <v>41</v>
      </c>
      <c r="Q670" s="12">
        <v>43951330</v>
      </c>
      <c r="R670">
        <v>43951330</v>
      </c>
      <c r="S670" s="22">
        <v>0.14000000000000001</v>
      </c>
      <c r="T670" s="22">
        <v>0.05</v>
      </c>
      <c r="U670" s="12">
        <v>39688050.990000002</v>
      </c>
      <c r="V670" s="24">
        <v>39688050.990000002</v>
      </c>
      <c r="W670" s="8">
        <v>32734297.02</v>
      </c>
      <c r="X670" s="24">
        <v>32734297.02</v>
      </c>
      <c r="Y670" s="22">
        <v>0.21</v>
      </c>
      <c r="Z670" s="22">
        <v>0.15</v>
      </c>
      <c r="AA670" s="8" t="s">
        <v>2312</v>
      </c>
      <c r="AB670" s="8">
        <v>25970093.41</v>
      </c>
      <c r="AC670" s="24">
        <v>25970093.41</v>
      </c>
      <c r="AD670" s="8">
        <v>10245102.73</v>
      </c>
      <c r="AE670" s="24">
        <v>10245102.73</v>
      </c>
      <c r="AF670" s="8">
        <v>30</v>
      </c>
      <c r="AG670" s="8">
        <v>92</v>
      </c>
      <c r="AH670" s="8" t="s">
        <v>353</v>
      </c>
      <c r="AI670" s="8" t="s">
        <v>381</v>
      </c>
      <c r="AJ670" s="22">
        <v>0.69</v>
      </c>
      <c r="AK670" s="8" t="s">
        <v>152</v>
      </c>
      <c r="AL670" s="22">
        <v>0.1</v>
      </c>
      <c r="AM670" s="22">
        <v>0.03</v>
      </c>
      <c r="AN670" s="8">
        <v>14</v>
      </c>
      <c r="AO670" s="8">
        <v>1502</v>
      </c>
      <c r="AP670" s="8">
        <v>9191146.3499999996</v>
      </c>
      <c r="AQ670" s="24">
        <v>9191146.3499999996</v>
      </c>
      <c r="AR670" s="8">
        <v>16122534.609999999</v>
      </c>
      <c r="AS670" s="37">
        <v>16122534.609999999</v>
      </c>
      <c r="AT670" s="8" t="s">
        <v>391</v>
      </c>
      <c r="AU670" s="8" t="s">
        <v>386</v>
      </c>
      <c r="AV670" s="8">
        <v>75.8</v>
      </c>
      <c r="AW670" s="8">
        <v>36</v>
      </c>
      <c r="AX670" s="8" t="s">
        <v>387</v>
      </c>
      <c r="AY670" s="8" t="s">
        <v>224</v>
      </c>
      <c r="AZ670" s="8" t="s">
        <v>332</v>
      </c>
      <c r="BA670" s="21">
        <f>IF(OR(tblsales[[#This Row],[Invoice Value USD]]="",tblsales[[#This Row],[Collected Amount USD]]=""),"",tblsales[[#This Row],[Invoice Value USD]]-tblsales[[#This Row],[Collected Amount USD]])</f>
        <v>15724990.68</v>
      </c>
      <c r="BB670" s="21">
        <f>IF(OR(tblsales[[#This Row],[Contract Value USD]]="",tblsales[[#This Row],[Cost Estimate USD]]=""),"",tblsales[[#This Row],[Contract Value USD]]-tblsales[[#This Row],[Cost Estimate USD]])</f>
        <v>6953753.9700000025</v>
      </c>
      <c r="BC670" s="21">
        <f>IF(OR(tblsales[[#This Row],[Contract Value USD]]="",tblsales[[#This Row],[Cost Estimate USD]]=""),"",tblsales[[#This Row],[Contract Value USD]]-tblsales[[#This Row],[Cost Estimate USD]])</f>
        <v>6953753.9700000025</v>
      </c>
      <c r="BD670" s="23">
        <f>IF(tblsales[[#This Row],[Invoice Value USD]]="","",tblsales[[#This Row],[Collected Amount USD]]/tblsales[[#This Row],[Invoice Value USD]])</f>
        <v>0.39449618329270386</v>
      </c>
      <c r="BE670" s="11">
        <f>IF(tblsales[[#This Row],[SalesStage]]="Won",1,0)</f>
        <v>0</v>
      </c>
      <c r="BF670" s="21" t="str">
        <f>IF(tblsales[[#This Row],[Win Flag]]=1,"Won","Lost")</f>
        <v>Lost</v>
      </c>
      <c r="BG670" s="8"/>
    </row>
    <row r="671" spans="1:59" x14ac:dyDescent="0.3">
      <c r="A671" s="10" t="s">
        <v>2313</v>
      </c>
      <c r="B671" s="9">
        <v>45951</v>
      </c>
      <c r="C671" s="10" t="s">
        <v>279</v>
      </c>
      <c r="D671" s="10" t="s">
        <v>238</v>
      </c>
      <c r="E671" s="10" t="s">
        <v>52</v>
      </c>
      <c r="F671" s="10" t="s">
        <v>75</v>
      </c>
      <c r="G671" s="10" t="s">
        <v>33</v>
      </c>
      <c r="H671" s="10" t="s">
        <v>182</v>
      </c>
      <c r="I671" s="10" t="s">
        <v>240</v>
      </c>
      <c r="J671" s="10" t="s">
        <v>119</v>
      </c>
      <c r="K671" s="10" t="s">
        <v>223</v>
      </c>
      <c r="L671" s="10" t="s">
        <v>2314</v>
      </c>
      <c r="M671" s="9">
        <v>45933</v>
      </c>
      <c r="N671" s="9">
        <v>45881</v>
      </c>
      <c r="O671" s="9">
        <v>46066</v>
      </c>
      <c r="P671" s="11">
        <v>41</v>
      </c>
      <c r="Q671" s="12">
        <v>16795159</v>
      </c>
      <c r="R671">
        <v>4573321.7956999997</v>
      </c>
      <c r="S671" s="22">
        <v>0.08</v>
      </c>
      <c r="T671" s="22">
        <v>0.12</v>
      </c>
      <c r="U671" s="12">
        <v>17305731.829999998</v>
      </c>
      <c r="V671" s="24">
        <v>4712350.7773089996</v>
      </c>
      <c r="W671" s="8">
        <v>11526212.029999999</v>
      </c>
      <c r="X671" s="24">
        <v>3138587.5357689997</v>
      </c>
      <c r="Y671" s="22">
        <v>0.36</v>
      </c>
      <c r="Z671" s="22">
        <v>0.15</v>
      </c>
      <c r="AA671" s="8" t="s">
        <v>2315</v>
      </c>
      <c r="AB671" s="8">
        <v>2407899.48</v>
      </c>
      <c r="AC671" s="24">
        <v>655671.02840399998</v>
      </c>
      <c r="AD671" s="8">
        <v>2611336.98</v>
      </c>
      <c r="AE671" s="24">
        <v>711067.05965399998</v>
      </c>
      <c r="AF671" s="8">
        <v>90</v>
      </c>
      <c r="AG671" s="8">
        <v>131</v>
      </c>
      <c r="AH671" s="8" t="s">
        <v>353</v>
      </c>
      <c r="AI671" s="8" t="s">
        <v>354</v>
      </c>
      <c r="AJ671" s="22">
        <v>0.59</v>
      </c>
      <c r="AK671" s="8" t="s">
        <v>153</v>
      </c>
      <c r="AL671" s="22">
        <v>0.1</v>
      </c>
      <c r="AM671" s="22">
        <v>0.08</v>
      </c>
      <c r="AN671" s="8">
        <v>13</v>
      </c>
      <c r="AO671" s="8">
        <v>1249</v>
      </c>
      <c r="AP671" s="8">
        <v>2523101.89</v>
      </c>
      <c r="AQ671" s="24">
        <v>687040.64464700001</v>
      </c>
      <c r="AR671" s="8">
        <v>2958143.89</v>
      </c>
      <c r="AS671" s="37">
        <v>805502.58124700002</v>
      </c>
      <c r="AT671" s="8" t="s">
        <v>321</v>
      </c>
      <c r="AU671" s="8" t="s">
        <v>386</v>
      </c>
      <c r="AV671" s="8">
        <v>83.4</v>
      </c>
      <c r="AW671" s="8">
        <v>24</v>
      </c>
      <c r="AX671" s="8" t="s">
        <v>387</v>
      </c>
      <c r="AY671" s="8" t="s">
        <v>192</v>
      </c>
      <c r="AZ671" s="8" t="s">
        <v>324</v>
      </c>
      <c r="BA671" s="21">
        <f>IF(OR(tblsales[[#This Row],[Invoice Value USD]]="",tblsales[[#This Row],[Collected Amount USD]]=""),"",tblsales[[#This Row],[Invoice Value USD]]-tblsales[[#This Row],[Collected Amount USD]])</f>
        <v>-55396.03125</v>
      </c>
      <c r="BB671" s="21">
        <f>IF(OR(tblsales[[#This Row],[Contract Value USD]]="",tblsales[[#This Row],[Cost Estimate USD]]=""),"",tblsales[[#This Row],[Contract Value USD]]-tblsales[[#This Row],[Cost Estimate USD]])</f>
        <v>1573763.2415399998</v>
      </c>
      <c r="BC671" s="21">
        <f>IF(OR(tblsales[[#This Row],[Contract Value USD]]="",tblsales[[#This Row],[Cost Estimate USD]]=""),"",tblsales[[#This Row],[Contract Value USD]]-tblsales[[#This Row],[Cost Estimate USD]])</f>
        <v>1573763.2415399998</v>
      </c>
      <c r="BD671" s="23">
        <f>IF(tblsales[[#This Row],[Invoice Value USD]]="","",tblsales[[#This Row],[Collected Amount USD]]/tblsales[[#This Row],[Invoice Value USD]])</f>
        <v>1.0844875384914323</v>
      </c>
      <c r="BE671" s="11">
        <f>IF(tblsales[[#This Row],[SalesStage]]="Won",1,0)</f>
        <v>0</v>
      </c>
      <c r="BF671" s="21" t="str">
        <f>IF(tblsales[[#This Row],[Win Flag]]=1,"Won","Lost")</f>
        <v>Lost</v>
      </c>
      <c r="BG671" s="8"/>
    </row>
    <row r="672" spans="1:59" x14ac:dyDescent="0.3">
      <c r="A672" s="10" t="s">
        <v>2316</v>
      </c>
      <c r="B672" s="9">
        <v>45968</v>
      </c>
      <c r="C672" s="10" t="s">
        <v>267</v>
      </c>
      <c r="D672" s="10" t="s">
        <v>281</v>
      </c>
      <c r="E672" s="10" t="s">
        <v>332</v>
      </c>
      <c r="F672" s="10" t="s">
        <v>350</v>
      </c>
      <c r="G672" s="10" t="s">
        <v>38</v>
      </c>
      <c r="H672" s="10" t="s">
        <v>182</v>
      </c>
      <c r="I672" s="10" t="s">
        <v>240</v>
      </c>
      <c r="J672" s="10" t="s">
        <v>99</v>
      </c>
      <c r="K672" s="10" t="s">
        <v>223</v>
      </c>
      <c r="L672" s="10" t="s">
        <v>2317</v>
      </c>
      <c r="M672" s="9">
        <v>45833</v>
      </c>
      <c r="N672" s="9">
        <v>45879</v>
      </c>
      <c r="O672" s="9">
        <v>45918</v>
      </c>
      <c r="P672" s="11">
        <v>50</v>
      </c>
      <c r="Q672" s="12">
        <v>48934434</v>
      </c>
      <c r="R672">
        <v>48934434</v>
      </c>
      <c r="S672" s="22">
        <v>0.31</v>
      </c>
      <c r="T672" s="22">
        <v>0.04</v>
      </c>
      <c r="U672" s="12">
        <v>35115349.840000004</v>
      </c>
      <c r="V672" s="24">
        <v>35115349.840000004</v>
      </c>
      <c r="W672" s="8">
        <v>26788832.440000001</v>
      </c>
      <c r="X672" s="24">
        <v>26788832.440000001</v>
      </c>
      <c r="Y672" s="22">
        <v>0.16</v>
      </c>
      <c r="Z672" s="22">
        <v>0.05</v>
      </c>
      <c r="AA672" s="8" t="s">
        <v>2318</v>
      </c>
      <c r="AB672" s="8">
        <v>28781688.600000001</v>
      </c>
      <c r="AC672" s="24">
        <v>28781688.600000001</v>
      </c>
      <c r="AD672" s="8">
        <v>23576078.219999999</v>
      </c>
      <c r="AE672" s="24">
        <v>23576078.219999999</v>
      </c>
      <c r="AF672" s="8">
        <v>60</v>
      </c>
      <c r="AG672" s="8">
        <v>125</v>
      </c>
      <c r="AH672" s="8" t="s">
        <v>342</v>
      </c>
      <c r="AI672" s="8" t="s">
        <v>226</v>
      </c>
      <c r="AJ672" s="22">
        <v>0.94</v>
      </c>
      <c r="AK672" s="8" t="s">
        <v>152</v>
      </c>
      <c r="AL672" s="22">
        <v>0.1</v>
      </c>
      <c r="AM672" s="22">
        <v>0.06</v>
      </c>
      <c r="AN672" s="8">
        <v>9</v>
      </c>
      <c r="AO672" s="8">
        <v>2139</v>
      </c>
      <c r="AP672" s="8">
        <v>4217550.57</v>
      </c>
      <c r="AQ672" s="24">
        <v>4217550.57</v>
      </c>
      <c r="AR672" s="8">
        <v>9783652.2899999991</v>
      </c>
      <c r="AS672" s="37">
        <v>9783652.2899999991</v>
      </c>
      <c r="AT672" s="8" t="s">
        <v>391</v>
      </c>
      <c r="AU672" s="8" t="s">
        <v>321</v>
      </c>
      <c r="AV672" s="8">
        <v>82.1</v>
      </c>
      <c r="AW672" s="8">
        <v>60</v>
      </c>
      <c r="AX672" s="8" t="s">
        <v>332</v>
      </c>
      <c r="AY672" s="8" t="s">
        <v>186</v>
      </c>
      <c r="AZ672" s="8" t="s">
        <v>361</v>
      </c>
      <c r="BA672" s="21">
        <f>IF(OR(tblsales[[#This Row],[Invoice Value USD]]="",tblsales[[#This Row],[Collected Amount USD]]=""),"",tblsales[[#This Row],[Invoice Value USD]]-tblsales[[#This Row],[Collected Amount USD]])</f>
        <v>5205610.3800000027</v>
      </c>
      <c r="BB672" s="21">
        <f>IF(OR(tblsales[[#This Row],[Contract Value USD]]="",tblsales[[#This Row],[Cost Estimate USD]]=""),"",tblsales[[#This Row],[Contract Value USD]]-tblsales[[#This Row],[Cost Estimate USD]])</f>
        <v>8326517.4000000022</v>
      </c>
      <c r="BC672" s="21">
        <f>IF(OR(tblsales[[#This Row],[Contract Value USD]]="",tblsales[[#This Row],[Cost Estimate USD]]=""),"",tblsales[[#This Row],[Contract Value USD]]-tblsales[[#This Row],[Cost Estimate USD]])</f>
        <v>8326517.4000000022</v>
      </c>
      <c r="BD672" s="23">
        <f>IF(tblsales[[#This Row],[Invoice Value USD]]="","",tblsales[[#This Row],[Collected Amount USD]]/tblsales[[#This Row],[Invoice Value USD]])</f>
        <v>0.8191346431286175</v>
      </c>
      <c r="BE672" s="11">
        <f>IF(tblsales[[#This Row],[SalesStage]]="Won",1,0)</f>
        <v>0</v>
      </c>
      <c r="BF672" s="21" t="str">
        <f>IF(tblsales[[#This Row],[Win Flag]]=1,"Won","Lost")</f>
        <v>Lost</v>
      </c>
      <c r="BG672" s="8"/>
    </row>
    <row r="673" spans="1:59" x14ac:dyDescent="0.3">
      <c r="A673" s="10" t="s">
        <v>2319</v>
      </c>
      <c r="B673" s="9">
        <v>45782</v>
      </c>
      <c r="C673" s="10" t="s">
        <v>227</v>
      </c>
      <c r="D673" s="10" t="s">
        <v>265</v>
      </c>
      <c r="E673" s="10" t="s">
        <v>20</v>
      </c>
      <c r="F673" s="10" t="s">
        <v>35</v>
      </c>
      <c r="G673" s="10" t="s">
        <v>80</v>
      </c>
      <c r="H673" s="10" t="s">
        <v>332</v>
      </c>
      <c r="I673" s="10" t="s">
        <v>233</v>
      </c>
      <c r="J673" s="10" t="s">
        <v>136</v>
      </c>
      <c r="K673" s="10" t="s">
        <v>223</v>
      </c>
      <c r="L673" s="10" t="s">
        <v>2320</v>
      </c>
      <c r="M673" s="9">
        <v>45766</v>
      </c>
      <c r="N673" s="9">
        <v>45996</v>
      </c>
      <c r="O673" s="9"/>
      <c r="P673" s="11">
        <v>3</v>
      </c>
      <c r="Q673" s="12">
        <v>14914154</v>
      </c>
      <c r="R673">
        <v>17315332.794</v>
      </c>
      <c r="S673" s="22">
        <v>0.09</v>
      </c>
      <c r="T673" s="22">
        <v>0.15</v>
      </c>
      <c r="U673" s="12">
        <v>15607662.16</v>
      </c>
      <c r="V673" s="24">
        <v>18120495.767760001</v>
      </c>
      <c r="W673" s="8">
        <v>9975938.2699999996</v>
      </c>
      <c r="X673" s="24">
        <v>11582064.33147</v>
      </c>
      <c r="Y673" s="22">
        <v>0.27</v>
      </c>
      <c r="Z673" s="22">
        <v>0.18</v>
      </c>
      <c r="AA673" s="8" t="s">
        <v>2321</v>
      </c>
      <c r="AB673" s="8">
        <v>6653280.25</v>
      </c>
      <c r="AC673" s="24">
        <v>7724458.3702500006</v>
      </c>
      <c r="AD673" s="8">
        <v>5954702.6900000004</v>
      </c>
      <c r="AE673" s="24">
        <v>6913409.823090001</v>
      </c>
      <c r="AF673" s="8">
        <v>90</v>
      </c>
      <c r="AG673" s="8">
        <v>59</v>
      </c>
      <c r="AH673" s="8" t="s">
        <v>376</v>
      </c>
      <c r="AI673" s="8" t="s">
        <v>354</v>
      </c>
      <c r="AJ673" s="22">
        <v>0.24</v>
      </c>
      <c r="AK673" s="8" t="s">
        <v>159</v>
      </c>
      <c r="AL673" s="22">
        <v>0.1</v>
      </c>
      <c r="AM673" s="22">
        <v>0.06</v>
      </c>
      <c r="AN673" s="8">
        <v>4</v>
      </c>
      <c r="AO673" s="8">
        <v>3997</v>
      </c>
      <c r="AP673" s="8">
        <v>3817580.08</v>
      </c>
      <c r="AQ673" s="24">
        <v>4432210.4728800002</v>
      </c>
      <c r="AR673" s="8">
        <v>1661121.74</v>
      </c>
      <c r="AS673" s="37">
        <v>1928562.34014</v>
      </c>
      <c r="AT673" s="8" t="s">
        <v>355</v>
      </c>
      <c r="AU673" s="8" t="s">
        <v>356</v>
      </c>
      <c r="AV673" s="8">
        <v>58.2</v>
      </c>
      <c r="AW673" s="8">
        <v>36</v>
      </c>
      <c r="AX673" s="8" t="s">
        <v>323</v>
      </c>
      <c r="AY673" s="8" t="s">
        <v>224</v>
      </c>
      <c r="AZ673" s="8" t="s">
        <v>377</v>
      </c>
      <c r="BA673" s="21">
        <f>IF(OR(tblsales[[#This Row],[Invoice Value USD]]="",tblsales[[#This Row],[Collected Amount USD]]=""),"",tblsales[[#This Row],[Invoice Value USD]]-tblsales[[#This Row],[Collected Amount USD]])</f>
        <v>811048.54715999961</v>
      </c>
      <c r="BB673" s="21">
        <f>IF(OR(tblsales[[#This Row],[Contract Value USD]]="",tblsales[[#This Row],[Cost Estimate USD]]=""),"",tblsales[[#This Row],[Contract Value USD]]-tblsales[[#This Row],[Cost Estimate USD]])</f>
        <v>6538431.4362900015</v>
      </c>
      <c r="BC673" s="21">
        <f>IF(OR(tblsales[[#This Row],[Contract Value USD]]="",tblsales[[#This Row],[Cost Estimate USD]]=""),"",tblsales[[#This Row],[Contract Value USD]]-tblsales[[#This Row],[Cost Estimate USD]])</f>
        <v>6538431.4362900015</v>
      </c>
      <c r="BD673" s="23">
        <f>IF(tblsales[[#This Row],[Invoice Value USD]]="","",tblsales[[#This Row],[Collected Amount USD]]/tblsales[[#This Row],[Invoice Value USD]])</f>
        <v>0.89500253502774074</v>
      </c>
      <c r="BE673" s="11">
        <f>IF(tblsales[[#This Row],[SalesStage]]="Won",1,0)</f>
        <v>0</v>
      </c>
      <c r="BF673" s="21" t="str">
        <f>IF(tblsales[[#This Row],[Win Flag]]=1,"Won","Lost")</f>
        <v>Lost</v>
      </c>
      <c r="BG673" s="8"/>
    </row>
    <row r="674" spans="1:59" x14ac:dyDescent="0.3">
      <c r="A674" s="10" t="s">
        <v>2322</v>
      </c>
      <c r="B674" s="9">
        <v>45857</v>
      </c>
      <c r="C674" s="10" t="s">
        <v>252</v>
      </c>
      <c r="D674" s="10" t="s">
        <v>250</v>
      </c>
      <c r="E674" s="10" t="s">
        <v>41</v>
      </c>
      <c r="F674" s="10" t="s">
        <v>363</v>
      </c>
      <c r="G674" s="10" t="s">
        <v>66</v>
      </c>
      <c r="H674" s="10" t="s">
        <v>263</v>
      </c>
      <c r="I674" s="10" t="s">
        <v>183</v>
      </c>
      <c r="J674" s="10" t="s">
        <v>105</v>
      </c>
      <c r="K674" s="10" t="s">
        <v>199</v>
      </c>
      <c r="L674" s="10" t="s">
        <v>2323</v>
      </c>
      <c r="M674" s="9">
        <v>45905</v>
      </c>
      <c r="N674" s="9">
        <v>45724</v>
      </c>
      <c r="O674" s="9">
        <v>45897</v>
      </c>
      <c r="P674" s="11">
        <v>20</v>
      </c>
      <c r="Q674" s="12">
        <v>29448533</v>
      </c>
      <c r="R674">
        <v>29448533</v>
      </c>
      <c r="S674" s="22">
        <v>0.13</v>
      </c>
      <c r="T674" s="22">
        <v>0.1</v>
      </c>
      <c r="U674" s="12">
        <v>28182246.079999998</v>
      </c>
      <c r="V674" s="24">
        <v>28182246.079999998</v>
      </c>
      <c r="W674" s="8">
        <v>20666398.02</v>
      </c>
      <c r="X674" s="24">
        <v>20666398.02</v>
      </c>
      <c r="Y674" s="22">
        <v>0.34</v>
      </c>
      <c r="Z674" s="22">
        <v>0.17</v>
      </c>
      <c r="AA674" s="8"/>
      <c r="AB674" s="8">
        <v>16873063.670000002</v>
      </c>
      <c r="AC674" s="24">
        <v>16873063.670000002</v>
      </c>
      <c r="AD674" s="8">
        <v>12177670.460000001</v>
      </c>
      <c r="AE674" s="24">
        <v>12177670.460000001</v>
      </c>
      <c r="AF674" s="8">
        <v>120</v>
      </c>
      <c r="AG674" s="8">
        <v>116</v>
      </c>
      <c r="AH674" s="8" t="s">
        <v>376</v>
      </c>
      <c r="AI674" s="8" t="s">
        <v>320</v>
      </c>
      <c r="AJ674" s="22">
        <v>0.81</v>
      </c>
      <c r="AK674" s="8" t="s">
        <v>152</v>
      </c>
      <c r="AL674" s="22">
        <v>0.15</v>
      </c>
      <c r="AM674" s="22">
        <v>0.08</v>
      </c>
      <c r="AN674" s="8">
        <v>11</v>
      </c>
      <c r="AO674" s="8">
        <v>2730</v>
      </c>
      <c r="AP674" s="8">
        <v>4405006.29</v>
      </c>
      <c r="AQ674" s="24">
        <v>4405006.29</v>
      </c>
      <c r="AR674" s="8">
        <v>12381517.65</v>
      </c>
      <c r="AS674" s="37">
        <v>12381517.65</v>
      </c>
      <c r="AT674" s="8" t="s">
        <v>332</v>
      </c>
      <c r="AU674" s="8" t="s">
        <v>348</v>
      </c>
      <c r="AV674" s="8"/>
      <c r="AW674" s="8">
        <v>24</v>
      </c>
      <c r="AX674" s="8" t="s">
        <v>323</v>
      </c>
      <c r="AY674" s="8" t="s">
        <v>192</v>
      </c>
      <c r="AZ674" s="8" t="s">
        <v>332</v>
      </c>
      <c r="BA674" s="21">
        <f>IF(OR(tblsales[[#This Row],[Invoice Value USD]]="",tblsales[[#This Row],[Collected Amount USD]]=""),"",tblsales[[#This Row],[Invoice Value USD]]-tblsales[[#This Row],[Collected Amount USD]])</f>
        <v>4695393.2100000009</v>
      </c>
      <c r="BB674" s="21">
        <f>IF(OR(tblsales[[#This Row],[Contract Value USD]]="",tblsales[[#This Row],[Cost Estimate USD]]=""),"",tblsales[[#This Row],[Contract Value USD]]-tblsales[[#This Row],[Cost Estimate USD]])</f>
        <v>7515848.0599999987</v>
      </c>
      <c r="BC674" s="21">
        <f>IF(OR(tblsales[[#This Row],[Contract Value USD]]="",tblsales[[#This Row],[Cost Estimate USD]]=""),"",tblsales[[#This Row],[Contract Value USD]]-tblsales[[#This Row],[Cost Estimate USD]])</f>
        <v>7515848.0599999987</v>
      </c>
      <c r="BD674" s="23">
        <f>IF(tblsales[[#This Row],[Invoice Value USD]]="","",tblsales[[#This Row],[Collected Amount USD]]/tblsales[[#This Row],[Invoice Value USD]])</f>
        <v>0.72172254536392677</v>
      </c>
      <c r="BE674" s="11">
        <f>IF(tblsales[[#This Row],[SalesStage]]="Won",1,0)</f>
        <v>1</v>
      </c>
      <c r="BF674" s="21" t="str">
        <f>IF(tblsales[[#This Row],[Win Flag]]=1,"Won","Lost")</f>
        <v>Won</v>
      </c>
      <c r="BG674" s="8"/>
    </row>
    <row r="675" spans="1:59" x14ac:dyDescent="0.3">
      <c r="A675" s="10" t="s">
        <v>2324</v>
      </c>
      <c r="B675" s="9">
        <v>45821</v>
      </c>
      <c r="C675" s="10" t="s">
        <v>234</v>
      </c>
      <c r="D675" s="10" t="s">
        <v>250</v>
      </c>
      <c r="E675" s="10" t="s">
        <v>52</v>
      </c>
      <c r="F675" s="10" t="s">
        <v>75</v>
      </c>
      <c r="G675" s="10" t="s">
        <v>28</v>
      </c>
      <c r="H675" s="10" t="s">
        <v>212</v>
      </c>
      <c r="I675" s="10" t="s">
        <v>233</v>
      </c>
      <c r="J675" s="10" t="s">
        <v>133</v>
      </c>
      <c r="K675" s="10" t="s">
        <v>221</v>
      </c>
      <c r="L675" s="10" t="s">
        <v>2325</v>
      </c>
      <c r="M675" s="9">
        <v>45786</v>
      </c>
      <c r="N675" s="9">
        <v>45833</v>
      </c>
      <c r="O675" s="9">
        <v>45911</v>
      </c>
      <c r="P675" s="11">
        <v>55</v>
      </c>
      <c r="Q675" s="12">
        <v>19436928</v>
      </c>
      <c r="R675">
        <v>22566273.408</v>
      </c>
      <c r="S675" s="22">
        <v>0.13</v>
      </c>
      <c r="T675" s="22">
        <v>-0.02</v>
      </c>
      <c r="U675" s="12">
        <v>16571924.810000001</v>
      </c>
      <c r="V675" s="24">
        <v>19240004.704410002</v>
      </c>
      <c r="W675" s="8">
        <v>12636269.49</v>
      </c>
      <c r="X675" s="24">
        <v>14670708.87789</v>
      </c>
      <c r="Y675" s="22">
        <v>0.4</v>
      </c>
      <c r="Z675" s="22">
        <v>7.0000000000000007E-2</v>
      </c>
      <c r="AA675" s="8" t="s">
        <v>2326</v>
      </c>
      <c r="AB675" s="8">
        <v>4070023.66</v>
      </c>
      <c r="AC675" s="24">
        <v>4725297.4692600006</v>
      </c>
      <c r="AD675" s="8">
        <v>2269720.2200000002</v>
      </c>
      <c r="AE675" s="24">
        <v>2635145.1754200002</v>
      </c>
      <c r="AF675" s="8">
        <v>60</v>
      </c>
      <c r="AG675" s="8">
        <v>73</v>
      </c>
      <c r="AH675" s="8" t="s">
        <v>329</v>
      </c>
      <c r="AI675" s="8" t="s">
        <v>354</v>
      </c>
      <c r="AJ675" s="22">
        <v>0.08</v>
      </c>
      <c r="AK675" s="8" t="s">
        <v>159</v>
      </c>
      <c r="AL675" s="22">
        <v>0.15</v>
      </c>
      <c r="AM675" s="22">
        <v>0.06</v>
      </c>
      <c r="AN675" s="8">
        <v>7</v>
      </c>
      <c r="AO675" s="8">
        <v>4014</v>
      </c>
      <c r="AP675" s="8">
        <v>1571015.16</v>
      </c>
      <c r="AQ675" s="24">
        <v>1823948.6007600001</v>
      </c>
      <c r="AR675" s="8">
        <v>5976768.3899999997</v>
      </c>
      <c r="AS675" s="37">
        <v>6939028.1007899996</v>
      </c>
      <c r="AT675" s="8" t="s">
        <v>73</v>
      </c>
      <c r="AU675" s="8" t="s">
        <v>322</v>
      </c>
      <c r="AV675" s="8">
        <v>56</v>
      </c>
      <c r="AW675" s="8">
        <v>48</v>
      </c>
      <c r="AX675" s="8" t="s">
        <v>392</v>
      </c>
      <c r="AY675" s="8" t="s">
        <v>229</v>
      </c>
      <c r="AZ675" s="8" t="s">
        <v>332</v>
      </c>
      <c r="BA675" s="21">
        <f>IF(OR(tblsales[[#This Row],[Invoice Value USD]]="",tblsales[[#This Row],[Collected Amount USD]]=""),"",tblsales[[#This Row],[Invoice Value USD]]-tblsales[[#This Row],[Collected Amount USD]])</f>
        <v>2090152.2938400004</v>
      </c>
      <c r="BB675" s="21">
        <f>IF(OR(tblsales[[#This Row],[Contract Value USD]]="",tblsales[[#This Row],[Cost Estimate USD]]=""),"",tblsales[[#This Row],[Contract Value USD]]-tblsales[[#This Row],[Cost Estimate USD]])</f>
        <v>4569295.8265200015</v>
      </c>
      <c r="BC675" s="21">
        <f>IF(OR(tblsales[[#This Row],[Contract Value USD]]="",tblsales[[#This Row],[Cost Estimate USD]]=""),"",tblsales[[#This Row],[Contract Value USD]]-tblsales[[#This Row],[Cost Estimate USD]])</f>
        <v>4569295.8265200015</v>
      </c>
      <c r="BD675" s="23">
        <f>IF(tblsales[[#This Row],[Invoice Value USD]]="","",tblsales[[#This Row],[Collected Amount USD]]/tblsales[[#This Row],[Invoice Value USD]])</f>
        <v>0.55766757385385812</v>
      </c>
      <c r="BE675" s="11">
        <f>IF(tblsales[[#This Row],[SalesStage]]="Won",1,0)</f>
        <v>0</v>
      </c>
      <c r="BF675" s="21" t="str">
        <f>IF(tblsales[[#This Row],[Win Flag]]=1,"Won","Lost")</f>
        <v>Lost</v>
      </c>
      <c r="BG675" s="8"/>
    </row>
    <row r="676" spans="1:59" x14ac:dyDescent="0.3">
      <c r="A676" s="10" t="s">
        <v>2327</v>
      </c>
      <c r="B676" s="9">
        <v>45770</v>
      </c>
      <c r="C676" s="10" t="s">
        <v>258</v>
      </c>
      <c r="D676" s="10" t="s">
        <v>562</v>
      </c>
      <c r="E676" s="10" t="s">
        <v>52</v>
      </c>
      <c r="F676" s="10" t="s">
        <v>75</v>
      </c>
      <c r="G676" s="10" t="s">
        <v>80</v>
      </c>
      <c r="H676" s="10" t="s">
        <v>197</v>
      </c>
      <c r="I676" s="10" t="s">
        <v>198</v>
      </c>
      <c r="J676" s="10" t="s">
        <v>133</v>
      </c>
      <c r="K676" s="10" t="s">
        <v>184</v>
      </c>
      <c r="L676" s="10" t="s">
        <v>2328</v>
      </c>
      <c r="M676" s="9">
        <v>45720</v>
      </c>
      <c r="N676" s="9">
        <v>45809</v>
      </c>
      <c r="O676" s="9">
        <v>45888</v>
      </c>
      <c r="P676" s="11">
        <v>12</v>
      </c>
      <c r="Q676" s="12">
        <v>39193226</v>
      </c>
      <c r="R676">
        <v>10672315.4398</v>
      </c>
      <c r="S676" s="22">
        <v>0.23</v>
      </c>
      <c r="T676" s="22">
        <v>0.08</v>
      </c>
      <c r="U676" s="12">
        <v>32593086.739999998</v>
      </c>
      <c r="V676" s="24">
        <v>8875097.5193019994</v>
      </c>
      <c r="W676" s="8">
        <v>21104075.390000001</v>
      </c>
      <c r="X676" s="24">
        <v>5746639.7286970001</v>
      </c>
      <c r="Y676" s="22">
        <v>0.13</v>
      </c>
      <c r="Z676" s="22">
        <v>0.1</v>
      </c>
      <c r="AA676" s="8" t="s">
        <v>2329</v>
      </c>
      <c r="AB676" s="8">
        <v>8479751.6999999993</v>
      </c>
      <c r="AC676" s="24">
        <v>2309036.3879099996</v>
      </c>
      <c r="AD676" s="8">
        <v>5510785.3300000001</v>
      </c>
      <c r="AE676" s="24">
        <v>1500586.8453589999</v>
      </c>
      <c r="AF676" s="8">
        <v>90</v>
      </c>
      <c r="AG676" s="8">
        <v>106</v>
      </c>
      <c r="AH676" s="8" t="s">
        <v>329</v>
      </c>
      <c r="AI676" s="8" t="s">
        <v>381</v>
      </c>
      <c r="AJ676" s="22">
        <v>0.08</v>
      </c>
      <c r="AK676" s="8" t="s">
        <v>153</v>
      </c>
      <c r="AL676" s="22">
        <v>0.1</v>
      </c>
      <c r="AM676" s="22">
        <v>7.0000000000000007E-2</v>
      </c>
      <c r="AN676" s="8">
        <v>15</v>
      </c>
      <c r="AO676" s="8">
        <v>3631</v>
      </c>
      <c r="AP676" s="8">
        <v>5030167.59</v>
      </c>
      <c r="AQ676" s="24">
        <v>1369714.6347569998</v>
      </c>
      <c r="AR676" s="8">
        <v>15739088.189999999</v>
      </c>
      <c r="AS676" s="37">
        <v>4285753.714137</v>
      </c>
      <c r="AT676" s="8" t="s">
        <v>321</v>
      </c>
      <c r="AU676" s="8" t="s">
        <v>386</v>
      </c>
      <c r="AV676" s="8">
        <v>86.9</v>
      </c>
      <c r="AW676" s="8">
        <v>48</v>
      </c>
      <c r="AX676" s="8" t="s">
        <v>337</v>
      </c>
      <c r="AY676" s="8" t="s">
        <v>206</v>
      </c>
      <c r="AZ676" s="8" t="s">
        <v>324</v>
      </c>
      <c r="BA676" s="21">
        <f>IF(OR(tblsales[[#This Row],[Invoice Value USD]]="",tblsales[[#This Row],[Collected Amount USD]]=""),"",tblsales[[#This Row],[Invoice Value USD]]-tblsales[[#This Row],[Collected Amount USD]])</f>
        <v>808449.54255099967</v>
      </c>
      <c r="BB676" s="21">
        <f>IF(OR(tblsales[[#This Row],[Contract Value USD]]="",tblsales[[#This Row],[Cost Estimate USD]]=""),"",tblsales[[#This Row],[Contract Value USD]]-tblsales[[#This Row],[Cost Estimate USD]])</f>
        <v>3128457.7906049993</v>
      </c>
      <c r="BC676" s="21">
        <f>IF(OR(tblsales[[#This Row],[Contract Value USD]]="",tblsales[[#This Row],[Cost Estimate USD]]=""),"",tblsales[[#This Row],[Contract Value USD]]-tblsales[[#This Row],[Cost Estimate USD]])</f>
        <v>3128457.7906049993</v>
      </c>
      <c r="BD676" s="23">
        <f>IF(tblsales[[#This Row],[Invoice Value USD]]="","",tblsales[[#This Row],[Collected Amount USD]]/tblsales[[#This Row],[Invoice Value USD]])</f>
        <v>0.64987578940548463</v>
      </c>
      <c r="BE676" s="11">
        <f>IF(tblsales[[#This Row],[SalesStage]]="Won",1,0)</f>
        <v>0</v>
      </c>
      <c r="BF676" s="21" t="str">
        <f>IF(tblsales[[#This Row],[Win Flag]]=1,"Won","Lost")</f>
        <v>Lost</v>
      </c>
      <c r="BG676" s="8"/>
    </row>
    <row r="677" spans="1:59" x14ac:dyDescent="0.3">
      <c r="A677" s="10" t="s">
        <v>2330</v>
      </c>
      <c r="B677" s="9">
        <v>46060</v>
      </c>
      <c r="C677" s="10" t="s">
        <v>251</v>
      </c>
      <c r="D677" s="10" t="s">
        <v>250</v>
      </c>
      <c r="E677" s="10" t="s">
        <v>36</v>
      </c>
      <c r="F677" s="10" t="s">
        <v>19</v>
      </c>
      <c r="G677" s="10" t="s">
        <v>50</v>
      </c>
      <c r="H677" s="10" t="s">
        <v>197</v>
      </c>
      <c r="I677" s="10" t="s">
        <v>191</v>
      </c>
      <c r="J677" s="10" t="s">
        <v>115</v>
      </c>
      <c r="K677" s="10" t="s">
        <v>221</v>
      </c>
      <c r="L677" s="10" t="s">
        <v>2331</v>
      </c>
      <c r="M677" s="9">
        <v>46045</v>
      </c>
      <c r="N677" s="9">
        <v>46206</v>
      </c>
      <c r="O677" s="9"/>
      <c r="P677" s="11">
        <v>9</v>
      </c>
      <c r="Q677" s="12">
        <v>37315755</v>
      </c>
      <c r="R677">
        <v>37315755</v>
      </c>
      <c r="S677" s="22">
        <v>0.17</v>
      </c>
      <c r="T677" s="22">
        <v>-0.04</v>
      </c>
      <c r="U677" s="12">
        <v>29733193.579999998</v>
      </c>
      <c r="V677" s="24">
        <v>29733193.579999998</v>
      </c>
      <c r="W677" s="8">
        <v>22723677.210000001</v>
      </c>
      <c r="X677" s="24">
        <v>22723677.210000001</v>
      </c>
      <c r="Y677" s="22">
        <v>0.32</v>
      </c>
      <c r="Z677" s="22">
        <v>0.17</v>
      </c>
      <c r="AA677" s="8" t="s">
        <v>2332</v>
      </c>
      <c r="AB677" s="8">
        <v>14275429.960000001</v>
      </c>
      <c r="AC677" s="24">
        <v>14275429.960000001</v>
      </c>
      <c r="AD677" s="8">
        <v>10002100.199999999</v>
      </c>
      <c r="AE677" s="24">
        <v>10002100.199999999</v>
      </c>
      <c r="AF677" s="8">
        <v>30</v>
      </c>
      <c r="AG677" s="8">
        <v>127</v>
      </c>
      <c r="AH677" s="8" t="s">
        <v>329</v>
      </c>
      <c r="AI677" s="8" t="s">
        <v>381</v>
      </c>
      <c r="AJ677" s="22">
        <v>0.36</v>
      </c>
      <c r="AK677" s="8" t="s">
        <v>152</v>
      </c>
      <c r="AL677" s="22">
        <v>0.1</v>
      </c>
      <c r="AM677" s="22">
        <v>0.08</v>
      </c>
      <c r="AN677" s="8">
        <v>0</v>
      </c>
      <c r="AO677" s="8">
        <v>4570</v>
      </c>
      <c r="AP677" s="8">
        <v>1358122.82</v>
      </c>
      <c r="AQ677" s="24">
        <v>1358122.82</v>
      </c>
      <c r="AR677" s="8">
        <v>11596485.029999999</v>
      </c>
      <c r="AS677" s="37">
        <v>11596485.029999999</v>
      </c>
      <c r="AT677" s="8" t="s">
        <v>391</v>
      </c>
      <c r="AU677" s="8" t="s">
        <v>322</v>
      </c>
      <c r="AV677" s="8">
        <v>97.2</v>
      </c>
      <c r="AW677" s="8">
        <v>12</v>
      </c>
      <c r="AX677" s="8" t="s">
        <v>392</v>
      </c>
      <c r="AY677" s="8" t="s">
        <v>224</v>
      </c>
      <c r="AZ677" s="8" t="s">
        <v>332</v>
      </c>
      <c r="BA677" s="21">
        <f>IF(OR(tblsales[[#This Row],[Invoice Value USD]]="",tblsales[[#This Row],[Collected Amount USD]]=""),"",tblsales[[#This Row],[Invoice Value USD]]-tblsales[[#This Row],[Collected Amount USD]])</f>
        <v>4273329.7600000016</v>
      </c>
      <c r="BB677" s="21">
        <f>IF(OR(tblsales[[#This Row],[Contract Value USD]]="",tblsales[[#This Row],[Cost Estimate USD]]=""),"",tblsales[[#This Row],[Contract Value USD]]-tblsales[[#This Row],[Cost Estimate USD]])</f>
        <v>7009516.3699999973</v>
      </c>
      <c r="BC677" s="21">
        <f>IF(OR(tblsales[[#This Row],[Contract Value USD]]="",tblsales[[#This Row],[Cost Estimate USD]]=""),"",tblsales[[#This Row],[Contract Value USD]]-tblsales[[#This Row],[Cost Estimate USD]])</f>
        <v>7009516.3699999973</v>
      </c>
      <c r="BD677" s="23">
        <f>IF(tblsales[[#This Row],[Invoice Value USD]]="","",tblsales[[#This Row],[Collected Amount USD]]/tblsales[[#This Row],[Invoice Value USD]])</f>
        <v>0.70065141491542149</v>
      </c>
      <c r="BE677" s="11">
        <f>IF(tblsales[[#This Row],[SalesStage]]="Won",1,0)</f>
        <v>0</v>
      </c>
      <c r="BF677" s="21" t="str">
        <f>IF(tblsales[[#This Row],[Win Flag]]=1,"Won","Lost")</f>
        <v>Lost</v>
      </c>
      <c r="BG677" s="8"/>
    </row>
    <row r="678" spans="1:59" x14ac:dyDescent="0.3">
      <c r="A678" s="10" t="s">
        <v>2333</v>
      </c>
      <c r="B678" s="9">
        <v>45947</v>
      </c>
      <c r="C678" s="10" t="s">
        <v>277</v>
      </c>
      <c r="D678" s="10" t="s">
        <v>215</v>
      </c>
      <c r="E678" s="10" t="s">
        <v>332</v>
      </c>
      <c r="F678" s="10" t="s">
        <v>332</v>
      </c>
      <c r="G678" s="10" t="s">
        <v>57</v>
      </c>
      <c r="H678" s="10" t="s">
        <v>263</v>
      </c>
      <c r="I678" s="10" t="s">
        <v>233</v>
      </c>
      <c r="J678" s="10" t="s">
        <v>99</v>
      </c>
      <c r="K678" s="10" t="s">
        <v>223</v>
      </c>
      <c r="L678" s="10" t="s">
        <v>2334</v>
      </c>
      <c r="M678" s="9">
        <v>45880</v>
      </c>
      <c r="N678" s="9">
        <v>45995</v>
      </c>
      <c r="O678" s="9">
        <v>45977</v>
      </c>
      <c r="P678" s="11">
        <v>51</v>
      </c>
      <c r="Q678" s="12">
        <v>2571642</v>
      </c>
      <c r="R678">
        <v>2985676.3620000002</v>
      </c>
      <c r="S678" s="22">
        <v>0.28999999999999998</v>
      </c>
      <c r="T678" s="22">
        <v>0.08</v>
      </c>
      <c r="U678" s="12">
        <v>1971935.09</v>
      </c>
      <c r="V678" s="24">
        <v>2289416.63949</v>
      </c>
      <c r="W678" s="8">
        <v>1708683.88</v>
      </c>
      <c r="X678" s="24">
        <v>1983781.98468</v>
      </c>
      <c r="Y678" s="22">
        <v>0.28000000000000003</v>
      </c>
      <c r="Z678" s="22">
        <v>0.1</v>
      </c>
      <c r="AA678" s="8" t="s">
        <v>2335</v>
      </c>
      <c r="AB678" s="8">
        <v>988118.25</v>
      </c>
      <c r="AC678" s="24">
        <v>1147205.28825</v>
      </c>
      <c r="AD678" s="8">
        <v>322789.87</v>
      </c>
      <c r="AE678" s="24">
        <v>374759.03907</v>
      </c>
      <c r="AF678" s="8">
        <v>120</v>
      </c>
      <c r="AG678" s="8">
        <v>67</v>
      </c>
      <c r="AH678" s="8" t="s">
        <v>329</v>
      </c>
      <c r="AI678" s="8" t="s">
        <v>226</v>
      </c>
      <c r="AJ678" s="22">
        <v>0.69</v>
      </c>
      <c r="AK678" s="8" t="s">
        <v>159</v>
      </c>
      <c r="AL678" s="22">
        <v>0.15</v>
      </c>
      <c r="AM678" s="22">
        <v>0.03</v>
      </c>
      <c r="AN678" s="8">
        <v>13</v>
      </c>
      <c r="AO678" s="8">
        <v>4123</v>
      </c>
      <c r="AP678" s="8">
        <v>51136.06</v>
      </c>
      <c r="AQ678" s="24">
        <v>59368.965660000002</v>
      </c>
      <c r="AR678" s="8">
        <v>449724.87</v>
      </c>
      <c r="AS678" s="37">
        <v>522130.57407000003</v>
      </c>
      <c r="AT678" s="8" t="s">
        <v>385</v>
      </c>
      <c r="AU678" s="8" t="s">
        <v>321</v>
      </c>
      <c r="AV678" s="8">
        <v>58.9</v>
      </c>
      <c r="AW678" s="8">
        <v>48</v>
      </c>
      <c r="AX678" s="8" t="s">
        <v>332</v>
      </c>
      <c r="AY678" s="8" t="s">
        <v>229</v>
      </c>
      <c r="AZ678" s="8" t="s">
        <v>361</v>
      </c>
      <c r="BA678" s="21">
        <f>IF(OR(tblsales[[#This Row],[Invoice Value USD]]="",tblsales[[#This Row],[Collected Amount USD]]=""),"",tblsales[[#This Row],[Invoice Value USD]]-tblsales[[#This Row],[Collected Amount USD]])</f>
        <v>772446.24918000004</v>
      </c>
      <c r="BB678" s="21">
        <f>IF(OR(tblsales[[#This Row],[Contract Value USD]]="",tblsales[[#This Row],[Cost Estimate USD]]=""),"",tblsales[[#This Row],[Contract Value USD]]-tblsales[[#This Row],[Cost Estimate USD]])</f>
        <v>305634.65480999998</v>
      </c>
      <c r="BC678" s="21">
        <f>IF(OR(tblsales[[#This Row],[Contract Value USD]]="",tblsales[[#This Row],[Cost Estimate USD]]=""),"",tblsales[[#This Row],[Contract Value USD]]-tblsales[[#This Row],[Cost Estimate USD]])</f>
        <v>305634.65480999998</v>
      </c>
      <c r="BD678" s="23">
        <f>IF(tblsales[[#This Row],[Invoice Value USD]]="","",tblsales[[#This Row],[Collected Amount USD]]/tblsales[[#This Row],[Invoice Value USD]])</f>
        <v>0.32667129667931949</v>
      </c>
      <c r="BE678" s="11">
        <f>IF(tblsales[[#This Row],[SalesStage]]="Won",1,0)</f>
        <v>0</v>
      </c>
      <c r="BF678" s="21" t="str">
        <f>IF(tblsales[[#This Row],[Win Flag]]=1,"Won","Lost")</f>
        <v>Lost</v>
      </c>
      <c r="BG678" s="8"/>
    </row>
    <row r="679" spans="1:59" x14ac:dyDescent="0.3">
      <c r="A679" s="10" t="s">
        <v>2336</v>
      </c>
      <c r="B679" s="9">
        <v>45980</v>
      </c>
      <c r="C679" s="10" t="s">
        <v>211</v>
      </c>
      <c r="D679" s="10" t="s">
        <v>255</v>
      </c>
      <c r="E679" s="10" t="s">
        <v>52</v>
      </c>
      <c r="F679" s="10" t="s">
        <v>75</v>
      </c>
      <c r="G679" s="10" t="s">
        <v>50</v>
      </c>
      <c r="H679" s="10" t="s">
        <v>182</v>
      </c>
      <c r="I679" s="10" t="s">
        <v>198</v>
      </c>
      <c r="J679" s="10" t="s">
        <v>119</v>
      </c>
      <c r="K679" s="10" t="s">
        <v>199</v>
      </c>
      <c r="L679" s="10" t="s">
        <v>2337</v>
      </c>
      <c r="M679" s="9">
        <v>45849</v>
      </c>
      <c r="N679" s="9">
        <v>46021</v>
      </c>
      <c r="O679" s="9"/>
      <c r="P679" s="11"/>
      <c r="Q679" s="12">
        <v>10197800</v>
      </c>
      <c r="R679">
        <v>2776860.94</v>
      </c>
      <c r="S679" s="22">
        <v>0.03</v>
      </c>
      <c r="T679" s="22">
        <v>-0.04</v>
      </c>
      <c r="U679" s="12">
        <v>9496191.3599999994</v>
      </c>
      <c r="V679" s="24">
        <v>2585812.9073279998</v>
      </c>
      <c r="W679" s="8">
        <v>6654119.4299999997</v>
      </c>
      <c r="X679" s="24">
        <v>1811916.7207889999</v>
      </c>
      <c r="Y679" s="22">
        <v>0.38</v>
      </c>
      <c r="Z679" s="22">
        <v>0.13</v>
      </c>
      <c r="AA679" s="8" t="s">
        <v>2338</v>
      </c>
      <c r="AB679" s="8">
        <v>2800526.9</v>
      </c>
      <c r="AC679" s="24">
        <v>762583.47486999992</v>
      </c>
      <c r="AD679" s="8">
        <v>1095882.95</v>
      </c>
      <c r="AE679" s="24">
        <v>298408.92728499998</v>
      </c>
      <c r="AF679" s="8">
        <v>60</v>
      </c>
      <c r="AG679" s="8">
        <v>22</v>
      </c>
      <c r="AH679" s="8" t="s">
        <v>347</v>
      </c>
      <c r="AI679" s="8" t="s">
        <v>320</v>
      </c>
      <c r="AJ679" s="22">
        <v>0.4</v>
      </c>
      <c r="AK679" s="8" t="s">
        <v>153</v>
      </c>
      <c r="AL679" s="22">
        <v>0.1</v>
      </c>
      <c r="AM679" s="22">
        <v>0.08</v>
      </c>
      <c r="AN679" s="8">
        <v>9</v>
      </c>
      <c r="AO679" s="8">
        <v>3159</v>
      </c>
      <c r="AP679" s="8">
        <v>1914580.11</v>
      </c>
      <c r="AQ679" s="24">
        <v>521340.16395299998</v>
      </c>
      <c r="AR679" s="8">
        <v>2210840.81</v>
      </c>
      <c r="AS679" s="37">
        <v>602011.95256300003</v>
      </c>
      <c r="AT679" s="8" t="s">
        <v>73</v>
      </c>
      <c r="AU679" s="8" t="s">
        <v>322</v>
      </c>
      <c r="AV679" s="8">
        <v>73.900000000000006</v>
      </c>
      <c r="AW679" s="8">
        <v>60</v>
      </c>
      <c r="AX679" s="8" t="s">
        <v>332</v>
      </c>
      <c r="AY679" s="8" t="s">
        <v>224</v>
      </c>
      <c r="AZ679" s="8" t="s">
        <v>377</v>
      </c>
      <c r="BA679" s="21">
        <f>IF(OR(tblsales[[#This Row],[Invoice Value USD]]="",tblsales[[#This Row],[Collected Amount USD]]=""),"",tblsales[[#This Row],[Invoice Value USD]]-tblsales[[#This Row],[Collected Amount USD]])</f>
        <v>464174.54758499993</v>
      </c>
      <c r="BB679" s="21">
        <f>IF(OR(tblsales[[#This Row],[Contract Value USD]]="",tblsales[[#This Row],[Cost Estimate USD]]=""),"",tblsales[[#This Row],[Contract Value USD]]-tblsales[[#This Row],[Cost Estimate USD]])</f>
        <v>773896.1865389999</v>
      </c>
      <c r="BC679" s="21">
        <f>IF(OR(tblsales[[#This Row],[Contract Value USD]]="",tblsales[[#This Row],[Cost Estimate USD]]=""),"",tblsales[[#This Row],[Contract Value USD]]-tblsales[[#This Row],[Cost Estimate USD]])</f>
        <v>773896.1865389999</v>
      </c>
      <c r="BD679" s="23">
        <f>IF(tblsales[[#This Row],[Invoice Value USD]]="","",tblsales[[#This Row],[Collected Amount USD]]/tblsales[[#This Row],[Invoice Value USD]])</f>
        <v>0.39131313111114913</v>
      </c>
      <c r="BE679" s="11">
        <f>IF(tblsales[[#This Row],[SalesStage]]="Won",1,0)</f>
        <v>1</v>
      </c>
      <c r="BF679" s="21" t="str">
        <f>IF(tblsales[[#This Row],[Win Flag]]=1,"Won","Lost")</f>
        <v>Won</v>
      </c>
      <c r="BG679" s="8"/>
    </row>
    <row r="680" spans="1:59" x14ac:dyDescent="0.3">
      <c r="A680" s="10" t="s">
        <v>2339</v>
      </c>
      <c r="B680" s="9">
        <v>45864</v>
      </c>
      <c r="C680" s="10" t="s">
        <v>275</v>
      </c>
      <c r="D680" s="10" t="s">
        <v>250</v>
      </c>
      <c r="E680" s="10" t="s">
        <v>113</v>
      </c>
      <c r="F680" s="10" t="s">
        <v>367</v>
      </c>
      <c r="G680" s="10" t="s">
        <v>73</v>
      </c>
      <c r="H680" s="10" t="s">
        <v>332</v>
      </c>
      <c r="I680" s="10" t="s">
        <v>240</v>
      </c>
      <c r="J680" s="10" t="s">
        <v>111</v>
      </c>
      <c r="K680" s="10" t="s">
        <v>184</v>
      </c>
      <c r="L680" s="10" t="s">
        <v>2340</v>
      </c>
      <c r="M680" s="9">
        <v>45998</v>
      </c>
      <c r="N680" s="9">
        <v>45666</v>
      </c>
      <c r="O680" s="9">
        <v>45727</v>
      </c>
      <c r="P680" s="11">
        <v>13</v>
      </c>
      <c r="Q680" s="12">
        <v>19854930</v>
      </c>
      <c r="R680">
        <v>19854930</v>
      </c>
      <c r="S680" s="22">
        <v>0.18</v>
      </c>
      <c r="T680" s="22">
        <v>0.17</v>
      </c>
      <c r="U680" s="12">
        <v>19048819.84</v>
      </c>
      <c r="V680" s="24">
        <v>19048819.84</v>
      </c>
      <c r="W680" s="8">
        <v>12026414.02</v>
      </c>
      <c r="X680" s="24">
        <v>12026414.02</v>
      </c>
      <c r="Y680" s="22"/>
      <c r="Z680" s="22">
        <v>0.14000000000000001</v>
      </c>
      <c r="AA680" s="8" t="s">
        <v>2341</v>
      </c>
      <c r="AB680" s="8">
        <v>5881154.71</v>
      </c>
      <c r="AC680" s="24">
        <v>5881154.71</v>
      </c>
      <c r="AD680" s="8">
        <v>3294422.66</v>
      </c>
      <c r="AE680" s="24">
        <v>3294422.66</v>
      </c>
      <c r="AF680" s="8">
        <v>120</v>
      </c>
      <c r="AG680" s="8">
        <v>25</v>
      </c>
      <c r="AH680" s="8" t="s">
        <v>376</v>
      </c>
      <c r="AI680" s="8" t="s">
        <v>226</v>
      </c>
      <c r="AJ680" s="22">
        <v>0.51</v>
      </c>
      <c r="AK680" s="8" t="s">
        <v>152</v>
      </c>
      <c r="AL680" s="22">
        <v>0.15</v>
      </c>
      <c r="AM680" s="22">
        <v>0.08</v>
      </c>
      <c r="AN680" s="8">
        <v>7</v>
      </c>
      <c r="AO680" s="8">
        <v>4088</v>
      </c>
      <c r="AP680" s="8">
        <v>4553694.8600000003</v>
      </c>
      <c r="AQ680" s="24">
        <v>4553694.8600000003</v>
      </c>
      <c r="AR680" s="8">
        <v>2786508.98</v>
      </c>
      <c r="AS680" s="37">
        <v>2786508.98</v>
      </c>
      <c r="AT680" s="8" t="s">
        <v>391</v>
      </c>
      <c r="AU680" s="8" t="s">
        <v>321</v>
      </c>
      <c r="AV680" s="8">
        <v>52.5</v>
      </c>
      <c r="AW680" s="8">
        <v>48</v>
      </c>
      <c r="AX680" s="8" t="s">
        <v>392</v>
      </c>
      <c r="AY680" s="8" t="s">
        <v>206</v>
      </c>
      <c r="AZ680" s="8" t="s">
        <v>332</v>
      </c>
      <c r="BA680" s="21">
        <f>IF(OR(tblsales[[#This Row],[Invoice Value USD]]="",tblsales[[#This Row],[Collected Amount USD]]=""),"",tblsales[[#This Row],[Invoice Value USD]]-tblsales[[#This Row],[Collected Amount USD]])</f>
        <v>2586732.0499999998</v>
      </c>
      <c r="BB680" s="21">
        <f>IF(OR(tblsales[[#This Row],[Contract Value USD]]="",tblsales[[#This Row],[Cost Estimate USD]]=""),"",tblsales[[#This Row],[Contract Value USD]]-tblsales[[#This Row],[Cost Estimate USD]])</f>
        <v>7022405.8200000003</v>
      </c>
      <c r="BC680" s="21">
        <f>IF(OR(tblsales[[#This Row],[Contract Value USD]]="",tblsales[[#This Row],[Cost Estimate USD]]=""),"",tblsales[[#This Row],[Contract Value USD]]-tblsales[[#This Row],[Cost Estimate USD]])</f>
        <v>7022405.8200000003</v>
      </c>
      <c r="BD680" s="23">
        <f>IF(tblsales[[#This Row],[Invoice Value USD]]="","",tblsales[[#This Row],[Collected Amount USD]]/tblsales[[#This Row],[Invoice Value USD]])</f>
        <v>0.56016595761344967</v>
      </c>
      <c r="BE680" s="11">
        <f>IF(tblsales[[#This Row],[SalesStage]]="Won",1,0)</f>
        <v>0</v>
      </c>
      <c r="BF680" s="21" t="str">
        <f>IF(tblsales[[#This Row],[Win Flag]]=1,"Won","Lost")</f>
        <v>Lost</v>
      </c>
      <c r="BG680" s="8"/>
    </row>
    <row r="681" spans="1:59" x14ac:dyDescent="0.3">
      <c r="A681" s="10" t="s">
        <v>2342</v>
      </c>
      <c r="B681" s="9">
        <v>45808</v>
      </c>
      <c r="C681" s="10" t="s">
        <v>271</v>
      </c>
      <c r="D681" s="10" t="s">
        <v>245</v>
      </c>
      <c r="E681" s="10" t="s">
        <v>113</v>
      </c>
      <c r="F681" s="10" t="s">
        <v>181</v>
      </c>
      <c r="G681" s="10" t="s">
        <v>33</v>
      </c>
      <c r="H681" s="10" t="s">
        <v>263</v>
      </c>
      <c r="I681" s="10" t="s">
        <v>191</v>
      </c>
      <c r="J681" s="10" t="s">
        <v>127</v>
      </c>
      <c r="K681" s="10" t="s">
        <v>223</v>
      </c>
      <c r="L681" s="10" t="s">
        <v>2343</v>
      </c>
      <c r="M681" s="9">
        <v>45735</v>
      </c>
      <c r="N681" s="9">
        <v>45831</v>
      </c>
      <c r="O681" s="9">
        <v>45918</v>
      </c>
      <c r="P681" s="11">
        <v>60</v>
      </c>
      <c r="Q681" s="12">
        <v>25683104</v>
      </c>
      <c r="R681">
        <v>6993509.2191999992</v>
      </c>
      <c r="S681" s="22">
        <v>0.21</v>
      </c>
      <c r="T681" s="22">
        <v>0.12</v>
      </c>
      <c r="U681" s="12">
        <v>22724410.420000002</v>
      </c>
      <c r="V681" s="24">
        <v>6187856.9573659999</v>
      </c>
      <c r="W681" s="8">
        <v>15137667.51</v>
      </c>
      <c r="X681" s="24">
        <v>4121986.8629729999</v>
      </c>
      <c r="Y681" s="22">
        <v>0.32</v>
      </c>
      <c r="Z681" s="22">
        <v>0.06</v>
      </c>
      <c r="AA681" s="8" t="s">
        <v>2344</v>
      </c>
      <c r="AB681" s="8">
        <v>11750531.57</v>
      </c>
      <c r="AC681" s="24">
        <v>3199669.7465109997</v>
      </c>
      <c r="AD681" s="8">
        <v>6954757.96</v>
      </c>
      <c r="AE681" s="24">
        <v>1893780.5925079999</v>
      </c>
      <c r="AF681" s="8">
        <v>30</v>
      </c>
      <c r="AG681" s="8">
        <v>98</v>
      </c>
      <c r="AH681" s="8" t="s">
        <v>353</v>
      </c>
      <c r="AI681" s="8" t="s">
        <v>406</v>
      </c>
      <c r="AJ681" s="22">
        <v>0.28999999999999998</v>
      </c>
      <c r="AK681" s="8" t="s">
        <v>153</v>
      </c>
      <c r="AL681" s="22">
        <v>0.1</v>
      </c>
      <c r="AM681" s="22">
        <v>0.09</v>
      </c>
      <c r="AN681" s="8">
        <v>12</v>
      </c>
      <c r="AO681" s="8">
        <v>685</v>
      </c>
      <c r="AP681" s="8">
        <v>5201461.8</v>
      </c>
      <c r="AQ681" s="24">
        <v>1416358.0481399999</v>
      </c>
      <c r="AR681" s="8">
        <v>3068372.39</v>
      </c>
      <c r="AS681" s="37">
        <v>835517.80179699999</v>
      </c>
      <c r="AT681" s="8" t="s">
        <v>391</v>
      </c>
      <c r="AU681" s="8" t="s">
        <v>330</v>
      </c>
      <c r="AV681" s="8"/>
      <c r="AW681" s="8">
        <v>12</v>
      </c>
      <c r="AX681" s="8" t="s">
        <v>337</v>
      </c>
      <c r="AY681" s="8" t="s">
        <v>186</v>
      </c>
      <c r="AZ681" s="8" t="s">
        <v>357</v>
      </c>
      <c r="BA681" s="21">
        <f>IF(OR(tblsales[[#This Row],[Invoice Value USD]]="",tblsales[[#This Row],[Collected Amount USD]]=""),"",tblsales[[#This Row],[Invoice Value USD]]-tblsales[[#This Row],[Collected Amount USD]])</f>
        <v>1305889.1540029999</v>
      </c>
      <c r="BB681" s="21">
        <f>IF(OR(tblsales[[#This Row],[Contract Value USD]]="",tblsales[[#This Row],[Cost Estimate USD]]=""),"",tblsales[[#This Row],[Contract Value USD]]-tblsales[[#This Row],[Cost Estimate USD]])</f>
        <v>2065870.094393</v>
      </c>
      <c r="BC681" s="21">
        <f>IF(OR(tblsales[[#This Row],[Contract Value USD]]="",tblsales[[#This Row],[Cost Estimate USD]]=""),"",tblsales[[#This Row],[Contract Value USD]]-tblsales[[#This Row],[Cost Estimate USD]])</f>
        <v>2065870.094393</v>
      </c>
      <c r="BD681" s="23">
        <f>IF(tblsales[[#This Row],[Invoice Value USD]]="","",tblsales[[#This Row],[Collected Amount USD]]/tblsales[[#This Row],[Invoice Value USD]])</f>
        <v>0.59186751838155349</v>
      </c>
      <c r="BE681" s="11">
        <f>IF(tblsales[[#This Row],[SalesStage]]="Won",1,0)</f>
        <v>0</v>
      </c>
      <c r="BF681" s="21" t="str">
        <f>IF(tblsales[[#This Row],[Win Flag]]=1,"Won","Lost")</f>
        <v>Lost</v>
      </c>
      <c r="BG681" s="8"/>
    </row>
    <row r="682" spans="1:59" x14ac:dyDescent="0.3">
      <c r="A682" s="10" t="s">
        <v>2345</v>
      </c>
      <c r="B682" s="9">
        <v>45834</v>
      </c>
      <c r="C682" s="10" t="s">
        <v>219</v>
      </c>
      <c r="D682" s="10" t="s">
        <v>248</v>
      </c>
      <c r="E682" s="10" t="s">
        <v>332</v>
      </c>
      <c r="F682" s="10" t="s">
        <v>19</v>
      </c>
      <c r="G682" s="10" t="s">
        <v>70</v>
      </c>
      <c r="H682" s="10" t="s">
        <v>212</v>
      </c>
      <c r="I682" s="10" t="s">
        <v>246</v>
      </c>
      <c r="J682" s="10" t="s">
        <v>99</v>
      </c>
      <c r="K682" s="10" t="s">
        <v>326</v>
      </c>
      <c r="L682" s="10" t="s">
        <v>2346</v>
      </c>
      <c r="M682" s="9">
        <v>45813</v>
      </c>
      <c r="N682" s="9">
        <v>45845</v>
      </c>
      <c r="O682" s="9">
        <v>45864</v>
      </c>
      <c r="P682" s="11">
        <v>46</v>
      </c>
      <c r="Q682" s="12">
        <v>45980804</v>
      </c>
      <c r="R682">
        <v>12520572.929199999</v>
      </c>
      <c r="S682" s="22">
        <v>0.23</v>
      </c>
      <c r="T682" s="22">
        <v>0.13</v>
      </c>
      <c r="U682" s="12">
        <v>40007897.560000002</v>
      </c>
      <c r="V682" s="24">
        <v>10894150.505588001</v>
      </c>
      <c r="W682" s="8">
        <v>29244471.75</v>
      </c>
      <c r="X682" s="24">
        <v>7963269.6575249992</v>
      </c>
      <c r="Y682" s="22">
        <v>0.36</v>
      </c>
      <c r="Z682" s="22">
        <v>0.05</v>
      </c>
      <c r="AA682" s="8" t="s">
        <v>2347</v>
      </c>
      <c r="AB682" s="8">
        <v>6878125.9000000004</v>
      </c>
      <c r="AC682" s="24">
        <v>1872913.6825699999</v>
      </c>
      <c r="AD682" s="8">
        <v>7031788.96</v>
      </c>
      <c r="AE682" s="24">
        <v>1914756.1338079998</v>
      </c>
      <c r="AF682" s="8">
        <v>90</v>
      </c>
      <c r="AG682" s="8">
        <v>153</v>
      </c>
      <c r="AH682" s="8" t="s">
        <v>347</v>
      </c>
      <c r="AI682" s="8" t="s">
        <v>406</v>
      </c>
      <c r="AJ682" s="22">
        <v>0.32</v>
      </c>
      <c r="AK682" s="8" t="s">
        <v>153</v>
      </c>
      <c r="AL682" s="22">
        <v>0.1</v>
      </c>
      <c r="AM682" s="22">
        <v>0.03</v>
      </c>
      <c r="AN682" s="8">
        <v>3</v>
      </c>
      <c r="AO682" s="8">
        <v>2903</v>
      </c>
      <c r="AP682" s="8">
        <v>1594397.13</v>
      </c>
      <c r="AQ682" s="24">
        <v>434154.33849899995</v>
      </c>
      <c r="AR682" s="8">
        <v>17079453.710000001</v>
      </c>
      <c r="AS682" s="37">
        <v>4650735.2452330003</v>
      </c>
      <c r="AT682" s="8" t="s">
        <v>355</v>
      </c>
      <c r="AU682" s="8" t="s">
        <v>322</v>
      </c>
      <c r="AV682" s="8">
        <v>56.2</v>
      </c>
      <c r="AW682" s="8">
        <v>24</v>
      </c>
      <c r="AX682" s="8" t="s">
        <v>323</v>
      </c>
      <c r="AY682" s="8" t="s">
        <v>192</v>
      </c>
      <c r="AZ682" s="8" t="s">
        <v>332</v>
      </c>
      <c r="BA682" s="21">
        <f>IF(OR(tblsales[[#This Row],[Invoice Value USD]]="",tblsales[[#This Row],[Collected Amount USD]]=""),"",tblsales[[#This Row],[Invoice Value USD]]-tblsales[[#This Row],[Collected Amount USD]])</f>
        <v>-41842.451237999834</v>
      </c>
      <c r="BB682" s="21">
        <f>IF(OR(tblsales[[#This Row],[Contract Value USD]]="",tblsales[[#This Row],[Cost Estimate USD]]=""),"",tblsales[[#This Row],[Contract Value USD]]-tblsales[[#This Row],[Cost Estimate USD]])</f>
        <v>2930880.8480630014</v>
      </c>
      <c r="BC682" s="21">
        <f>IF(OR(tblsales[[#This Row],[Contract Value USD]]="",tblsales[[#This Row],[Cost Estimate USD]]=""),"",tblsales[[#This Row],[Contract Value USD]]-tblsales[[#This Row],[Cost Estimate USD]])</f>
        <v>2930880.8480630014</v>
      </c>
      <c r="BD682" s="23">
        <f>IF(tblsales[[#This Row],[Invoice Value USD]]="","",tblsales[[#This Row],[Collected Amount USD]]/tblsales[[#This Row],[Invoice Value USD]])</f>
        <v>1.0223408326968833</v>
      </c>
      <c r="BE682" s="11">
        <f>IF(tblsales[[#This Row],[SalesStage]]="Won",1,0)</f>
        <v>0</v>
      </c>
      <c r="BF682" s="21" t="str">
        <f>IF(tblsales[[#This Row],[Win Flag]]=1,"Won","Lost")</f>
        <v>Lost</v>
      </c>
      <c r="BG682" s="8"/>
    </row>
    <row r="683" spans="1:59" x14ac:dyDescent="0.3">
      <c r="A683" s="10" t="s">
        <v>2348</v>
      </c>
      <c r="B683" s="9">
        <v>45662</v>
      </c>
      <c r="C683" s="10" t="s">
        <v>208</v>
      </c>
      <c r="D683" s="10" t="s">
        <v>202</v>
      </c>
      <c r="E683" s="10" t="s">
        <v>41</v>
      </c>
      <c r="F683" s="10" t="s">
        <v>363</v>
      </c>
      <c r="G683" s="10" t="s">
        <v>16</v>
      </c>
      <c r="H683" s="10" t="s">
        <v>236</v>
      </c>
      <c r="I683" s="10" t="s">
        <v>240</v>
      </c>
      <c r="J683" s="10" t="s">
        <v>105</v>
      </c>
      <c r="K683" s="10" t="s">
        <v>221</v>
      </c>
      <c r="L683" s="10" t="s">
        <v>2349</v>
      </c>
      <c r="M683" s="9">
        <v>45590</v>
      </c>
      <c r="N683" s="9">
        <v>45677</v>
      </c>
      <c r="O683" s="9">
        <v>45712</v>
      </c>
      <c r="P683" s="11">
        <v>12</v>
      </c>
      <c r="Q683" s="12">
        <v>38830512</v>
      </c>
      <c r="R683">
        <v>38830512</v>
      </c>
      <c r="S683" s="22">
        <v>0.24</v>
      </c>
      <c r="T683" s="22">
        <v>0.02</v>
      </c>
      <c r="U683" s="12">
        <v>30101412.899999999</v>
      </c>
      <c r="V683" s="24">
        <v>30101412.899999999</v>
      </c>
      <c r="W683" s="8">
        <v>19193029.989999998</v>
      </c>
      <c r="X683" s="24">
        <v>19193029.989999998</v>
      </c>
      <c r="Y683" s="22">
        <v>0.3</v>
      </c>
      <c r="Z683" s="22">
        <v>0.12</v>
      </c>
      <c r="AA683" s="8" t="s">
        <v>2350</v>
      </c>
      <c r="AB683" s="8">
        <v>4895856.66</v>
      </c>
      <c r="AC683" s="24">
        <v>4895856.66</v>
      </c>
      <c r="AD683" s="8">
        <v>5259097.9800000004</v>
      </c>
      <c r="AE683" s="24">
        <v>5259097.9800000004</v>
      </c>
      <c r="AF683" s="8">
        <v>60</v>
      </c>
      <c r="AG683" s="8">
        <v>37</v>
      </c>
      <c r="AH683" s="8" t="s">
        <v>332</v>
      </c>
      <c r="AI683" s="8" t="s">
        <v>320</v>
      </c>
      <c r="AJ683" s="22">
        <v>0.86</v>
      </c>
      <c r="AK683" s="8" t="s">
        <v>152</v>
      </c>
      <c r="AL683" s="22">
        <v>0.1</v>
      </c>
      <c r="AM683" s="22">
        <v>0.01</v>
      </c>
      <c r="AN683" s="8">
        <v>12</v>
      </c>
      <c r="AO683" s="8">
        <v>2409</v>
      </c>
      <c r="AP683" s="8">
        <v>4322819.5199999996</v>
      </c>
      <c r="AQ683" s="24">
        <v>4322819.5199999996</v>
      </c>
      <c r="AR683" s="8">
        <v>11515386.550000001</v>
      </c>
      <c r="AS683" s="37">
        <v>11515386.550000001</v>
      </c>
      <c r="AT683" s="8" t="s">
        <v>332</v>
      </c>
      <c r="AU683" s="8" t="s">
        <v>330</v>
      </c>
      <c r="AV683" s="8">
        <v>66.8</v>
      </c>
      <c r="AW683" s="8">
        <v>60</v>
      </c>
      <c r="AX683" s="8" t="s">
        <v>337</v>
      </c>
      <c r="AY683" s="8" t="s">
        <v>224</v>
      </c>
      <c r="AZ683" s="8" t="s">
        <v>361</v>
      </c>
      <c r="BA683" s="21">
        <f>IF(OR(tblsales[[#This Row],[Invoice Value USD]]="",tblsales[[#This Row],[Collected Amount USD]]=""),"",tblsales[[#This Row],[Invoice Value USD]]-tblsales[[#This Row],[Collected Amount USD]])</f>
        <v>-363241.3200000003</v>
      </c>
      <c r="BB683" s="21">
        <f>IF(OR(tblsales[[#This Row],[Contract Value USD]]="",tblsales[[#This Row],[Cost Estimate USD]]=""),"",tblsales[[#This Row],[Contract Value USD]]-tblsales[[#This Row],[Cost Estimate USD]])</f>
        <v>10908382.91</v>
      </c>
      <c r="BC683" s="21">
        <f>IF(OR(tblsales[[#This Row],[Contract Value USD]]="",tblsales[[#This Row],[Cost Estimate USD]]=""),"",tblsales[[#This Row],[Contract Value USD]]-tblsales[[#This Row],[Cost Estimate USD]])</f>
        <v>10908382.91</v>
      </c>
      <c r="BD683" s="23">
        <f>IF(tblsales[[#This Row],[Invoice Value USD]]="","",tblsales[[#This Row],[Collected Amount USD]]/tblsales[[#This Row],[Invoice Value USD]])</f>
        <v>1.0741936182420833</v>
      </c>
      <c r="BE683" s="11">
        <f>IF(tblsales[[#This Row],[SalesStage]]="Won",1,0)</f>
        <v>1</v>
      </c>
      <c r="BF683" s="21" t="str">
        <f>IF(tblsales[[#This Row],[Win Flag]]=1,"Won","Lost")</f>
        <v>Won</v>
      </c>
      <c r="BG683" s="8"/>
    </row>
    <row r="684" spans="1:59" x14ac:dyDescent="0.3">
      <c r="A684" s="10" t="s">
        <v>2351</v>
      </c>
      <c r="B684" s="9">
        <v>46236</v>
      </c>
      <c r="C684" s="10" t="s">
        <v>208</v>
      </c>
      <c r="D684" s="10" t="s">
        <v>332</v>
      </c>
      <c r="E684" s="10" t="s">
        <v>41</v>
      </c>
      <c r="F684" s="10" t="s">
        <v>363</v>
      </c>
      <c r="G684" s="10" t="s">
        <v>50</v>
      </c>
      <c r="H684" s="10" t="s">
        <v>216</v>
      </c>
      <c r="I684" s="10" t="s">
        <v>233</v>
      </c>
      <c r="J684" s="10" t="s">
        <v>130</v>
      </c>
      <c r="K684" s="10" t="s">
        <v>333</v>
      </c>
      <c r="L684" s="10" t="s">
        <v>2352</v>
      </c>
      <c r="M684" s="9">
        <v>45975</v>
      </c>
      <c r="N684" s="9">
        <v>46080</v>
      </c>
      <c r="O684" s="9">
        <v>46161</v>
      </c>
      <c r="P684" s="11">
        <v>9</v>
      </c>
      <c r="Q684" s="12">
        <v>5093831</v>
      </c>
      <c r="R684">
        <v>5913937.7910000002</v>
      </c>
      <c r="S684" s="22">
        <v>0.08</v>
      </c>
      <c r="T684" s="22">
        <v>7.0000000000000007E-2</v>
      </c>
      <c r="U684" s="12">
        <v>5014367.24</v>
      </c>
      <c r="V684" s="24">
        <v>5821680.3656400004</v>
      </c>
      <c r="W684" s="8">
        <v>4205282.28</v>
      </c>
      <c r="X684" s="24">
        <v>4882332.7270800006</v>
      </c>
      <c r="Y684" s="22">
        <v>0.36</v>
      </c>
      <c r="Z684" s="22">
        <v>0.06</v>
      </c>
      <c r="AA684" s="8" t="s">
        <v>2353</v>
      </c>
      <c r="AB684" s="8">
        <v>2966626.61</v>
      </c>
      <c r="AC684" s="24">
        <v>3444253.4942100001</v>
      </c>
      <c r="AD684" s="8">
        <v>2064545.89</v>
      </c>
      <c r="AE684" s="24">
        <v>2396937.7782899998</v>
      </c>
      <c r="AF684" s="8">
        <v>90</v>
      </c>
      <c r="AG684" s="8">
        <v>105</v>
      </c>
      <c r="AH684" s="8" t="s">
        <v>332</v>
      </c>
      <c r="AI684" s="8" t="s">
        <v>406</v>
      </c>
      <c r="AJ684" s="22">
        <v>0.52</v>
      </c>
      <c r="AK684" s="8" t="s">
        <v>159</v>
      </c>
      <c r="AL684" s="22">
        <v>0.15</v>
      </c>
      <c r="AM684" s="22">
        <v>0.08</v>
      </c>
      <c r="AN684" s="8">
        <v>0</v>
      </c>
      <c r="AO684" s="8">
        <v>1117</v>
      </c>
      <c r="AP684" s="8">
        <v>1102180.32</v>
      </c>
      <c r="AQ684" s="24">
        <v>1279631.35152</v>
      </c>
      <c r="AR684" s="8">
        <v>946876.11</v>
      </c>
      <c r="AS684" s="37">
        <v>1099323.16371</v>
      </c>
      <c r="AT684" s="8" t="s">
        <v>343</v>
      </c>
      <c r="AU684" s="8" t="s">
        <v>321</v>
      </c>
      <c r="AV684" s="8">
        <v>70.099999999999994</v>
      </c>
      <c r="AW684" s="8">
        <v>60</v>
      </c>
      <c r="AX684" s="8" t="s">
        <v>323</v>
      </c>
      <c r="AY684" s="8" t="s">
        <v>224</v>
      </c>
      <c r="AZ684" s="8" t="s">
        <v>332</v>
      </c>
      <c r="BA684" s="21">
        <f>IF(OR(tblsales[[#This Row],[Invoice Value USD]]="",tblsales[[#This Row],[Collected Amount USD]]=""),"",tblsales[[#This Row],[Invoice Value USD]]-tblsales[[#This Row],[Collected Amount USD]])</f>
        <v>1047315.7159200003</v>
      </c>
      <c r="BB684" s="21">
        <f>IF(OR(tblsales[[#This Row],[Contract Value USD]]="",tblsales[[#This Row],[Cost Estimate USD]]=""),"",tblsales[[#This Row],[Contract Value USD]]-tblsales[[#This Row],[Cost Estimate USD]])</f>
        <v>939347.63855999988</v>
      </c>
      <c r="BC684" s="21">
        <f>IF(OR(tblsales[[#This Row],[Contract Value USD]]="",tblsales[[#This Row],[Cost Estimate USD]]=""),"",tblsales[[#This Row],[Contract Value USD]]-tblsales[[#This Row],[Cost Estimate USD]])</f>
        <v>939347.63855999988</v>
      </c>
      <c r="BD684" s="23">
        <f>IF(tblsales[[#This Row],[Invoice Value USD]]="","",tblsales[[#This Row],[Collected Amount USD]]/tblsales[[#This Row],[Invoice Value USD]])</f>
        <v>0.69592374147820368</v>
      </c>
      <c r="BE684" s="11">
        <f>IF(tblsales[[#This Row],[SalesStage]]="Won",1,0)</f>
        <v>0</v>
      </c>
      <c r="BF684" s="21" t="str">
        <f>IF(tblsales[[#This Row],[Win Flag]]=1,"Won","Lost")</f>
        <v>Lost</v>
      </c>
      <c r="BG684" s="8"/>
    </row>
    <row r="685" spans="1:59" x14ac:dyDescent="0.3">
      <c r="A685" s="10" t="s">
        <v>2354</v>
      </c>
      <c r="B685" s="9">
        <v>45946</v>
      </c>
      <c r="C685" s="10" t="s">
        <v>254</v>
      </c>
      <c r="D685" s="10" t="s">
        <v>232</v>
      </c>
      <c r="E685" s="10" t="s">
        <v>332</v>
      </c>
      <c r="F685" s="10" t="s">
        <v>75</v>
      </c>
      <c r="G685" s="10" t="s">
        <v>57</v>
      </c>
      <c r="H685" s="10" t="s">
        <v>182</v>
      </c>
      <c r="I685" s="10" t="s">
        <v>332</v>
      </c>
      <c r="J685" s="10" t="s">
        <v>99</v>
      </c>
      <c r="K685" s="10" t="s">
        <v>199</v>
      </c>
      <c r="L685" s="10" t="s">
        <v>2355</v>
      </c>
      <c r="M685" s="9">
        <v>45755</v>
      </c>
      <c r="N685" s="9"/>
      <c r="O685" s="9">
        <v>46019</v>
      </c>
      <c r="P685" s="11">
        <v>38</v>
      </c>
      <c r="Q685" s="12">
        <v>32682311</v>
      </c>
      <c r="R685">
        <v>37944163.071000002</v>
      </c>
      <c r="S685" s="22">
        <v>0.2</v>
      </c>
      <c r="T685" s="22">
        <v>-0.03</v>
      </c>
      <c r="U685" s="12">
        <v>25361473.34</v>
      </c>
      <c r="V685" s="24">
        <v>29444670.547740001</v>
      </c>
      <c r="W685" s="8">
        <v>16330888</v>
      </c>
      <c r="X685" s="24">
        <v>18960160.968000002</v>
      </c>
      <c r="Y685" s="22">
        <v>0.2</v>
      </c>
      <c r="Z685" s="22">
        <v>0.15</v>
      </c>
      <c r="AA685" s="8" t="s">
        <v>2356</v>
      </c>
      <c r="AB685" s="8">
        <v>11716598.66</v>
      </c>
      <c r="AC685" s="24">
        <v>13602971.044260001</v>
      </c>
      <c r="AD685" s="8">
        <v>5952882.4100000001</v>
      </c>
      <c r="AE685" s="24">
        <v>6911296.4780100007</v>
      </c>
      <c r="AF685" s="8">
        <v>30</v>
      </c>
      <c r="AG685" s="8">
        <v>82</v>
      </c>
      <c r="AH685" s="8" t="s">
        <v>342</v>
      </c>
      <c r="AI685" s="8" t="s">
        <v>320</v>
      </c>
      <c r="AJ685" s="22">
        <v>0.6</v>
      </c>
      <c r="AK685" s="8" t="s">
        <v>159</v>
      </c>
      <c r="AL685" s="22">
        <v>0.05</v>
      </c>
      <c r="AM685" s="22">
        <v>0.01</v>
      </c>
      <c r="AN685" s="8">
        <v>12</v>
      </c>
      <c r="AO685" s="8">
        <v>2378</v>
      </c>
      <c r="AP685" s="8"/>
      <c r="AQ685" s="24"/>
      <c r="AR685" s="8">
        <v>7406235.0999999996</v>
      </c>
      <c r="AS685" s="37">
        <v>8598638.9510999992</v>
      </c>
      <c r="AT685" s="8" t="s">
        <v>321</v>
      </c>
      <c r="AU685" s="8" t="s">
        <v>332</v>
      </c>
      <c r="AV685" s="8">
        <v>66.900000000000006</v>
      </c>
      <c r="AW685" s="8">
        <v>60</v>
      </c>
      <c r="AX685" s="8" t="s">
        <v>387</v>
      </c>
      <c r="AY685" s="8" t="s">
        <v>192</v>
      </c>
      <c r="AZ685" s="8" t="s">
        <v>357</v>
      </c>
      <c r="BA685" s="21">
        <f>IF(OR(tblsales[[#This Row],[Invoice Value USD]]="",tblsales[[#This Row],[Collected Amount USD]]=""),"",tblsales[[#This Row],[Invoice Value USD]]-tblsales[[#This Row],[Collected Amount USD]])</f>
        <v>6691674.5662500001</v>
      </c>
      <c r="BB685" s="21">
        <f>IF(OR(tblsales[[#This Row],[Contract Value USD]]="",tblsales[[#This Row],[Cost Estimate USD]]=""),"",tblsales[[#This Row],[Contract Value USD]]-tblsales[[#This Row],[Cost Estimate USD]])</f>
        <v>10484509.579739999</v>
      </c>
      <c r="BC685" s="21">
        <f>IF(OR(tblsales[[#This Row],[Contract Value USD]]="",tblsales[[#This Row],[Cost Estimate USD]]=""),"",tblsales[[#This Row],[Contract Value USD]]-tblsales[[#This Row],[Cost Estimate USD]])</f>
        <v>10484509.579739999</v>
      </c>
      <c r="BD685" s="23">
        <f>IF(tblsales[[#This Row],[Invoice Value USD]]="","",tblsales[[#This Row],[Collected Amount USD]]/tblsales[[#This Row],[Invoice Value USD]])</f>
        <v>0.50807257146418294</v>
      </c>
      <c r="BE685" s="11">
        <f>IF(tblsales[[#This Row],[SalesStage]]="Won",1,0)</f>
        <v>1</v>
      </c>
      <c r="BF685" s="21" t="str">
        <f>IF(tblsales[[#This Row],[Win Flag]]=1,"Won","Lost")</f>
        <v>Won</v>
      </c>
      <c r="BG685" s="8"/>
    </row>
    <row r="686" spans="1:59" x14ac:dyDescent="0.3">
      <c r="A686" s="10" t="s">
        <v>2357</v>
      </c>
      <c r="B686" s="9">
        <v>45677</v>
      </c>
      <c r="C686" s="10" t="s">
        <v>261</v>
      </c>
      <c r="D686" s="10" t="s">
        <v>274</v>
      </c>
      <c r="E686" s="10" t="s">
        <v>36</v>
      </c>
      <c r="F686" s="10" t="s">
        <v>339</v>
      </c>
      <c r="G686" s="10" t="s">
        <v>73</v>
      </c>
      <c r="H686" s="10" t="s">
        <v>182</v>
      </c>
      <c r="I686" s="10" t="s">
        <v>198</v>
      </c>
      <c r="J686" s="10" t="s">
        <v>115</v>
      </c>
      <c r="K686" s="10" t="s">
        <v>221</v>
      </c>
      <c r="L686" s="10" t="s">
        <v>2358</v>
      </c>
      <c r="M686" s="9">
        <v>45593</v>
      </c>
      <c r="N686" s="9"/>
      <c r="O686" s="9"/>
      <c r="P686" s="11">
        <v>12</v>
      </c>
      <c r="Q686" s="12">
        <v>38071624</v>
      </c>
      <c r="R686">
        <v>38071624</v>
      </c>
      <c r="S686" s="22">
        <v>0.35</v>
      </c>
      <c r="T686" s="22">
        <v>7.0000000000000007E-2</v>
      </c>
      <c r="U686" s="12">
        <v>26478814.489999998</v>
      </c>
      <c r="V686" s="24">
        <v>26478814.489999998</v>
      </c>
      <c r="W686" s="8"/>
      <c r="X686" s="24"/>
      <c r="Y686" s="22">
        <v>0.35</v>
      </c>
      <c r="Z686" s="22">
        <v>0.16</v>
      </c>
      <c r="AA686" s="8" t="s">
        <v>2359</v>
      </c>
      <c r="AB686" s="8">
        <v>9287320.25</v>
      </c>
      <c r="AC686" s="24">
        <v>9287320.25</v>
      </c>
      <c r="AD686" s="8">
        <v>9229803.4299999997</v>
      </c>
      <c r="AE686" s="24">
        <v>9229803.4299999997</v>
      </c>
      <c r="AF686" s="8">
        <v>90</v>
      </c>
      <c r="AG686" s="8">
        <v>136</v>
      </c>
      <c r="AH686" s="8" t="s">
        <v>376</v>
      </c>
      <c r="AI686" s="8" t="s">
        <v>336</v>
      </c>
      <c r="AJ686" s="22">
        <v>0.42</v>
      </c>
      <c r="AK686" s="8" t="s">
        <v>152</v>
      </c>
      <c r="AL686" s="22">
        <v>0.1</v>
      </c>
      <c r="AM686" s="22">
        <v>0.01</v>
      </c>
      <c r="AN686" s="8">
        <v>6</v>
      </c>
      <c r="AO686" s="8">
        <v>2340</v>
      </c>
      <c r="AP686" s="8">
        <v>3657867.06</v>
      </c>
      <c r="AQ686" s="24">
        <v>3657867.06</v>
      </c>
      <c r="AR686" s="8">
        <v>9567079.4199999999</v>
      </c>
      <c r="AS686" s="37">
        <v>9567079.4199999999</v>
      </c>
      <c r="AT686" s="8" t="s">
        <v>385</v>
      </c>
      <c r="AU686" s="8" t="s">
        <v>330</v>
      </c>
      <c r="AV686" s="8">
        <v>89.8</v>
      </c>
      <c r="AW686" s="8">
        <v>60</v>
      </c>
      <c r="AX686" s="8" t="s">
        <v>392</v>
      </c>
      <c r="AY686" s="8" t="s">
        <v>206</v>
      </c>
      <c r="AZ686" s="8" t="s">
        <v>357</v>
      </c>
      <c r="BA686" s="21">
        <f>IF(OR(tblsales[[#This Row],[Invoice Value USD]]="",tblsales[[#This Row],[Collected Amount USD]]=""),"",tblsales[[#This Row],[Invoice Value USD]]-tblsales[[#This Row],[Collected Amount USD]])</f>
        <v>57516.820000000298</v>
      </c>
      <c r="BB686" s="21" t="str">
        <f>IF(OR(tblsales[[#This Row],[Contract Value USD]]="",tblsales[[#This Row],[Cost Estimate USD]]=""),"",tblsales[[#This Row],[Contract Value USD]]-tblsales[[#This Row],[Cost Estimate USD]])</f>
        <v/>
      </c>
      <c r="BC686" s="21" t="str">
        <f>IF(OR(tblsales[[#This Row],[Contract Value USD]]="",tblsales[[#This Row],[Cost Estimate USD]]=""),"",tblsales[[#This Row],[Contract Value USD]]-tblsales[[#This Row],[Cost Estimate USD]])</f>
        <v/>
      </c>
      <c r="BD686" s="23">
        <f>IF(tblsales[[#This Row],[Invoice Value USD]]="","",tblsales[[#This Row],[Collected Amount USD]]/tblsales[[#This Row],[Invoice Value USD]])</f>
        <v>0.99380695201072666</v>
      </c>
      <c r="BE686" s="11">
        <f>IF(tblsales[[#This Row],[SalesStage]]="Won",1,0)</f>
        <v>0</v>
      </c>
      <c r="BF686" s="21" t="str">
        <f>IF(tblsales[[#This Row],[Win Flag]]=1,"Won","Lost")</f>
        <v>Lost</v>
      </c>
      <c r="BG686" s="8"/>
    </row>
    <row r="687" spans="1:59" x14ac:dyDescent="0.3">
      <c r="A687" s="10" t="s">
        <v>2360</v>
      </c>
      <c r="B687" s="9">
        <v>45691</v>
      </c>
      <c r="C687" s="10" t="s">
        <v>264</v>
      </c>
      <c r="D687" s="10" t="s">
        <v>232</v>
      </c>
      <c r="E687" s="10" t="s">
        <v>41</v>
      </c>
      <c r="F687" s="10" t="s">
        <v>350</v>
      </c>
      <c r="G687" s="10" t="s">
        <v>332</v>
      </c>
      <c r="H687" s="10" t="s">
        <v>212</v>
      </c>
      <c r="I687" s="10" t="s">
        <v>191</v>
      </c>
      <c r="J687" s="10" t="s">
        <v>105</v>
      </c>
      <c r="K687" s="10" t="s">
        <v>199</v>
      </c>
      <c r="L687" s="10" t="s">
        <v>2361</v>
      </c>
      <c r="M687" s="9">
        <v>45778</v>
      </c>
      <c r="N687" s="9">
        <v>45780</v>
      </c>
      <c r="O687" s="9">
        <v>45828</v>
      </c>
      <c r="P687" s="11">
        <v>20</v>
      </c>
      <c r="Q687" s="12">
        <v>22357640</v>
      </c>
      <c r="R687">
        <v>22357640</v>
      </c>
      <c r="S687" s="22">
        <v>0.33</v>
      </c>
      <c r="T687" s="22">
        <v>-0.01</v>
      </c>
      <c r="U687" s="12">
        <v>14829822.609999999</v>
      </c>
      <c r="V687" s="24">
        <v>14829822.609999999</v>
      </c>
      <c r="W687" s="8">
        <v>9861914.1600000001</v>
      </c>
      <c r="X687" s="24">
        <v>9861914.1600000001</v>
      </c>
      <c r="Y687" s="22">
        <v>0.26</v>
      </c>
      <c r="Z687" s="22">
        <v>0.13</v>
      </c>
      <c r="AA687" s="8" t="s">
        <v>2362</v>
      </c>
      <c r="AB687" s="8">
        <v>10632532.68</v>
      </c>
      <c r="AC687" s="24">
        <v>10632532.68</v>
      </c>
      <c r="AD687" s="8">
        <v>4952319.7699999996</v>
      </c>
      <c r="AE687" s="24">
        <v>4952319.7699999996</v>
      </c>
      <c r="AF687" s="8">
        <v>45</v>
      </c>
      <c r="AG687" s="8">
        <v>148</v>
      </c>
      <c r="AH687" s="8" t="s">
        <v>332</v>
      </c>
      <c r="AI687" s="8" t="s">
        <v>455</v>
      </c>
      <c r="AJ687" s="22">
        <v>0.48</v>
      </c>
      <c r="AK687" s="8" t="s">
        <v>152</v>
      </c>
      <c r="AL687" s="22">
        <v>0.15</v>
      </c>
      <c r="AM687" s="22">
        <v>0.03</v>
      </c>
      <c r="AN687" s="8">
        <v>10</v>
      </c>
      <c r="AO687" s="8">
        <v>2304</v>
      </c>
      <c r="AP687" s="8">
        <v>1443265.42</v>
      </c>
      <c r="AQ687" s="24">
        <v>1443265.42</v>
      </c>
      <c r="AR687" s="8">
        <v>4406460.66</v>
      </c>
      <c r="AS687" s="37">
        <v>4406460.66</v>
      </c>
      <c r="AT687" s="8" t="s">
        <v>355</v>
      </c>
      <c r="AU687" s="8" t="s">
        <v>330</v>
      </c>
      <c r="AV687" s="8">
        <v>68</v>
      </c>
      <c r="AW687" s="8"/>
      <c r="AX687" s="8" t="s">
        <v>323</v>
      </c>
      <c r="AY687" s="8" t="s">
        <v>224</v>
      </c>
      <c r="AZ687" s="8" t="s">
        <v>324</v>
      </c>
      <c r="BA687" s="21">
        <f>IF(OR(tblsales[[#This Row],[Invoice Value USD]]="",tblsales[[#This Row],[Collected Amount USD]]=""),"",tblsales[[#This Row],[Invoice Value USD]]-tblsales[[#This Row],[Collected Amount USD]])</f>
        <v>5680212.9100000001</v>
      </c>
      <c r="BB687" s="21">
        <f>IF(OR(tblsales[[#This Row],[Contract Value USD]]="",tblsales[[#This Row],[Cost Estimate USD]]=""),"",tblsales[[#This Row],[Contract Value USD]]-tblsales[[#This Row],[Cost Estimate USD]])</f>
        <v>4967908.4499999993</v>
      </c>
      <c r="BC687" s="21">
        <f>IF(OR(tblsales[[#This Row],[Contract Value USD]]="",tblsales[[#This Row],[Cost Estimate USD]]=""),"",tblsales[[#This Row],[Contract Value USD]]-tblsales[[#This Row],[Cost Estimate USD]])</f>
        <v>4967908.4499999993</v>
      </c>
      <c r="BD687" s="23">
        <f>IF(tblsales[[#This Row],[Invoice Value USD]]="","",tblsales[[#This Row],[Collected Amount USD]]/tblsales[[#This Row],[Invoice Value USD]])</f>
        <v>0.46577047247787062</v>
      </c>
      <c r="BE687" s="11">
        <f>IF(tblsales[[#This Row],[SalesStage]]="Won",1,0)</f>
        <v>0</v>
      </c>
      <c r="BF687" s="21" t="str">
        <f>IF(tblsales[[#This Row],[Win Flag]]=1,"Won","Lost")</f>
        <v>Lost</v>
      </c>
      <c r="BG687" s="8"/>
    </row>
    <row r="688" spans="1:59" x14ac:dyDescent="0.3">
      <c r="A688" s="10" t="s">
        <v>2363</v>
      </c>
      <c r="B688" s="9">
        <v>45717</v>
      </c>
      <c r="C688" s="10" t="s">
        <v>243</v>
      </c>
      <c r="D688" s="10" t="s">
        <v>238</v>
      </c>
      <c r="E688" s="10" t="s">
        <v>41</v>
      </c>
      <c r="F688" s="10" t="s">
        <v>228</v>
      </c>
      <c r="G688" s="10" t="s">
        <v>73</v>
      </c>
      <c r="H688" s="10" t="s">
        <v>197</v>
      </c>
      <c r="I688" s="10" t="s">
        <v>203</v>
      </c>
      <c r="J688" s="10" t="s">
        <v>130</v>
      </c>
      <c r="K688" s="10" t="s">
        <v>221</v>
      </c>
      <c r="L688" s="10" t="s">
        <v>2364</v>
      </c>
      <c r="M688" s="9">
        <v>45901</v>
      </c>
      <c r="N688" s="9"/>
      <c r="O688" s="9">
        <v>45768</v>
      </c>
      <c r="P688" s="11">
        <v>27</v>
      </c>
      <c r="Q688" s="12">
        <v>29982961</v>
      </c>
      <c r="R688">
        <v>29982961</v>
      </c>
      <c r="S688" s="22">
        <v>0.28000000000000003</v>
      </c>
      <c r="T688" s="22">
        <v>-0.03</v>
      </c>
      <c r="U688" s="12">
        <v>20940099.960000001</v>
      </c>
      <c r="V688" s="24">
        <v>20940099.960000001</v>
      </c>
      <c r="W688" s="8">
        <v>16126265.59</v>
      </c>
      <c r="X688" s="24">
        <v>16126265.59</v>
      </c>
      <c r="Y688" s="22">
        <v>0.19</v>
      </c>
      <c r="Z688" s="22">
        <v>0.09</v>
      </c>
      <c r="AA688" s="8" t="s">
        <v>2365</v>
      </c>
      <c r="AB688" s="8">
        <v>16689084.039999999</v>
      </c>
      <c r="AC688" s="24">
        <v>16689084.039999999</v>
      </c>
      <c r="AD688" s="8">
        <v>15602290.52</v>
      </c>
      <c r="AE688" s="24">
        <v>15602290.52</v>
      </c>
      <c r="AF688" s="8">
        <v>60</v>
      </c>
      <c r="AG688" s="8">
        <v>151</v>
      </c>
      <c r="AH688" s="8" t="s">
        <v>342</v>
      </c>
      <c r="AI688" s="8" t="s">
        <v>406</v>
      </c>
      <c r="AJ688" s="22">
        <v>0.71</v>
      </c>
      <c r="AK688" s="8" t="s">
        <v>152</v>
      </c>
      <c r="AL688" s="22">
        <v>0.05</v>
      </c>
      <c r="AM688" s="22">
        <v>0.04</v>
      </c>
      <c r="AN688" s="8">
        <v>6</v>
      </c>
      <c r="AO688" s="8">
        <v>2408</v>
      </c>
      <c r="AP688" s="8"/>
      <c r="AQ688" s="24"/>
      <c r="AR688" s="8">
        <v>3402042.03</v>
      </c>
      <c r="AS688" s="37">
        <v>3402042.03</v>
      </c>
      <c r="AT688" s="8" t="s">
        <v>321</v>
      </c>
      <c r="AU688" s="8" t="s">
        <v>332</v>
      </c>
      <c r="AV688" s="8">
        <v>91.9</v>
      </c>
      <c r="AW688" s="8">
        <v>12</v>
      </c>
      <c r="AX688" s="8" t="s">
        <v>323</v>
      </c>
      <c r="AY688" s="8" t="s">
        <v>186</v>
      </c>
      <c r="AZ688" s="8" t="s">
        <v>324</v>
      </c>
      <c r="BA688" s="21">
        <f>IF(OR(tblsales[[#This Row],[Invoice Value USD]]="",tblsales[[#This Row],[Collected Amount USD]]=""),"",tblsales[[#This Row],[Invoice Value USD]]-tblsales[[#This Row],[Collected Amount USD]])</f>
        <v>1086793.5199999996</v>
      </c>
      <c r="BB688" s="21">
        <f>IF(OR(tblsales[[#This Row],[Contract Value USD]]="",tblsales[[#This Row],[Cost Estimate USD]]=""),"",tblsales[[#This Row],[Contract Value USD]]-tblsales[[#This Row],[Cost Estimate USD]])</f>
        <v>4813834.370000001</v>
      </c>
      <c r="BC688" s="21">
        <f>IF(OR(tblsales[[#This Row],[Contract Value USD]]="",tblsales[[#This Row],[Cost Estimate USD]]=""),"",tblsales[[#This Row],[Contract Value USD]]-tblsales[[#This Row],[Cost Estimate USD]])</f>
        <v>4813834.370000001</v>
      </c>
      <c r="BD688" s="23">
        <f>IF(tblsales[[#This Row],[Invoice Value USD]]="","",tblsales[[#This Row],[Collected Amount USD]]/tblsales[[#This Row],[Invoice Value USD]])</f>
        <v>0.93487997799069145</v>
      </c>
      <c r="BE688" s="11">
        <f>IF(tblsales[[#This Row],[SalesStage]]="Won",1,0)</f>
        <v>0</v>
      </c>
      <c r="BF688" s="21" t="str">
        <f>IF(tblsales[[#This Row],[Win Flag]]=1,"Won","Lost")</f>
        <v>Lost</v>
      </c>
      <c r="BG688" s="8"/>
    </row>
    <row r="689" spans="1:59" x14ac:dyDescent="0.3">
      <c r="A689" s="10" t="s">
        <v>2366</v>
      </c>
      <c r="B689" s="9">
        <v>45896</v>
      </c>
      <c r="C689" s="10" t="s">
        <v>225</v>
      </c>
      <c r="D689" s="10" t="s">
        <v>190</v>
      </c>
      <c r="E689" s="10" t="s">
        <v>52</v>
      </c>
      <c r="F689" s="10" t="s">
        <v>75</v>
      </c>
      <c r="G689" s="10" t="s">
        <v>73</v>
      </c>
      <c r="H689" s="10" t="s">
        <v>212</v>
      </c>
      <c r="I689" s="10" t="s">
        <v>213</v>
      </c>
      <c r="J689" s="10" t="s">
        <v>133</v>
      </c>
      <c r="K689" s="10" t="s">
        <v>326</v>
      </c>
      <c r="L689" s="10" t="s">
        <v>2367</v>
      </c>
      <c r="M689" s="9">
        <v>45856</v>
      </c>
      <c r="N689" s="9"/>
      <c r="O689" s="9"/>
      <c r="P689" s="11">
        <v>4</v>
      </c>
      <c r="Q689" s="12">
        <v>49757989</v>
      </c>
      <c r="R689">
        <v>49757989</v>
      </c>
      <c r="S689" s="22">
        <v>0.1</v>
      </c>
      <c r="T689" s="22">
        <v>0.03</v>
      </c>
      <c r="U689" s="12">
        <v>46125655.799999997</v>
      </c>
      <c r="V689" s="24">
        <v>46125655.799999997</v>
      </c>
      <c r="W689" s="8">
        <v>30245327.670000002</v>
      </c>
      <c r="X689" s="24">
        <v>30245327.670000002</v>
      </c>
      <c r="Y689" s="22">
        <v>0.23</v>
      </c>
      <c r="Z689" s="22">
        <v>0.16</v>
      </c>
      <c r="AA689" s="8" t="s">
        <v>2368</v>
      </c>
      <c r="AB689" s="8">
        <v>6624293.0199999996</v>
      </c>
      <c r="AC689" s="24">
        <v>6624293.0199999996</v>
      </c>
      <c r="AD689" s="8">
        <v>5516062.9299999997</v>
      </c>
      <c r="AE689" s="24">
        <v>5516062.9299999997</v>
      </c>
      <c r="AF689" s="8">
        <v>120</v>
      </c>
      <c r="AG689" s="8">
        <v>93</v>
      </c>
      <c r="AH689" s="8" t="s">
        <v>347</v>
      </c>
      <c r="AI689" s="8" t="s">
        <v>455</v>
      </c>
      <c r="AJ689" s="22">
        <v>0.08</v>
      </c>
      <c r="AK689" s="8" t="s">
        <v>152</v>
      </c>
      <c r="AL689" s="22">
        <v>0.05</v>
      </c>
      <c r="AM689" s="22">
        <v>0.06</v>
      </c>
      <c r="AN689" s="8">
        <v>0</v>
      </c>
      <c r="AO689" s="8">
        <v>1390</v>
      </c>
      <c r="AP689" s="8">
        <v>2700666.52</v>
      </c>
      <c r="AQ689" s="24">
        <v>2700666.52</v>
      </c>
      <c r="AR689" s="8">
        <v>20915600.75</v>
      </c>
      <c r="AS689" s="37">
        <v>20915600.75</v>
      </c>
      <c r="AT689" s="8" t="s">
        <v>385</v>
      </c>
      <c r="AU689" s="8" t="s">
        <v>330</v>
      </c>
      <c r="AV689" s="8">
        <v>52.7</v>
      </c>
      <c r="AW689" s="8">
        <v>36</v>
      </c>
      <c r="AX689" s="8" t="s">
        <v>323</v>
      </c>
      <c r="AY689" s="8" t="s">
        <v>229</v>
      </c>
      <c r="AZ689" s="8" t="s">
        <v>361</v>
      </c>
      <c r="BA689" s="21">
        <f>IF(OR(tblsales[[#This Row],[Invoice Value USD]]="",tblsales[[#This Row],[Collected Amount USD]]=""),"",tblsales[[#This Row],[Invoice Value USD]]-tblsales[[#This Row],[Collected Amount USD]])</f>
        <v>1108230.0899999999</v>
      </c>
      <c r="BB689" s="21">
        <f>IF(OR(tblsales[[#This Row],[Contract Value USD]]="",tblsales[[#This Row],[Cost Estimate USD]]=""),"",tblsales[[#This Row],[Contract Value USD]]-tblsales[[#This Row],[Cost Estimate USD]])</f>
        <v>15880328.129999995</v>
      </c>
      <c r="BC689" s="21">
        <f>IF(OR(tblsales[[#This Row],[Contract Value USD]]="",tblsales[[#This Row],[Cost Estimate USD]]=""),"",tblsales[[#This Row],[Contract Value USD]]-tblsales[[#This Row],[Cost Estimate USD]])</f>
        <v>15880328.129999995</v>
      </c>
      <c r="BD689" s="23">
        <f>IF(tblsales[[#This Row],[Invoice Value USD]]="","",tblsales[[#This Row],[Collected Amount USD]]/tblsales[[#This Row],[Invoice Value USD]])</f>
        <v>0.83270213339687082</v>
      </c>
      <c r="BE689" s="11">
        <f>IF(tblsales[[#This Row],[SalesStage]]="Won",1,0)</f>
        <v>0</v>
      </c>
      <c r="BF689" s="21" t="str">
        <f>IF(tblsales[[#This Row],[Win Flag]]=1,"Won","Lost")</f>
        <v>Lost</v>
      </c>
      <c r="BG689" s="8"/>
    </row>
    <row r="690" spans="1:59" x14ac:dyDescent="0.3">
      <c r="A690" s="10" t="s">
        <v>2369</v>
      </c>
      <c r="B690" s="9">
        <v>45830</v>
      </c>
      <c r="C690" s="10" t="s">
        <v>214</v>
      </c>
      <c r="D690" s="10" t="s">
        <v>274</v>
      </c>
      <c r="E690" s="10" t="s">
        <v>20</v>
      </c>
      <c r="F690" s="10" t="s">
        <v>332</v>
      </c>
      <c r="G690" s="10" t="s">
        <v>46</v>
      </c>
      <c r="H690" s="10" t="s">
        <v>236</v>
      </c>
      <c r="I690" s="10" t="s">
        <v>246</v>
      </c>
      <c r="J690" s="10" t="s">
        <v>99</v>
      </c>
      <c r="K690" s="10" t="s">
        <v>204</v>
      </c>
      <c r="L690" s="10" t="s">
        <v>2370</v>
      </c>
      <c r="M690" s="9">
        <v>45935</v>
      </c>
      <c r="N690" s="9"/>
      <c r="O690" s="9">
        <v>45924</v>
      </c>
      <c r="P690" s="11">
        <v>59</v>
      </c>
      <c r="Q690" s="12">
        <v>13060942</v>
      </c>
      <c r="R690">
        <v>3556494.5066</v>
      </c>
      <c r="S690" s="22">
        <v>0.06</v>
      </c>
      <c r="T690" s="22">
        <v>0.13</v>
      </c>
      <c r="U690" s="12">
        <v>13873332.59</v>
      </c>
      <c r="V690" s="24">
        <v>3777708.4642569995</v>
      </c>
      <c r="W690" s="8">
        <v>10057342.460000001</v>
      </c>
      <c r="X690" s="24">
        <v>2738614.3518580003</v>
      </c>
      <c r="Y690" s="22">
        <v>0.37</v>
      </c>
      <c r="Z690" s="22">
        <v>0.19</v>
      </c>
      <c r="AA690" s="8" t="s">
        <v>2371</v>
      </c>
      <c r="AB690" s="8">
        <v>10879213.710000001</v>
      </c>
      <c r="AC690" s="24">
        <v>2962409.8932330003</v>
      </c>
      <c r="AD690" s="8">
        <v>8695057.9399999995</v>
      </c>
      <c r="AE690" s="24">
        <v>2367664.2770619998</v>
      </c>
      <c r="AF690" s="8">
        <v>120</v>
      </c>
      <c r="AG690" s="8">
        <v>127</v>
      </c>
      <c r="AH690" s="8" t="s">
        <v>353</v>
      </c>
      <c r="AI690" s="8" t="s">
        <v>406</v>
      </c>
      <c r="AJ690" s="22">
        <v>0.7</v>
      </c>
      <c r="AK690" s="8" t="s">
        <v>153</v>
      </c>
      <c r="AL690" s="22">
        <v>0.15</v>
      </c>
      <c r="AM690" s="22">
        <v>0.08</v>
      </c>
      <c r="AN690" s="8">
        <v>5</v>
      </c>
      <c r="AO690" s="8">
        <v>2170</v>
      </c>
      <c r="AP690" s="8">
        <v>3121662.19</v>
      </c>
      <c r="AQ690" s="24">
        <v>850028.61433699995</v>
      </c>
      <c r="AR690" s="8"/>
      <c r="AS690" s="37"/>
      <c r="AT690" s="8" t="s">
        <v>332</v>
      </c>
      <c r="AU690" s="8" t="s">
        <v>330</v>
      </c>
      <c r="AV690" s="8"/>
      <c r="AW690" s="8">
        <v>60</v>
      </c>
      <c r="AX690" s="8" t="s">
        <v>332</v>
      </c>
      <c r="AY690" s="8" t="s">
        <v>229</v>
      </c>
      <c r="AZ690" s="8" t="s">
        <v>332</v>
      </c>
      <c r="BA690" s="21">
        <f>IF(OR(tblsales[[#This Row],[Invoice Value USD]]="",tblsales[[#This Row],[Collected Amount USD]]=""),"",tblsales[[#This Row],[Invoice Value USD]]-tblsales[[#This Row],[Collected Amount USD]])</f>
        <v>594745.61617100053</v>
      </c>
      <c r="BB690" s="21">
        <f>IF(OR(tblsales[[#This Row],[Contract Value USD]]="",tblsales[[#This Row],[Cost Estimate USD]]=""),"",tblsales[[#This Row],[Contract Value USD]]-tblsales[[#This Row],[Cost Estimate USD]])</f>
        <v>1039094.1123989993</v>
      </c>
      <c r="BC690" s="21">
        <f>IF(OR(tblsales[[#This Row],[Contract Value USD]]="",tblsales[[#This Row],[Cost Estimate USD]]=""),"",tblsales[[#This Row],[Contract Value USD]]-tblsales[[#This Row],[Cost Estimate USD]])</f>
        <v>1039094.1123989993</v>
      </c>
      <c r="BD690" s="23">
        <f>IF(tblsales[[#This Row],[Invoice Value USD]]="","",tblsales[[#This Row],[Collected Amount USD]]/tblsales[[#This Row],[Invoice Value USD]])</f>
        <v>0.79923587970403043</v>
      </c>
      <c r="BE690" s="11">
        <f>IF(tblsales[[#This Row],[SalesStage]]="Won",1,0)</f>
        <v>0</v>
      </c>
      <c r="BF690" s="21" t="str">
        <f>IF(tblsales[[#This Row],[Win Flag]]=1,"Won","Lost")</f>
        <v>Lost</v>
      </c>
      <c r="BG690" s="8"/>
    </row>
    <row r="691" spans="1:59" x14ac:dyDescent="0.3">
      <c r="A691" s="10" t="s">
        <v>2372</v>
      </c>
      <c r="B691" s="9">
        <v>46037</v>
      </c>
      <c r="C691" s="10" t="s">
        <v>277</v>
      </c>
      <c r="D691" s="10" t="s">
        <v>238</v>
      </c>
      <c r="E691" s="10" t="s">
        <v>36</v>
      </c>
      <c r="F691" s="10" t="s">
        <v>339</v>
      </c>
      <c r="G691" s="10" t="s">
        <v>80</v>
      </c>
      <c r="H691" s="10" t="s">
        <v>182</v>
      </c>
      <c r="I691" s="10" t="s">
        <v>203</v>
      </c>
      <c r="J691" s="10" t="s">
        <v>115</v>
      </c>
      <c r="K691" s="10" t="s">
        <v>221</v>
      </c>
      <c r="L691" s="10" t="s">
        <v>2373</v>
      </c>
      <c r="M691" s="9">
        <v>45987</v>
      </c>
      <c r="N691" s="9">
        <v>46175</v>
      </c>
      <c r="O691" s="9">
        <v>46070</v>
      </c>
      <c r="P691" s="11">
        <v>45</v>
      </c>
      <c r="Q691" s="12">
        <v>529803</v>
      </c>
      <c r="R691">
        <v>529803</v>
      </c>
      <c r="S691" s="22">
        <v>0.08</v>
      </c>
      <c r="T691" s="22">
        <v>-0.05</v>
      </c>
      <c r="U691" s="12">
        <v>463047.82</v>
      </c>
      <c r="V691" s="24">
        <v>463047.82</v>
      </c>
      <c r="W691" s="8">
        <v>368117.43</v>
      </c>
      <c r="X691" s="24">
        <v>368117.43</v>
      </c>
      <c r="Y691" s="22">
        <v>0.16</v>
      </c>
      <c r="Z691" s="22">
        <v>0.18</v>
      </c>
      <c r="AA691" s="8" t="s">
        <v>2374</v>
      </c>
      <c r="AB691" s="8">
        <v>71267.28</v>
      </c>
      <c r="AC691" s="24">
        <v>71267.28</v>
      </c>
      <c r="AD691" s="8">
        <v>77280.789999999994</v>
      </c>
      <c r="AE691" s="24">
        <v>77280.789999999994</v>
      </c>
      <c r="AF691" s="8">
        <v>30</v>
      </c>
      <c r="AG691" s="8">
        <v>127</v>
      </c>
      <c r="AH691" s="8" t="s">
        <v>353</v>
      </c>
      <c r="AI691" s="8" t="s">
        <v>406</v>
      </c>
      <c r="AJ691" s="22">
        <v>0.43</v>
      </c>
      <c r="AK691" s="8" t="s">
        <v>152</v>
      </c>
      <c r="AL691" s="22">
        <v>0.05</v>
      </c>
      <c r="AM691" s="22">
        <v>0.05</v>
      </c>
      <c r="AN691" s="8">
        <v>12</v>
      </c>
      <c r="AO691" s="8">
        <v>2393</v>
      </c>
      <c r="AP691" s="8"/>
      <c r="AQ691" s="24"/>
      <c r="AR691" s="8">
        <v>98195.72</v>
      </c>
      <c r="AS691" s="37">
        <v>98195.72</v>
      </c>
      <c r="AT691" s="8" t="s">
        <v>332</v>
      </c>
      <c r="AU691" s="8" t="s">
        <v>332</v>
      </c>
      <c r="AV691" s="8">
        <v>52.9</v>
      </c>
      <c r="AW691" s="8">
        <v>24</v>
      </c>
      <c r="AX691" s="8" t="s">
        <v>323</v>
      </c>
      <c r="AY691" s="8" t="s">
        <v>186</v>
      </c>
      <c r="AZ691" s="8" t="s">
        <v>361</v>
      </c>
      <c r="BA691" s="21">
        <f>IF(OR(tblsales[[#This Row],[Invoice Value USD]]="",tblsales[[#This Row],[Collected Amount USD]]=""),"",tblsales[[#This Row],[Invoice Value USD]]-tblsales[[#This Row],[Collected Amount USD]])</f>
        <v>-6013.5099999999948</v>
      </c>
      <c r="BB691" s="21">
        <f>IF(OR(tblsales[[#This Row],[Contract Value USD]]="",tblsales[[#This Row],[Cost Estimate USD]]=""),"",tblsales[[#This Row],[Contract Value USD]]-tblsales[[#This Row],[Cost Estimate USD]])</f>
        <v>94930.390000000014</v>
      </c>
      <c r="BC691" s="21">
        <f>IF(OR(tblsales[[#This Row],[Contract Value USD]]="",tblsales[[#This Row],[Cost Estimate USD]]=""),"",tblsales[[#This Row],[Contract Value USD]]-tblsales[[#This Row],[Cost Estimate USD]])</f>
        <v>94930.390000000014</v>
      </c>
      <c r="BD691" s="23">
        <f>IF(tblsales[[#This Row],[Invoice Value USD]]="","",tblsales[[#This Row],[Collected Amount USD]]/tblsales[[#This Row],[Invoice Value USD]])</f>
        <v>1.0843796760589151</v>
      </c>
      <c r="BE691" s="11">
        <f>IF(tblsales[[#This Row],[SalesStage]]="Won",1,0)</f>
        <v>0</v>
      </c>
      <c r="BF691" s="21" t="str">
        <f>IF(tblsales[[#This Row],[Win Flag]]=1,"Won","Lost")</f>
        <v>Lost</v>
      </c>
      <c r="BG691" s="8"/>
    </row>
    <row r="692" spans="1:59" x14ac:dyDescent="0.3">
      <c r="A692" s="10" t="s">
        <v>2375</v>
      </c>
      <c r="B692" s="9">
        <v>45995</v>
      </c>
      <c r="C692" s="10" t="s">
        <v>249</v>
      </c>
      <c r="D692" s="10" t="s">
        <v>250</v>
      </c>
      <c r="E692" s="10" t="s">
        <v>20</v>
      </c>
      <c r="F692" s="10" t="s">
        <v>31</v>
      </c>
      <c r="G692" s="10" t="s">
        <v>73</v>
      </c>
      <c r="H692" s="10" t="s">
        <v>263</v>
      </c>
      <c r="I692" s="10" t="s">
        <v>233</v>
      </c>
      <c r="J692" s="10" t="s">
        <v>136</v>
      </c>
      <c r="K692" s="10" t="s">
        <v>326</v>
      </c>
      <c r="L692" s="10" t="s">
        <v>2376</v>
      </c>
      <c r="M692" s="9">
        <v>45935</v>
      </c>
      <c r="N692" s="9"/>
      <c r="O692" s="9">
        <v>46206</v>
      </c>
      <c r="P692" s="11">
        <v>23</v>
      </c>
      <c r="Q692" s="12">
        <v>26758711</v>
      </c>
      <c r="R692">
        <v>7286397.0052999994</v>
      </c>
      <c r="S692" s="22">
        <v>0.33</v>
      </c>
      <c r="T692" s="22">
        <v>-0.01</v>
      </c>
      <c r="U692" s="12">
        <v>17749053.010000002</v>
      </c>
      <c r="V692" s="24">
        <v>4833067.1346230004</v>
      </c>
      <c r="W692" s="8">
        <v>15577092.939999999</v>
      </c>
      <c r="X692" s="24">
        <v>4241642.4075619997</v>
      </c>
      <c r="Y692" s="22">
        <v>0.2</v>
      </c>
      <c r="Z692" s="22">
        <v>0.18</v>
      </c>
      <c r="AA692" s="8" t="s">
        <v>2377</v>
      </c>
      <c r="AB692" s="8">
        <v>14609913.949999999</v>
      </c>
      <c r="AC692" s="24">
        <v>3978279.5685849995</v>
      </c>
      <c r="AD692" s="8">
        <v>10556180.67</v>
      </c>
      <c r="AE692" s="24">
        <v>2874447.9964409997</v>
      </c>
      <c r="AF692" s="8">
        <v>45</v>
      </c>
      <c r="AG692" s="8">
        <v>59</v>
      </c>
      <c r="AH692" s="8" t="s">
        <v>332</v>
      </c>
      <c r="AI692" s="8" t="s">
        <v>381</v>
      </c>
      <c r="AJ692" s="22">
        <v>0.95</v>
      </c>
      <c r="AK692" s="8" t="s">
        <v>153</v>
      </c>
      <c r="AL692" s="22">
        <v>0.05</v>
      </c>
      <c r="AM692" s="22">
        <v>7.0000000000000007E-2</v>
      </c>
      <c r="AN692" s="8">
        <v>9</v>
      </c>
      <c r="AO692" s="8">
        <v>857</v>
      </c>
      <c r="AP692" s="8">
        <v>3954129.88</v>
      </c>
      <c r="AQ692" s="24">
        <v>1076709.566324</v>
      </c>
      <c r="AR692" s="8">
        <v>8870341.2899999991</v>
      </c>
      <c r="AS692" s="37">
        <v>2415393.9332669997</v>
      </c>
      <c r="AT692" s="8" t="s">
        <v>385</v>
      </c>
      <c r="AU692" s="8" t="s">
        <v>348</v>
      </c>
      <c r="AV692" s="8">
        <v>50.5</v>
      </c>
      <c r="AW692" s="8">
        <v>24</v>
      </c>
      <c r="AX692" s="8" t="s">
        <v>387</v>
      </c>
      <c r="AY692" s="8" t="s">
        <v>192</v>
      </c>
      <c r="AZ692" s="8" t="s">
        <v>188</v>
      </c>
      <c r="BA692" s="21">
        <f>IF(OR(tblsales[[#This Row],[Invoice Value USD]]="",tblsales[[#This Row],[Collected Amount USD]]=""),"",tblsales[[#This Row],[Invoice Value USD]]-tblsales[[#This Row],[Collected Amount USD]])</f>
        <v>1103831.5721439999</v>
      </c>
      <c r="BB692" s="21">
        <f>IF(OR(tblsales[[#This Row],[Contract Value USD]]="",tblsales[[#This Row],[Cost Estimate USD]]=""),"",tblsales[[#This Row],[Contract Value USD]]-tblsales[[#This Row],[Cost Estimate USD]])</f>
        <v>591424.72706100065</v>
      </c>
      <c r="BC692" s="21">
        <f>IF(OR(tblsales[[#This Row],[Contract Value USD]]="",tblsales[[#This Row],[Cost Estimate USD]]=""),"",tblsales[[#This Row],[Contract Value USD]]-tblsales[[#This Row],[Cost Estimate USD]])</f>
        <v>591424.72706100065</v>
      </c>
      <c r="BD692" s="23">
        <f>IF(tblsales[[#This Row],[Invoice Value USD]]="","",tblsales[[#This Row],[Collected Amount USD]]/tblsales[[#This Row],[Invoice Value USD]])</f>
        <v>0.72253544450205331</v>
      </c>
      <c r="BE692" s="11">
        <f>IF(tblsales[[#This Row],[SalesStage]]="Won",1,0)</f>
        <v>0</v>
      </c>
      <c r="BF692" s="21" t="str">
        <f>IF(tblsales[[#This Row],[Win Flag]]=1,"Won","Lost")</f>
        <v>Lost</v>
      </c>
      <c r="BG692" s="8"/>
    </row>
    <row r="693" spans="1:59" x14ac:dyDescent="0.3">
      <c r="A693" s="10" t="s">
        <v>2378</v>
      </c>
      <c r="B693" s="9">
        <v>46045</v>
      </c>
      <c r="C693" s="10" t="s">
        <v>275</v>
      </c>
      <c r="D693" s="10" t="s">
        <v>215</v>
      </c>
      <c r="E693" s="10" t="s">
        <v>52</v>
      </c>
      <c r="F693" s="10" t="s">
        <v>332</v>
      </c>
      <c r="G693" s="10" t="s">
        <v>23</v>
      </c>
      <c r="H693" s="10" t="s">
        <v>236</v>
      </c>
      <c r="I693" s="10" t="s">
        <v>240</v>
      </c>
      <c r="J693" s="10" t="s">
        <v>133</v>
      </c>
      <c r="K693" s="10" t="s">
        <v>221</v>
      </c>
      <c r="L693" s="10" t="s">
        <v>2379</v>
      </c>
      <c r="M693" s="9">
        <v>46001</v>
      </c>
      <c r="N693" s="9">
        <v>46145</v>
      </c>
      <c r="O693" s="9">
        <v>46300</v>
      </c>
      <c r="P693" s="11"/>
      <c r="Q693" s="12">
        <v>46075364</v>
      </c>
      <c r="R693">
        <v>12546321.6172</v>
      </c>
      <c r="S693" s="22">
        <v>0.01</v>
      </c>
      <c r="T693" s="22">
        <v>7.0000000000000007E-2</v>
      </c>
      <c r="U693" s="12">
        <v>48807633.090000004</v>
      </c>
      <c r="V693" s="24">
        <v>13290318.490407001</v>
      </c>
      <c r="W693" s="8">
        <v>36634469.090000004</v>
      </c>
      <c r="X693" s="24">
        <v>9975565.9332069997</v>
      </c>
      <c r="Y693" s="22">
        <v>0.34</v>
      </c>
      <c r="Z693" s="22">
        <v>0.1</v>
      </c>
      <c r="AA693" s="8" t="s">
        <v>2380</v>
      </c>
      <c r="AB693" s="8">
        <v>27275089.170000002</v>
      </c>
      <c r="AC693" s="24">
        <v>7427006.7809910001</v>
      </c>
      <c r="AD693" s="8">
        <v>23106175.140000001</v>
      </c>
      <c r="AE693" s="24">
        <v>6291811.4906219998</v>
      </c>
      <c r="AF693" s="8">
        <v>90</v>
      </c>
      <c r="AG693" s="8">
        <v>138</v>
      </c>
      <c r="AH693" s="8" t="s">
        <v>332</v>
      </c>
      <c r="AI693" s="8" t="s">
        <v>320</v>
      </c>
      <c r="AJ693" s="22">
        <v>0.45</v>
      </c>
      <c r="AK693" s="8" t="s">
        <v>153</v>
      </c>
      <c r="AL693" s="22">
        <v>0.15</v>
      </c>
      <c r="AM693" s="22">
        <v>0.08</v>
      </c>
      <c r="AN693" s="8">
        <v>14</v>
      </c>
      <c r="AO693" s="8">
        <v>409</v>
      </c>
      <c r="AP693" s="8">
        <v>1022145.06</v>
      </c>
      <c r="AQ693" s="24">
        <v>278330.09983800002</v>
      </c>
      <c r="AR693" s="8">
        <v>14130166.789999999</v>
      </c>
      <c r="AS693" s="37">
        <v>3847644.4169169995</v>
      </c>
      <c r="AT693" s="8" t="s">
        <v>332</v>
      </c>
      <c r="AU693" s="8" t="s">
        <v>322</v>
      </c>
      <c r="AV693" s="8"/>
      <c r="AW693" s="8"/>
      <c r="AX693" s="8" t="s">
        <v>332</v>
      </c>
      <c r="AY693" s="8" t="s">
        <v>229</v>
      </c>
      <c r="AZ693" s="8" t="s">
        <v>377</v>
      </c>
      <c r="BA693" s="21">
        <f>IF(OR(tblsales[[#This Row],[Invoice Value USD]]="",tblsales[[#This Row],[Collected Amount USD]]=""),"",tblsales[[#This Row],[Invoice Value USD]]-tblsales[[#This Row],[Collected Amount USD]])</f>
        <v>1135195.2903690003</v>
      </c>
      <c r="BB693" s="21">
        <f>IF(OR(tblsales[[#This Row],[Contract Value USD]]="",tblsales[[#This Row],[Cost Estimate USD]]=""),"",tblsales[[#This Row],[Contract Value USD]]-tblsales[[#This Row],[Cost Estimate USD]])</f>
        <v>3314752.5572000016</v>
      </c>
      <c r="BC693" s="21">
        <f>IF(OR(tblsales[[#This Row],[Contract Value USD]]="",tblsales[[#This Row],[Cost Estimate USD]]=""),"",tblsales[[#This Row],[Contract Value USD]]-tblsales[[#This Row],[Cost Estimate USD]])</f>
        <v>3314752.5572000016</v>
      </c>
      <c r="BD693" s="23">
        <f>IF(tblsales[[#This Row],[Invoice Value USD]]="","",tblsales[[#This Row],[Collected Amount USD]]/tblsales[[#This Row],[Invoice Value USD]])</f>
        <v>0.84715305588861611</v>
      </c>
      <c r="BE693" s="11">
        <f>IF(tblsales[[#This Row],[SalesStage]]="Won",1,0)</f>
        <v>1</v>
      </c>
      <c r="BF693" s="21" t="str">
        <f>IF(tblsales[[#This Row],[Win Flag]]=1,"Won","Lost")</f>
        <v>Won</v>
      </c>
      <c r="BG693" s="8"/>
    </row>
    <row r="694" spans="1:59" x14ac:dyDescent="0.3">
      <c r="A694" s="10" t="s">
        <v>2381</v>
      </c>
      <c r="B694" s="9">
        <v>45795</v>
      </c>
      <c r="C694" s="10" t="s">
        <v>283</v>
      </c>
      <c r="D694" s="10" t="s">
        <v>220</v>
      </c>
      <c r="E694" s="10" t="s">
        <v>41</v>
      </c>
      <c r="F694" s="10" t="s">
        <v>363</v>
      </c>
      <c r="G694" s="10" t="s">
        <v>38</v>
      </c>
      <c r="H694" s="10" t="s">
        <v>182</v>
      </c>
      <c r="I694" s="10" t="s">
        <v>183</v>
      </c>
      <c r="J694" s="10" t="s">
        <v>130</v>
      </c>
      <c r="K694" s="10" t="s">
        <v>210</v>
      </c>
      <c r="L694" s="10" t="s">
        <v>2382</v>
      </c>
      <c r="M694" s="9">
        <v>45774</v>
      </c>
      <c r="N694" s="9">
        <v>45797</v>
      </c>
      <c r="O694" s="9"/>
      <c r="P694" s="11">
        <v>44</v>
      </c>
      <c r="Q694" s="12">
        <v>43435804</v>
      </c>
      <c r="R694">
        <v>50428968.443999998</v>
      </c>
      <c r="S694" s="22">
        <v>0.02</v>
      </c>
      <c r="T694" s="22">
        <v>0.11</v>
      </c>
      <c r="U694" s="12">
        <v>47249467.590000004</v>
      </c>
      <c r="V694" s="24">
        <v>54856631.871990003</v>
      </c>
      <c r="W694" s="8">
        <v>37016378.359999999</v>
      </c>
      <c r="X694" s="24">
        <v>42976015.275959998</v>
      </c>
      <c r="Y694" s="22">
        <v>0.24</v>
      </c>
      <c r="Z694" s="22">
        <v>0.16</v>
      </c>
      <c r="AA694" s="8" t="s">
        <v>2383</v>
      </c>
      <c r="AB694" s="8">
        <v>9155963.5600000005</v>
      </c>
      <c r="AC694" s="24">
        <v>10630073.693160001</v>
      </c>
      <c r="AD694" s="8">
        <v>2902412.05</v>
      </c>
      <c r="AE694" s="24">
        <v>3369700.39005</v>
      </c>
      <c r="AF694" s="8">
        <v>60</v>
      </c>
      <c r="AG694" s="8">
        <v>9</v>
      </c>
      <c r="AH694" s="8" t="s">
        <v>329</v>
      </c>
      <c r="AI694" s="8" t="s">
        <v>336</v>
      </c>
      <c r="AJ694" s="22">
        <v>0.61</v>
      </c>
      <c r="AK694" s="8" t="s">
        <v>159</v>
      </c>
      <c r="AL694" s="22">
        <v>0.1</v>
      </c>
      <c r="AM694" s="22">
        <v>0.09</v>
      </c>
      <c r="AN694" s="8">
        <v>4</v>
      </c>
      <c r="AO694" s="8">
        <v>1239</v>
      </c>
      <c r="AP694" s="8">
        <v>9874495.3499999996</v>
      </c>
      <c r="AQ694" s="24">
        <v>11464289.10135</v>
      </c>
      <c r="AR694" s="8">
        <v>15735356.9</v>
      </c>
      <c r="AS694" s="37">
        <v>18268749.3609</v>
      </c>
      <c r="AT694" s="8" t="s">
        <v>321</v>
      </c>
      <c r="AU694" s="8" t="s">
        <v>356</v>
      </c>
      <c r="AV694" s="8"/>
      <c r="AW694" s="8">
        <v>60</v>
      </c>
      <c r="AX694" s="8" t="s">
        <v>392</v>
      </c>
      <c r="AY694" s="8" t="s">
        <v>186</v>
      </c>
      <c r="AZ694" s="8" t="s">
        <v>357</v>
      </c>
      <c r="BA694" s="21">
        <f>IF(OR(tblsales[[#This Row],[Invoice Value USD]]="",tblsales[[#This Row],[Collected Amount USD]]=""),"",tblsales[[#This Row],[Invoice Value USD]]-tblsales[[#This Row],[Collected Amount USD]])</f>
        <v>7260373.3031100016</v>
      </c>
      <c r="BB694" s="21">
        <f>IF(OR(tblsales[[#This Row],[Contract Value USD]]="",tblsales[[#This Row],[Cost Estimate USD]]=""),"",tblsales[[#This Row],[Contract Value USD]]-tblsales[[#This Row],[Cost Estimate USD]])</f>
        <v>11880616.596030004</v>
      </c>
      <c r="BC694" s="21">
        <f>IF(OR(tblsales[[#This Row],[Contract Value USD]]="",tblsales[[#This Row],[Cost Estimate USD]]=""),"",tblsales[[#This Row],[Contract Value USD]]-tblsales[[#This Row],[Cost Estimate USD]])</f>
        <v>11880616.596030004</v>
      </c>
      <c r="BD694" s="23">
        <f>IF(tblsales[[#This Row],[Invoice Value USD]]="","",tblsales[[#This Row],[Collected Amount USD]]/tblsales[[#This Row],[Invoice Value USD]])</f>
        <v>0.31699689835812317</v>
      </c>
      <c r="BE694" s="11">
        <f>IF(tblsales[[#This Row],[SalesStage]]="Won",1,0)</f>
        <v>0</v>
      </c>
      <c r="BF694" s="21" t="str">
        <f>IF(tblsales[[#This Row],[Win Flag]]=1,"Won","Lost")</f>
        <v>Lost</v>
      </c>
      <c r="BG694" s="8"/>
    </row>
    <row r="695" spans="1:59" x14ac:dyDescent="0.3">
      <c r="A695" s="10" t="s">
        <v>2384</v>
      </c>
      <c r="B695" s="9">
        <v>45857</v>
      </c>
      <c r="C695" s="10" t="s">
        <v>230</v>
      </c>
      <c r="D695" s="10" t="s">
        <v>202</v>
      </c>
      <c r="E695" s="10" t="s">
        <v>20</v>
      </c>
      <c r="F695" s="10" t="s">
        <v>31</v>
      </c>
      <c r="G695" s="10" t="s">
        <v>23</v>
      </c>
      <c r="H695" s="10" t="s">
        <v>212</v>
      </c>
      <c r="I695" s="10" t="s">
        <v>203</v>
      </c>
      <c r="J695" s="10" t="s">
        <v>136</v>
      </c>
      <c r="K695" s="10" t="s">
        <v>204</v>
      </c>
      <c r="L695" s="10" t="s">
        <v>2385</v>
      </c>
      <c r="M695" s="9">
        <v>45835</v>
      </c>
      <c r="N695" s="9">
        <v>45857</v>
      </c>
      <c r="O695" s="9"/>
      <c r="P695" s="11">
        <v>18</v>
      </c>
      <c r="Q695" s="12">
        <v>32817976</v>
      </c>
      <c r="R695">
        <v>8752554.1992000006</v>
      </c>
      <c r="S695" s="22">
        <v>0.18</v>
      </c>
      <c r="T695" s="22">
        <v>0.04</v>
      </c>
      <c r="U695" s="12">
        <v>27987169.93</v>
      </c>
      <c r="V695" s="24">
        <v>7464178.2203310002</v>
      </c>
      <c r="W695" s="8">
        <v>18982891.329999998</v>
      </c>
      <c r="X695" s="24">
        <v>5062737.1177109992</v>
      </c>
      <c r="Y695" s="22">
        <v>0.23</v>
      </c>
      <c r="Z695" s="22">
        <v>0.06</v>
      </c>
      <c r="AA695" s="8" t="s">
        <v>2386</v>
      </c>
      <c r="AB695" s="8">
        <v>21014989.550000001</v>
      </c>
      <c r="AC695" s="24">
        <v>5604697.7129849996</v>
      </c>
      <c r="AD695" s="8">
        <v>18214848.43</v>
      </c>
      <c r="AE695" s="24">
        <v>4857900.0762809999</v>
      </c>
      <c r="AF695" s="8">
        <v>45</v>
      </c>
      <c r="AG695" s="8">
        <v>133</v>
      </c>
      <c r="AH695" s="8" t="s">
        <v>376</v>
      </c>
      <c r="AI695" s="8" t="s">
        <v>320</v>
      </c>
      <c r="AJ695" s="22">
        <v>0.85</v>
      </c>
      <c r="AK695" s="8" t="s">
        <v>162</v>
      </c>
      <c r="AL695" s="22">
        <v>0.1</v>
      </c>
      <c r="AM695" s="22">
        <v>0.02</v>
      </c>
      <c r="AN695" s="8">
        <v>5</v>
      </c>
      <c r="AO695" s="8">
        <v>1123</v>
      </c>
      <c r="AP695" s="8">
        <v>6011377.7199999997</v>
      </c>
      <c r="AQ695" s="24">
        <v>1603234.437924</v>
      </c>
      <c r="AR695" s="8">
        <v>13459847.369999999</v>
      </c>
      <c r="AS695" s="37">
        <v>3589741.2935789996</v>
      </c>
      <c r="AT695" s="8" t="s">
        <v>355</v>
      </c>
      <c r="AU695" s="8" t="s">
        <v>356</v>
      </c>
      <c r="AV695" s="8">
        <v>57.2</v>
      </c>
      <c r="AW695" s="8">
        <v>12</v>
      </c>
      <c r="AX695" s="8" t="s">
        <v>332</v>
      </c>
      <c r="AY695" s="8" t="s">
        <v>206</v>
      </c>
      <c r="AZ695" s="8" t="s">
        <v>377</v>
      </c>
      <c r="BA695" s="21">
        <f>IF(OR(tblsales[[#This Row],[Invoice Value USD]]="",tblsales[[#This Row],[Collected Amount USD]]=""),"",tblsales[[#This Row],[Invoice Value USD]]-tblsales[[#This Row],[Collected Amount USD]])</f>
        <v>746797.63670399971</v>
      </c>
      <c r="BB695" s="21">
        <f>IF(OR(tblsales[[#This Row],[Contract Value USD]]="",tblsales[[#This Row],[Cost Estimate USD]]=""),"",tblsales[[#This Row],[Contract Value USD]]-tblsales[[#This Row],[Cost Estimate USD]])</f>
        <v>2401441.102620001</v>
      </c>
      <c r="BC695" s="21">
        <f>IF(OR(tblsales[[#This Row],[Contract Value USD]]="",tblsales[[#This Row],[Cost Estimate USD]]=""),"",tblsales[[#This Row],[Contract Value USD]]-tblsales[[#This Row],[Cost Estimate USD]])</f>
        <v>2401441.102620001</v>
      </c>
      <c r="BD695" s="23">
        <f>IF(tblsales[[#This Row],[Invoice Value USD]]="","",tblsales[[#This Row],[Collected Amount USD]]/tblsales[[#This Row],[Invoice Value USD]])</f>
        <v>0.86675505532192854</v>
      </c>
      <c r="BE695" s="11">
        <f>IF(tblsales[[#This Row],[SalesStage]]="Won",1,0)</f>
        <v>1</v>
      </c>
      <c r="BF695" s="21" t="str">
        <f>IF(tblsales[[#This Row],[Win Flag]]=1,"Won","Lost")</f>
        <v>Won</v>
      </c>
      <c r="BG695" s="8"/>
    </row>
    <row r="696" spans="1:59" x14ac:dyDescent="0.3">
      <c r="A696" s="10" t="s">
        <v>2387</v>
      </c>
      <c r="B696" s="9">
        <v>45772</v>
      </c>
      <c r="C696" s="10" t="s">
        <v>277</v>
      </c>
      <c r="D696" s="10" t="s">
        <v>255</v>
      </c>
      <c r="E696" s="10" t="s">
        <v>20</v>
      </c>
      <c r="F696" s="10" t="s">
        <v>332</v>
      </c>
      <c r="G696" s="10" t="s">
        <v>73</v>
      </c>
      <c r="H696" s="10" t="s">
        <v>263</v>
      </c>
      <c r="I696" s="10" t="s">
        <v>191</v>
      </c>
      <c r="J696" s="10" t="s">
        <v>99</v>
      </c>
      <c r="K696" s="10" t="s">
        <v>223</v>
      </c>
      <c r="L696" s="10" t="s">
        <v>2388</v>
      </c>
      <c r="M696" s="9">
        <v>45738</v>
      </c>
      <c r="N696" s="9">
        <v>45844</v>
      </c>
      <c r="O696" s="9"/>
      <c r="P696" s="11">
        <v>39</v>
      </c>
      <c r="Q696" s="12">
        <v>26733581</v>
      </c>
      <c r="R696">
        <v>7279554.1063000001</v>
      </c>
      <c r="S696" s="22">
        <v>0.11</v>
      </c>
      <c r="T696" s="22">
        <v>0.15</v>
      </c>
      <c r="U696" s="12">
        <v>27361820.149999999</v>
      </c>
      <c r="V696" s="24">
        <v>7450623.6268449994</v>
      </c>
      <c r="W696" s="8">
        <v>20728802.829999998</v>
      </c>
      <c r="X696" s="24">
        <v>5644453.0106089991</v>
      </c>
      <c r="Y696" s="22">
        <v>0.15</v>
      </c>
      <c r="Z696" s="22">
        <v>0.16</v>
      </c>
      <c r="AA696" s="8" t="s">
        <v>2389</v>
      </c>
      <c r="AB696" s="8">
        <v>12730878.640000001</v>
      </c>
      <c r="AC696" s="24">
        <v>3466618.253672</v>
      </c>
      <c r="AD696" s="8">
        <v>8507610.7100000009</v>
      </c>
      <c r="AE696" s="24">
        <v>2316622.3963330002</v>
      </c>
      <c r="AF696" s="8">
        <v>60</v>
      </c>
      <c r="AG696" s="8">
        <v>117</v>
      </c>
      <c r="AH696" s="8" t="s">
        <v>347</v>
      </c>
      <c r="AI696" s="8" t="s">
        <v>226</v>
      </c>
      <c r="AJ696" s="22">
        <v>0.19</v>
      </c>
      <c r="AK696" s="8" t="s">
        <v>153</v>
      </c>
      <c r="AL696" s="22">
        <v>0.15</v>
      </c>
      <c r="AM696" s="22">
        <v>7.0000000000000007E-2</v>
      </c>
      <c r="AN696" s="8">
        <v>3</v>
      </c>
      <c r="AO696" s="8">
        <v>1403</v>
      </c>
      <c r="AP696" s="8">
        <v>4057064.47</v>
      </c>
      <c r="AQ696" s="24">
        <v>1104738.655181</v>
      </c>
      <c r="AR696" s="8">
        <v>8468183.0700000003</v>
      </c>
      <c r="AS696" s="37">
        <v>2305886.2499609999</v>
      </c>
      <c r="AT696" s="8" t="s">
        <v>343</v>
      </c>
      <c r="AU696" s="8" t="s">
        <v>321</v>
      </c>
      <c r="AV696" s="8">
        <v>57</v>
      </c>
      <c r="AW696" s="8">
        <v>48</v>
      </c>
      <c r="AX696" s="8" t="s">
        <v>337</v>
      </c>
      <c r="AY696" s="8" t="s">
        <v>192</v>
      </c>
      <c r="AZ696" s="8" t="s">
        <v>357</v>
      </c>
      <c r="BA696" s="21">
        <f>IF(OR(tblsales[[#This Row],[Invoice Value USD]]="",tblsales[[#This Row],[Collected Amount USD]]=""),"",tblsales[[#This Row],[Invoice Value USD]]-tblsales[[#This Row],[Collected Amount USD]])</f>
        <v>1149995.8573389999</v>
      </c>
      <c r="BB696" s="21">
        <f>IF(OR(tblsales[[#This Row],[Contract Value USD]]="",tblsales[[#This Row],[Cost Estimate USD]]=""),"",tblsales[[#This Row],[Contract Value USD]]-tblsales[[#This Row],[Cost Estimate USD]])</f>
        <v>1806170.6162360003</v>
      </c>
      <c r="BC696" s="21">
        <f>IF(OR(tblsales[[#This Row],[Contract Value USD]]="",tblsales[[#This Row],[Cost Estimate USD]]=""),"",tblsales[[#This Row],[Contract Value USD]]-tblsales[[#This Row],[Cost Estimate USD]])</f>
        <v>1806170.6162360003</v>
      </c>
      <c r="BD696" s="23">
        <f>IF(tblsales[[#This Row],[Invoice Value USD]]="","",tblsales[[#This Row],[Collected Amount USD]]/tblsales[[#This Row],[Invoice Value USD]])</f>
        <v>0.66826579300421329</v>
      </c>
      <c r="BE696" s="11">
        <f>IF(tblsales[[#This Row],[SalesStage]]="Won",1,0)</f>
        <v>0</v>
      </c>
      <c r="BF696" s="21" t="str">
        <f>IF(tblsales[[#This Row],[Win Flag]]=1,"Won","Lost")</f>
        <v>Lost</v>
      </c>
      <c r="BG696" s="8"/>
    </row>
    <row r="697" spans="1:59" x14ac:dyDescent="0.3">
      <c r="A697" s="10" t="s">
        <v>2390</v>
      </c>
      <c r="B697" s="9">
        <v>45785</v>
      </c>
      <c r="C697" s="10" t="s">
        <v>272</v>
      </c>
      <c r="D697" s="10" t="s">
        <v>250</v>
      </c>
      <c r="E697" s="10" t="s">
        <v>113</v>
      </c>
      <c r="F697" s="10" t="s">
        <v>181</v>
      </c>
      <c r="G697" s="10" t="s">
        <v>70</v>
      </c>
      <c r="H697" s="10" t="s">
        <v>236</v>
      </c>
      <c r="I697" s="10" t="s">
        <v>191</v>
      </c>
      <c r="J697" s="10" t="s">
        <v>123</v>
      </c>
      <c r="K697" s="10" t="s">
        <v>199</v>
      </c>
      <c r="L697" s="10" t="s">
        <v>2391</v>
      </c>
      <c r="M697" s="9">
        <v>45741</v>
      </c>
      <c r="N697" s="9" t="s">
        <v>2392</v>
      </c>
      <c r="O697" s="9">
        <v>45898</v>
      </c>
      <c r="P697" s="11">
        <v>54</v>
      </c>
      <c r="Q697" s="12">
        <v>32414821</v>
      </c>
      <c r="R697">
        <v>37633607.181000002</v>
      </c>
      <c r="S697" s="22">
        <v>0.01</v>
      </c>
      <c r="T697" s="22">
        <v>0.08</v>
      </c>
      <c r="U697" s="12">
        <v>34657926.609999999</v>
      </c>
      <c r="V697" s="24">
        <v>40237852.794210002</v>
      </c>
      <c r="W697" s="8">
        <v>22076765.16</v>
      </c>
      <c r="X697" s="24">
        <v>25631124.350760002</v>
      </c>
      <c r="Y697" s="22">
        <v>0.12</v>
      </c>
      <c r="Z697" s="22">
        <v>0.06</v>
      </c>
      <c r="AA697" s="8" t="s">
        <v>2393</v>
      </c>
      <c r="AB697" s="8">
        <v>12139614.810000001</v>
      </c>
      <c r="AC697" s="24">
        <v>14094092.794410001</v>
      </c>
      <c r="AD697" s="8">
        <v>12168520.390000001</v>
      </c>
      <c r="AE697" s="24">
        <v>14127652.17279</v>
      </c>
      <c r="AF697" s="8">
        <v>120</v>
      </c>
      <c r="AG697" s="8">
        <v>53</v>
      </c>
      <c r="AH697" s="8" t="s">
        <v>353</v>
      </c>
      <c r="AI697" s="8" t="s">
        <v>406</v>
      </c>
      <c r="AJ697" s="22">
        <v>0.5</v>
      </c>
      <c r="AK697" s="8" t="s">
        <v>159</v>
      </c>
      <c r="AL697" s="22">
        <v>0.05</v>
      </c>
      <c r="AM697" s="22">
        <v>0.02</v>
      </c>
      <c r="AN697" s="8">
        <v>3</v>
      </c>
      <c r="AO697" s="8">
        <v>3611</v>
      </c>
      <c r="AP697" s="8">
        <v>7726511.4500000002</v>
      </c>
      <c r="AQ697" s="24">
        <v>8970479.7934499998</v>
      </c>
      <c r="AR697" s="8"/>
      <c r="AS697" s="37"/>
      <c r="AT697" s="8" t="s">
        <v>355</v>
      </c>
      <c r="AU697" s="8" t="s">
        <v>386</v>
      </c>
      <c r="AV697" s="8">
        <v>69.8</v>
      </c>
      <c r="AW697" s="8">
        <v>24</v>
      </c>
      <c r="AX697" s="8" t="s">
        <v>332</v>
      </c>
      <c r="AY697" s="8" t="s">
        <v>206</v>
      </c>
      <c r="AZ697" s="8" t="s">
        <v>357</v>
      </c>
      <c r="BA697" s="21">
        <f>IF(OR(tblsales[[#This Row],[Invoice Value USD]]="",tblsales[[#This Row],[Collected Amount USD]]=""),"",tblsales[[#This Row],[Invoice Value USD]]-tblsales[[#This Row],[Collected Amount USD]])</f>
        <v>-33559.378379998729</v>
      </c>
      <c r="BB697" s="21">
        <f>IF(OR(tblsales[[#This Row],[Contract Value USD]]="",tblsales[[#This Row],[Cost Estimate USD]]=""),"",tblsales[[#This Row],[Contract Value USD]]-tblsales[[#This Row],[Cost Estimate USD]])</f>
        <v>14606728.44345</v>
      </c>
      <c r="BC697" s="21">
        <f>IF(OR(tblsales[[#This Row],[Contract Value USD]]="",tblsales[[#This Row],[Cost Estimate USD]]=""),"",tblsales[[#This Row],[Contract Value USD]]-tblsales[[#This Row],[Cost Estimate USD]])</f>
        <v>14606728.44345</v>
      </c>
      <c r="BD697" s="23">
        <f>IF(tblsales[[#This Row],[Invoice Value USD]]="","",tblsales[[#This Row],[Collected Amount USD]]/tblsales[[#This Row],[Invoice Value USD]])</f>
        <v>1.002381095319119</v>
      </c>
      <c r="BE697" s="11">
        <f>IF(tblsales[[#This Row],[SalesStage]]="Won",1,0)</f>
        <v>0</v>
      </c>
      <c r="BF697" s="21" t="str">
        <f>IF(tblsales[[#This Row],[Win Flag]]=1,"Won","Lost")</f>
        <v>Lost</v>
      </c>
      <c r="BG697" s="8"/>
    </row>
    <row r="698" spans="1:59" x14ac:dyDescent="0.3">
      <c r="A698" s="10" t="s">
        <v>2394</v>
      </c>
      <c r="B698" s="9">
        <v>46028</v>
      </c>
      <c r="C698" s="10" t="s">
        <v>247</v>
      </c>
      <c r="D698" s="10" t="s">
        <v>209</v>
      </c>
      <c r="E698" s="10" t="s">
        <v>20</v>
      </c>
      <c r="F698" s="10" t="s">
        <v>35</v>
      </c>
      <c r="G698" s="10" t="s">
        <v>28</v>
      </c>
      <c r="H698" s="10" t="s">
        <v>332</v>
      </c>
      <c r="I698" s="10" t="s">
        <v>198</v>
      </c>
      <c r="J698" s="10" t="s">
        <v>136</v>
      </c>
      <c r="K698" s="10" t="s">
        <v>199</v>
      </c>
      <c r="L698" s="10" t="s">
        <v>2395</v>
      </c>
      <c r="M698" s="9">
        <v>46006</v>
      </c>
      <c r="N698" s="9">
        <v>46079</v>
      </c>
      <c r="O698" s="9">
        <v>46267</v>
      </c>
      <c r="P698" s="11">
        <v>27</v>
      </c>
      <c r="Q698" s="12">
        <v>6985894</v>
      </c>
      <c r="R698">
        <v>1919025.0818</v>
      </c>
      <c r="S698" s="22">
        <v>0.24</v>
      </c>
      <c r="T698" s="22">
        <v>0.14000000000000001</v>
      </c>
      <c r="U698" s="12">
        <v>6052578.5599999996</v>
      </c>
      <c r="V698" s="24">
        <v>1662643.3304319999</v>
      </c>
      <c r="W698" s="8">
        <v>4868203.54</v>
      </c>
      <c r="X698" s="24">
        <v>1337295.5124379999</v>
      </c>
      <c r="Y698" s="22">
        <v>0.28000000000000003</v>
      </c>
      <c r="Z698" s="22">
        <v>0.15</v>
      </c>
      <c r="AA698" s="8" t="s">
        <v>2396</v>
      </c>
      <c r="AB698" s="8">
        <v>443766.16</v>
      </c>
      <c r="AC698" s="24">
        <v>121902.56415199999</v>
      </c>
      <c r="AD698" s="8">
        <v>330306.18</v>
      </c>
      <c r="AE698" s="24">
        <v>90735.107646000004</v>
      </c>
      <c r="AF698" s="8">
        <v>45</v>
      </c>
      <c r="AG698" s="8">
        <v>145</v>
      </c>
      <c r="AH698" s="8" t="s">
        <v>332</v>
      </c>
      <c r="AI698" s="8" t="s">
        <v>381</v>
      </c>
      <c r="AJ698" s="22">
        <v>0.66</v>
      </c>
      <c r="AK698" s="8" t="s">
        <v>155</v>
      </c>
      <c r="AL698" s="22">
        <v>0.05</v>
      </c>
      <c r="AM698" s="22">
        <v>0.06</v>
      </c>
      <c r="AN698" s="8">
        <v>10</v>
      </c>
      <c r="AO698" s="8">
        <v>575</v>
      </c>
      <c r="AP698" s="8">
        <v>1091287.31</v>
      </c>
      <c r="AQ698" s="24">
        <v>299776.62405700004</v>
      </c>
      <c r="AR698" s="8">
        <v>3000162.77</v>
      </c>
      <c r="AS698" s="37">
        <v>824144.71291899995</v>
      </c>
      <c r="AT698" s="8" t="s">
        <v>73</v>
      </c>
      <c r="AU698" s="8" t="s">
        <v>330</v>
      </c>
      <c r="AV698" s="8">
        <v>95.3</v>
      </c>
      <c r="AW698" s="8">
        <v>36</v>
      </c>
      <c r="AX698" s="8" t="s">
        <v>392</v>
      </c>
      <c r="AY698" s="8" t="s">
        <v>192</v>
      </c>
      <c r="AZ698" s="8" t="s">
        <v>377</v>
      </c>
      <c r="BA698" s="21">
        <f>IF(OR(tblsales[[#This Row],[Invoice Value USD]]="",tblsales[[#This Row],[Collected Amount USD]]=""),"",tblsales[[#This Row],[Invoice Value USD]]-tblsales[[#This Row],[Collected Amount USD]])</f>
        <v>31167.456505999988</v>
      </c>
      <c r="BB698" s="21">
        <f>IF(OR(tblsales[[#This Row],[Contract Value USD]]="",tblsales[[#This Row],[Cost Estimate USD]]=""),"",tblsales[[#This Row],[Contract Value USD]]-tblsales[[#This Row],[Cost Estimate USD]])</f>
        <v>325347.81799399992</v>
      </c>
      <c r="BC698" s="21">
        <f>IF(OR(tblsales[[#This Row],[Contract Value USD]]="",tblsales[[#This Row],[Cost Estimate USD]]=""),"",tblsales[[#This Row],[Contract Value USD]]-tblsales[[#This Row],[Cost Estimate USD]])</f>
        <v>325347.81799399992</v>
      </c>
      <c r="BD698" s="23">
        <f>IF(tblsales[[#This Row],[Invoice Value USD]]="","",tblsales[[#This Row],[Collected Amount USD]]/tblsales[[#This Row],[Invoice Value USD]])</f>
        <v>0.74432484892493844</v>
      </c>
      <c r="BE698" s="11">
        <f>IF(tblsales[[#This Row],[SalesStage]]="Won",1,0)</f>
        <v>0</v>
      </c>
      <c r="BF698" s="21" t="str">
        <f>IF(tblsales[[#This Row],[Win Flag]]=1,"Won","Lost")</f>
        <v>Lost</v>
      </c>
      <c r="BG698" s="8"/>
    </row>
    <row r="699" spans="1:59" x14ac:dyDescent="0.3">
      <c r="A699" s="10" t="s">
        <v>2397</v>
      </c>
      <c r="B699" s="9">
        <v>45755</v>
      </c>
      <c r="C699" s="10" t="s">
        <v>267</v>
      </c>
      <c r="D699" s="10" t="s">
        <v>190</v>
      </c>
      <c r="E699" s="10" t="s">
        <v>20</v>
      </c>
      <c r="F699" s="10" t="s">
        <v>332</v>
      </c>
      <c r="G699" s="10" t="s">
        <v>73</v>
      </c>
      <c r="H699" s="10" t="s">
        <v>236</v>
      </c>
      <c r="I699" s="10" t="s">
        <v>191</v>
      </c>
      <c r="J699" s="10" t="s">
        <v>99</v>
      </c>
      <c r="K699" s="10" t="s">
        <v>333</v>
      </c>
      <c r="L699" s="10" t="s">
        <v>2398</v>
      </c>
      <c r="M699" s="9">
        <v>45707</v>
      </c>
      <c r="N699" s="9"/>
      <c r="O699" s="9">
        <v>45846</v>
      </c>
      <c r="P699" s="11">
        <v>59</v>
      </c>
      <c r="Q699" s="12">
        <v>17355283</v>
      </c>
      <c r="R699">
        <v>20149483.563000001</v>
      </c>
      <c r="S699" s="22">
        <v>0.24</v>
      </c>
      <c r="T699" s="22">
        <v>0.01</v>
      </c>
      <c r="U699" s="12">
        <v>13321915.23</v>
      </c>
      <c r="V699" s="24">
        <v>15466743.58203</v>
      </c>
      <c r="W699" s="8">
        <v>9277121.1600000001</v>
      </c>
      <c r="X699" s="24">
        <v>10770737.666760001</v>
      </c>
      <c r="Y699" s="22">
        <v>0.38</v>
      </c>
      <c r="Z699" s="22">
        <v>0.18</v>
      </c>
      <c r="AA699" s="8" t="s">
        <v>2399</v>
      </c>
      <c r="AB699" s="8">
        <v>6247450.2599999998</v>
      </c>
      <c r="AC699" s="24">
        <v>7253289.7518600002</v>
      </c>
      <c r="AD699" s="8">
        <v>2259948.11</v>
      </c>
      <c r="AE699" s="24">
        <v>2623799.7557099997</v>
      </c>
      <c r="AF699" s="8">
        <v>90</v>
      </c>
      <c r="AG699" s="8">
        <v>3</v>
      </c>
      <c r="AH699" s="8" t="s">
        <v>332</v>
      </c>
      <c r="AI699" s="8" t="s">
        <v>226</v>
      </c>
      <c r="AJ699" s="22">
        <v>0.78</v>
      </c>
      <c r="AK699" s="8" t="s">
        <v>159</v>
      </c>
      <c r="AL699" s="22">
        <v>0.05</v>
      </c>
      <c r="AM699" s="22">
        <v>0.05</v>
      </c>
      <c r="AN699" s="8">
        <v>6</v>
      </c>
      <c r="AO699" s="8">
        <v>3623</v>
      </c>
      <c r="AP699" s="8">
        <v>633041.93999999994</v>
      </c>
      <c r="AQ699" s="24">
        <v>734961.69233999995</v>
      </c>
      <c r="AR699" s="8"/>
      <c r="AS699" s="37"/>
      <c r="AT699" s="8" t="s">
        <v>391</v>
      </c>
      <c r="AU699" s="8" t="s">
        <v>348</v>
      </c>
      <c r="AV699" s="8">
        <v>51.2</v>
      </c>
      <c r="AW699" s="8">
        <v>24</v>
      </c>
      <c r="AX699" s="8" t="s">
        <v>337</v>
      </c>
      <c r="AY699" s="8" t="s">
        <v>206</v>
      </c>
      <c r="AZ699" s="8" t="s">
        <v>377</v>
      </c>
      <c r="BA699" s="21">
        <f>IF(OR(tblsales[[#This Row],[Invoice Value USD]]="",tblsales[[#This Row],[Collected Amount USD]]=""),"",tblsales[[#This Row],[Invoice Value USD]]-tblsales[[#This Row],[Collected Amount USD]])</f>
        <v>4629489.99615</v>
      </c>
      <c r="BB699" s="21">
        <f>IF(OR(tblsales[[#This Row],[Contract Value USD]]="",tblsales[[#This Row],[Cost Estimate USD]]=""),"",tblsales[[#This Row],[Contract Value USD]]-tblsales[[#This Row],[Cost Estimate USD]])</f>
        <v>4696005.9152699988</v>
      </c>
      <c r="BC699" s="21">
        <f>IF(OR(tblsales[[#This Row],[Contract Value USD]]="",tblsales[[#This Row],[Cost Estimate USD]]=""),"",tblsales[[#This Row],[Contract Value USD]]-tblsales[[#This Row],[Cost Estimate USD]])</f>
        <v>4696005.9152699988</v>
      </c>
      <c r="BD699" s="23">
        <f>IF(tblsales[[#This Row],[Invoice Value USD]]="","",tblsales[[#This Row],[Collected Amount USD]]/tblsales[[#This Row],[Invoice Value USD]])</f>
        <v>0.36173927217469348</v>
      </c>
      <c r="BE699" s="11">
        <f>IF(tblsales[[#This Row],[SalesStage]]="Won",1,0)</f>
        <v>0</v>
      </c>
      <c r="BF699" s="21" t="str">
        <f>IF(tblsales[[#This Row],[Win Flag]]=1,"Won","Lost")</f>
        <v>Lost</v>
      </c>
      <c r="BG699" s="8"/>
    </row>
    <row r="700" spans="1:59" x14ac:dyDescent="0.3">
      <c r="A700" s="10" t="s">
        <v>2400</v>
      </c>
      <c r="B700" s="9">
        <v>45669</v>
      </c>
      <c r="C700" s="10" t="s">
        <v>227</v>
      </c>
      <c r="D700" s="10" t="s">
        <v>232</v>
      </c>
      <c r="E700" s="10" t="s">
        <v>20</v>
      </c>
      <c r="F700" s="10" t="s">
        <v>31</v>
      </c>
      <c r="G700" s="10" t="s">
        <v>46</v>
      </c>
      <c r="H700" s="10" t="s">
        <v>332</v>
      </c>
      <c r="I700" s="10" t="s">
        <v>246</v>
      </c>
      <c r="J700" s="10" t="s">
        <v>136</v>
      </c>
      <c r="K700" s="10" t="s">
        <v>210</v>
      </c>
      <c r="L700" s="10" t="s">
        <v>2401</v>
      </c>
      <c r="M700" s="9">
        <v>45612</v>
      </c>
      <c r="N700" s="9">
        <v>45750</v>
      </c>
      <c r="O700" s="9"/>
      <c r="P700" s="11">
        <v>6</v>
      </c>
      <c r="Q700" s="12">
        <v>15913849</v>
      </c>
      <c r="R700">
        <v>15913849</v>
      </c>
      <c r="S700" s="22">
        <v>0.12</v>
      </c>
      <c r="T700" s="22">
        <v>0.19</v>
      </c>
      <c r="U700" s="12">
        <v>16664982.67</v>
      </c>
      <c r="V700" s="24">
        <v>16664982.67</v>
      </c>
      <c r="W700" s="8">
        <v>11966583.24</v>
      </c>
      <c r="X700" s="24">
        <v>11966583.24</v>
      </c>
      <c r="Y700" s="22">
        <v>0.16</v>
      </c>
      <c r="Z700" s="22">
        <v>0.16</v>
      </c>
      <c r="AA700" s="8" t="s">
        <v>2402</v>
      </c>
      <c r="AB700" s="8">
        <v>5377759.1799999997</v>
      </c>
      <c r="AC700" s="24">
        <v>5377759.1799999997</v>
      </c>
      <c r="AD700" s="8">
        <v>5573049.9699999997</v>
      </c>
      <c r="AE700" s="24">
        <v>5573049.9699999997</v>
      </c>
      <c r="AF700" s="8">
        <v>120</v>
      </c>
      <c r="AG700" s="8">
        <v>26</v>
      </c>
      <c r="AH700" s="8" t="s">
        <v>347</v>
      </c>
      <c r="AI700" s="8" t="s">
        <v>406</v>
      </c>
      <c r="AJ700" s="22">
        <v>0.57999999999999996</v>
      </c>
      <c r="AK700" s="8" t="s">
        <v>152</v>
      </c>
      <c r="AL700" s="22">
        <v>0.1</v>
      </c>
      <c r="AM700" s="22">
        <v>0.06</v>
      </c>
      <c r="AN700" s="8">
        <v>8</v>
      </c>
      <c r="AO700" s="8">
        <v>652</v>
      </c>
      <c r="AP700" s="8">
        <v>460818.58</v>
      </c>
      <c r="AQ700" s="24">
        <v>460818.58</v>
      </c>
      <c r="AR700" s="8">
        <v>5258430.01</v>
      </c>
      <c r="AS700" s="37">
        <v>5258430.01</v>
      </c>
      <c r="AT700" s="8" t="s">
        <v>343</v>
      </c>
      <c r="AU700" s="8" t="s">
        <v>356</v>
      </c>
      <c r="AV700" s="8">
        <v>96.2</v>
      </c>
      <c r="AW700" s="8">
        <v>48</v>
      </c>
      <c r="AX700" s="8" t="s">
        <v>337</v>
      </c>
      <c r="AY700" s="8" t="s">
        <v>206</v>
      </c>
      <c r="AZ700" s="8" t="s">
        <v>377</v>
      </c>
      <c r="BA700" s="21">
        <f>IF(OR(tblsales[[#This Row],[Invoice Value USD]]="",tblsales[[#This Row],[Collected Amount USD]]=""),"",tblsales[[#This Row],[Invoice Value USD]]-tblsales[[#This Row],[Collected Amount USD]])</f>
        <v>-195290.79000000004</v>
      </c>
      <c r="BB700" s="21">
        <f>IF(OR(tblsales[[#This Row],[Contract Value USD]]="",tblsales[[#This Row],[Cost Estimate USD]]=""),"",tblsales[[#This Row],[Contract Value USD]]-tblsales[[#This Row],[Cost Estimate USD]])</f>
        <v>4698399.43</v>
      </c>
      <c r="BC700" s="21">
        <f>IF(OR(tblsales[[#This Row],[Contract Value USD]]="",tblsales[[#This Row],[Cost Estimate USD]]=""),"",tblsales[[#This Row],[Contract Value USD]]-tblsales[[#This Row],[Cost Estimate USD]])</f>
        <v>4698399.43</v>
      </c>
      <c r="BD700" s="23">
        <f>IF(tblsales[[#This Row],[Invoice Value USD]]="","",tblsales[[#This Row],[Collected Amount USD]]/tblsales[[#This Row],[Invoice Value USD]])</f>
        <v>1.0363145286844175</v>
      </c>
      <c r="BE700" s="11">
        <f>IF(tblsales[[#This Row],[SalesStage]]="Won",1,0)</f>
        <v>0</v>
      </c>
      <c r="BF700" s="21" t="str">
        <f>IF(tblsales[[#This Row],[Win Flag]]=1,"Won","Lost")</f>
        <v>Lost</v>
      </c>
      <c r="BG700" s="8"/>
    </row>
    <row r="701" spans="1:59" x14ac:dyDescent="0.3">
      <c r="A701" s="10" t="s">
        <v>2403</v>
      </c>
      <c r="B701" s="9">
        <v>45789</v>
      </c>
      <c r="C701" s="10" t="s">
        <v>241</v>
      </c>
      <c r="D701" s="10" t="s">
        <v>265</v>
      </c>
      <c r="E701" s="10" t="s">
        <v>41</v>
      </c>
      <c r="F701" s="10" t="s">
        <v>350</v>
      </c>
      <c r="G701" s="10" t="s">
        <v>33</v>
      </c>
      <c r="H701" s="10" t="s">
        <v>212</v>
      </c>
      <c r="I701" s="10" t="s">
        <v>183</v>
      </c>
      <c r="J701" s="10" t="s">
        <v>105</v>
      </c>
      <c r="K701" s="10" t="s">
        <v>204</v>
      </c>
      <c r="L701" s="10" t="s">
        <v>2404</v>
      </c>
      <c r="M701" s="9">
        <v>45739</v>
      </c>
      <c r="N701" s="9">
        <v>45794</v>
      </c>
      <c r="O701" s="9">
        <v>45878</v>
      </c>
      <c r="P701" s="11">
        <v>50</v>
      </c>
      <c r="Q701" s="12">
        <v>572949</v>
      </c>
      <c r="R701">
        <v>156014.01269999999</v>
      </c>
      <c r="S701" s="22">
        <v>0.34</v>
      </c>
      <c r="T701" s="22">
        <v>-0.05</v>
      </c>
      <c r="U701" s="12">
        <v>359239.02</v>
      </c>
      <c r="V701" s="24">
        <v>97820.785145999995</v>
      </c>
      <c r="W701" s="8">
        <v>321993.88</v>
      </c>
      <c r="X701" s="24">
        <v>87678.933523999993</v>
      </c>
      <c r="Y701" s="22">
        <v>0.28000000000000003</v>
      </c>
      <c r="Z701" s="22">
        <v>7.0000000000000007E-2</v>
      </c>
      <c r="AA701" s="8" t="s">
        <v>2405</v>
      </c>
      <c r="AB701" s="8">
        <v>289561.37</v>
      </c>
      <c r="AC701" s="24">
        <v>78847.561050999997</v>
      </c>
      <c r="AD701" s="8">
        <v>95534.42</v>
      </c>
      <c r="AE701" s="24">
        <v>26014.022566</v>
      </c>
      <c r="AF701" s="8">
        <v>60</v>
      </c>
      <c r="AG701" s="8">
        <v>106</v>
      </c>
      <c r="AH701" s="8" t="s">
        <v>347</v>
      </c>
      <c r="AI701" s="8" t="s">
        <v>381</v>
      </c>
      <c r="AJ701" s="22">
        <v>0.28999999999999998</v>
      </c>
      <c r="AK701" s="8" t="s">
        <v>153</v>
      </c>
      <c r="AL701" s="22">
        <v>0.1</v>
      </c>
      <c r="AM701" s="22">
        <v>0.03</v>
      </c>
      <c r="AN701" s="8">
        <v>14</v>
      </c>
      <c r="AO701" s="8">
        <v>972</v>
      </c>
      <c r="AP701" s="8">
        <v>34442.85</v>
      </c>
      <c r="AQ701" s="24">
        <v>9378.7880549999991</v>
      </c>
      <c r="AR701" s="8"/>
      <c r="AS701" s="37"/>
      <c r="AT701" s="8" t="s">
        <v>321</v>
      </c>
      <c r="AU701" s="8" t="s">
        <v>332</v>
      </c>
      <c r="AV701" s="8">
        <v>58.8</v>
      </c>
      <c r="AW701" s="8">
        <v>36</v>
      </c>
      <c r="AX701" s="8" t="s">
        <v>387</v>
      </c>
      <c r="AY701" s="8" t="s">
        <v>229</v>
      </c>
      <c r="AZ701" s="8" t="s">
        <v>361</v>
      </c>
      <c r="BA701" s="21">
        <f>IF(OR(tblsales[[#This Row],[Invoice Value USD]]="",tblsales[[#This Row],[Collected Amount USD]]=""),"",tblsales[[#This Row],[Invoice Value USD]]-tblsales[[#This Row],[Collected Amount USD]])</f>
        <v>52833.538484999997</v>
      </c>
      <c r="BB701" s="21">
        <f>IF(OR(tblsales[[#This Row],[Contract Value USD]]="",tblsales[[#This Row],[Cost Estimate USD]]=""),"",tblsales[[#This Row],[Contract Value USD]]-tblsales[[#This Row],[Cost Estimate USD]])</f>
        <v>10141.851622000002</v>
      </c>
      <c r="BC701" s="21">
        <f>IF(OR(tblsales[[#This Row],[Contract Value USD]]="",tblsales[[#This Row],[Cost Estimate USD]]=""),"",tblsales[[#This Row],[Contract Value USD]]-tblsales[[#This Row],[Cost Estimate USD]])</f>
        <v>10141.851622000002</v>
      </c>
      <c r="BD701" s="23">
        <f>IF(tblsales[[#This Row],[Invoice Value USD]]="","",tblsales[[#This Row],[Collected Amount USD]]/tblsales[[#This Row],[Invoice Value USD]])</f>
        <v>0.32992805635641248</v>
      </c>
      <c r="BE701" s="11">
        <f>IF(tblsales[[#This Row],[SalesStage]]="Won",1,0)</f>
        <v>0</v>
      </c>
      <c r="BF701" s="21" t="str">
        <f>IF(tblsales[[#This Row],[Win Flag]]=1,"Won","Lost")</f>
        <v>Lost</v>
      </c>
      <c r="BG701" s="8"/>
    </row>
    <row r="702" spans="1:59" x14ac:dyDescent="0.3">
      <c r="A702" s="10" t="s">
        <v>2406</v>
      </c>
      <c r="B702" s="9">
        <v>46008</v>
      </c>
      <c r="C702" s="10" t="s">
        <v>243</v>
      </c>
      <c r="D702" s="10" t="s">
        <v>190</v>
      </c>
      <c r="E702" s="10" t="s">
        <v>332</v>
      </c>
      <c r="F702" s="10" t="s">
        <v>196</v>
      </c>
      <c r="G702" s="10" t="s">
        <v>70</v>
      </c>
      <c r="H702" s="10" t="s">
        <v>216</v>
      </c>
      <c r="I702" s="10" t="s">
        <v>203</v>
      </c>
      <c r="J702" s="10" t="s">
        <v>99</v>
      </c>
      <c r="K702" s="10" t="s">
        <v>326</v>
      </c>
      <c r="L702" s="10" t="s">
        <v>2407</v>
      </c>
      <c r="M702" s="9">
        <v>45962</v>
      </c>
      <c r="N702" s="9">
        <v>46049</v>
      </c>
      <c r="O702" s="9">
        <v>46077</v>
      </c>
      <c r="P702" s="11">
        <v>37</v>
      </c>
      <c r="Q702" s="12">
        <v>18622911</v>
      </c>
      <c r="R702">
        <v>5071018.6652999995</v>
      </c>
      <c r="S702" s="22">
        <v>0.17</v>
      </c>
      <c r="T702" s="22">
        <v>0.15</v>
      </c>
      <c r="U702" s="12">
        <v>17775568.550000001</v>
      </c>
      <c r="V702" s="24">
        <v>4840287.3161650002</v>
      </c>
      <c r="W702" s="8">
        <v>13376942.779999999</v>
      </c>
      <c r="X702" s="24">
        <v>3642541.5189939998</v>
      </c>
      <c r="Y702" s="22">
        <v>0.35</v>
      </c>
      <c r="Z702" s="22">
        <v>0.18</v>
      </c>
      <c r="AA702" s="8" t="s">
        <v>2408</v>
      </c>
      <c r="AB702" s="8">
        <v>13833711.890000001</v>
      </c>
      <c r="AC702" s="24">
        <v>3766919.747647</v>
      </c>
      <c r="AD702" s="8">
        <v>14892116.720000001</v>
      </c>
      <c r="AE702" s="24">
        <v>4055123.3828559997</v>
      </c>
      <c r="AF702" s="8">
        <v>90</v>
      </c>
      <c r="AG702" s="8">
        <v>49</v>
      </c>
      <c r="AH702" s="8" t="s">
        <v>332</v>
      </c>
      <c r="AI702" s="8" t="s">
        <v>226</v>
      </c>
      <c r="AJ702" s="22">
        <v>0.82</v>
      </c>
      <c r="AK702" s="8" t="s">
        <v>153</v>
      </c>
      <c r="AL702" s="22">
        <v>0.05</v>
      </c>
      <c r="AM702" s="22">
        <v>7.0000000000000007E-2</v>
      </c>
      <c r="AN702" s="8">
        <v>7</v>
      </c>
      <c r="AO702" s="8">
        <v>2295</v>
      </c>
      <c r="AP702" s="8">
        <v>4172168.66</v>
      </c>
      <c r="AQ702" s="24">
        <v>1136081.526118</v>
      </c>
      <c r="AR702" s="8">
        <v>6827532.04</v>
      </c>
      <c r="AS702" s="37">
        <v>1859136.974492</v>
      </c>
      <c r="AT702" s="8" t="s">
        <v>385</v>
      </c>
      <c r="AU702" s="8" t="s">
        <v>332</v>
      </c>
      <c r="AV702" s="8">
        <v>72.2</v>
      </c>
      <c r="AW702" s="8">
        <v>48</v>
      </c>
      <c r="AX702" s="8" t="s">
        <v>323</v>
      </c>
      <c r="AY702" s="8" t="s">
        <v>186</v>
      </c>
      <c r="AZ702" s="8" t="s">
        <v>188</v>
      </c>
      <c r="BA702" s="21">
        <f>IF(OR(tblsales[[#This Row],[Invoice Value USD]]="",tblsales[[#This Row],[Collected Amount USD]]=""),"",tblsales[[#This Row],[Invoice Value USD]]-tblsales[[#This Row],[Collected Amount USD]])</f>
        <v>-288203.63520899974</v>
      </c>
      <c r="BB702" s="21">
        <f>IF(OR(tblsales[[#This Row],[Contract Value USD]]="",tblsales[[#This Row],[Cost Estimate USD]]=""),"",tblsales[[#This Row],[Contract Value USD]]-tblsales[[#This Row],[Cost Estimate USD]])</f>
        <v>1197745.7971710004</v>
      </c>
      <c r="BC702" s="21">
        <f>IF(OR(tblsales[[#This Row],[Contract Value USD]]="",tblsales[[#This Row],[Cost Estimate USD]]=""),"",tblsales[[#This Row],[Contract Value USD]]-tblsales[[#This Row],[Cost Estimate USD]])</f>
        <v>1197745.7971710004</v>
      </c>
      <c r="BD702" s="23">
        <f>IF(tblsales[[#This Row],[Invoice Value USD]]="","",tblsales[[#This Row],[Collected Amount USD]]/tblsales[[#This Row],[Invoice Value USD]])</f>
        <v>1.0765090988171504</v>
      </c>
      <c r="BE702" s="11">
        <f>IF(tblsales[[#This Row],[SalesStage]]="Won",1,0)</f>
        <v>0</v>
      </c>
      <c r="BF702" s="21" t="str">
        <f>IF(tblsales[[#This Row],[Win Flag]]=1,"Won","Lost")</f>
        <v>Lost</v>
      </c>
      <c r="BG702" s="8"/>
    </row>
    <row r="703" spans="1:59" x14ac:dyDescent="0.3">
      <c r="A703" s="10" t="s">
        <v>2409</v>
      </c>
      <c r="B703" s="9">
        <v>45929</v>
      </c>
      <c r="C703" s="10" t="s">
        <v>264</v>
      </c>
      <c r="D703" s="10" t="s">
        <v>253</v>
      </c>
      <c r="E703" s="10" t="s">
        <v>113</v>
      </c>
      <c r="F703" s="10" t="s">
        <v>181</v>
      </c>
      <c r="G703" s="10" t="s">
        <v>73</v>
      </c>
      <c r="H703" s="10" t="s">
        <v>263</v>
      </c>
      <c r="I703" s="10" t="s">
        <v>191</v>
      </c>
      <c r="J703" s="10" t="s">
        <v>111</v>
      </c>
      <c r="K703" s="10" t="s">
        <v>333</v>
      </c>
      <c r="L703" s="10" t="s">
        <v>2410</v>
      </c>
      <c r="M703" s="9">
        <v>45866</v>
      </c>
      <c r="N703" s="9">
        <v>45959</v>
      </c>
      <c r="O703" s="9">
        <v>45964</v>
      </c>
      <c r="P703" s="11">
        <v>57</v>
      </c>
      <c r="Q703" s="12">
        <v>38804662</v>
      </c>
      <c r="R703">
        <v>38804662</v>
      </c>
      <c r="S703" s="22">
        <v>0.35</v>
      </c>
      <c r="T703" s="22">
        <v>-0.04</v>
      </c>
      <c r="U703" s="12">
        <v>24214109.09</v>
      </c>
      <c r="V703" s="24">
        <v>24214109.09</v>
      </c>
      <c r="W703" s="8">
        <v>15338535.32</v>
      </c>
      <c r="X703" s="24">
        <v>15338535.32</v>
      </c>
      <c r="Y703" s="22">
        <v>0.24</v>
      </c>
      <c r="Z703" s="22">
        <v>7.0000000000000007E-2</v>
      </c>
      <c r="AA703" s="8" t="s">
        <v>2411</v>
      </c>
      <c r="AB703" s="8">
        <v>1312920.28</v>
      </c>
      <c r="AC703" s="24">
        <v>1312920.28</v>
      </c>
      <c r="AD703" s="8">
        <v>1087675.22</v>
      </c>
      <c r="AE703" s="24">
        <v>1087675.22</v>
      </c>
      <c r="AF703" s="8">
        <v>90</v>
      </c>
      <c r="AG703" s="8">
        <v>87</v>
      </c>
      <c r="AH703" s="8" t="s">
        <v>347</v>
      </c>
      <c r="AI703" s="8" t="s">
        <v>336</v>
      </c>
      <c r="AJ703" s="22">
        <v>0.85</v>
      </c>
      <c r="AK703" s="8" t="s">
        <v>152</v>
      </c>
      <c r="AL703" s="22">
        <v>0.15</v>
      </c>
      <c r="AM703" s="22">
        <v>0.03</v>
      </c>
      <c r="AN703" s="8">
        <v>12</v>
      </c>
      <c r="AO703" s="8">
        <v>3553</v>
      </c>
      <c r="AP703" s="8">
        <v>5777278.3499999996</v>
      </c>
      <c r="AQ703" s="24">
        <v>5777278.3499999996</v>
      </c>
      <c r="AR703" s="8">
        <v>9124575.9900000002</v>
      </c>
      <c r="AS703" s="37">
        <v>9124575.9900000002</v>
      </c>
      <c r="AT703" s="8" t="s">
        <v>391</v>
      </c>
      <c r="AU703" s="8" t="s">
        <v>322</v>
      </c>
      <c r="AV703" s="8">
        <v>78.599999999999994</v>
      </c>
      <c r="AW703" s="8"/>
      <c r="AX703" s="8" t="s">
        <v>392</v>
      </c>
      <c r="AY703" s="8" t="s">
        <v>186</v>
      </c>
      <c r="AZ703" s="8" t="s">
        <v>377</v>
      </c>
      <c r="BA703" s="21">
        <f>IF(OR(tblsales[[#This Row],[Invoice Value USD]]="",tblsales[[#This Row],[Collected Amount USD]]=""),"",tblsales[[#This Row],[Invoice Value USD]]-tblsales[[#This Row],[Collected Amount USD]])</f>
        <v>225245.06000000006</v>
      </c>
      <c r="BB703" s="21">
        <f>IF(OR(tblsales[[#This Row],[Contract Value USD]]="",tblsales[[#This Row],[Cost Estimate USD]]=""),"",tblsales[[#This Row],[Contract Value USD]]-tblsales[[#This Row],[Cost Estimate USD]])</f>
        <v>8875573.7699999996</v>
      </c>
      <c r="BC703" s="21">
        <f>IF(OR(tblsales[[#This Row],[Contract Value USD]]="",tblsales[[#This Row],[Cost Estimate USD]]=""),"",tblsales[[#This Row],[Contract Value USD]]-tblsales[[#This Row],[Cost Estimate USD]])</f>
        <v>8875573.7699999996</v>
      </c>
      <c r="BD703" s="23">
        <f>IF(tblsales[[#This Row],[Invoice Value USD]]="","",tblsales[[#This Row],[Collected Amount USD]]/tblsales[[#This Row],[Invoice Value USD]])</f>
        <v>0.82843965210134463</v>
      </c>
      <c r="BE703" s="11">
        <f>IF(tblsales[[#This Row],[SalesStage]]="Won",1,0)</f>
        <v>0</v>
      </c>
      <c r="BF703" s="21" t="str">
        <f>IF(tblsales[[#This Row],[Win Flag]]=1,"Won","Lost")</f>
        <v>Lost</v>
      </c>
      <c r="BG703" s="8"/>
    </row>
    <row r="704" spans="1:59" x14ac:dyDescent="0.3">
      <c r="A704" s="10" t="s">
        <v>2412</v>
      </c>
      <c r="B704" s="9">
        <v>45953</v>
      </c>
      <c r="C704" s="10" t="s">
        <v>276</v>
      </c>
      <c r="D704" s="10" t="s">
        <v>394</v>
      </c>
      <c r="E704" s="10" t="s">
        <v>20</v>
      </c>
      <c r="F704" s="10" t="s">
        <v>35</v>
      </c>
      <c r="G704" s="10" t="s">
        <v>16</v>
      </c>
      <c r="H704" s="10" t="s">
        <v>216</v>
      </c>
      <c r="I704" s="10" t="s">
        <v>213</v>
      </c>
      <c r="J704" s="10" t="s">
        <v>136</v>
      </c>
      <c r="K704" s="10" t="s">
        <v>333</v>
      </c>
      <c r="L704" s="10" t="s">
        <v>2413</v>
      </c>
      <c r="M704" s="9">
        <v>45882</v>
      </c>
      <c r="N704" s="9">
        <v>45960</v>
      </c>
      <c r="O704" s="9"/>
      <c r="P704" s="11">
        <v>57</v>
      </c>
      <c r="Q704" s="12">
        <v>44345624</v>
      </c>
      <c r="R704">
        <v>44345624</v>
      </c>
      <c r="S704" s="22">
        <v>0.23</v>
      </c>
      <c r="T704" s="22">
        <v>0</v>
      </c>
      <c r="U704" s="12">
        <v>34146130.479999997</v>
      </c>
      <c r="V704" s="24">
        <v>34146130.479999997</v>
      </c>
      <c r="W704" s="8">
        <v>30164419.82</v>
      </c>
      <c r="X704" s="24">
        <v>30164419.82</v>
      </c>
      <c r="Y704" s="22">
        <v>0.39</v>
      </c>
      <c r="Z704" s="22">
        <v>0.2</v>
      </c>
      <c r="AA704" s="8" t="s">
        <v>2414</v>
      </c>
      <c r="AB704" s="8">
        <v>14719569.99</v>
      </c>
      <c r="AC704" s="24">
        <v>14719569.99</v>
      </c>
      <c r="AD704" s="8">
        <v>14597942.27</v>
      </c>
      <c r="AE704" s="24">
        <v>14597942.27</v>
      </c>
      <c r="AF704" s="8">
        <v>90</v>
      </c>
      <c r="AG704" s="8">
        <v>4</v>
      </c>
      <c r="AH704" s="8" t="s">
        <v>353</v>
      </c>
      <c r="AI704" s="8" t="s">
        <v>381</v>
      </c>
      <c r="AJ704" s="22">
        <v>0.55000000000000004</v>
      </c>
      <c r="AK704" s="8" t="s">
        <v>152</v>
      </c>
      <c r="AL704" s="22">
        <v>0.1</v>
      </c>
      <c r="AM704" s="22">
        <v>0.05</v>
      </c>
      <c r="AN704" s="8">
        <v>14</v>
      </c>
      <c r="AO704" s="8">
        <v>2107</v>
      </c>
      <c r="AP704" s="8">
        <v>963933.34</v>
      </c>
      <c r="AQ704" s="24">
        <v>963933.34</v>
      </c>
      <c r="AR704" s="8">
        <v>11895286.689999999</v>
      </c>
      <c r="AS704" s="37">
        <v>11895286.689999999</v>
      </c>
      <c r="AT704" s="8" t="s">
        <v>355</v>
      </c>
      <c r="AU704" s="8" t="s">
        <v>356</v>
      </c>
      <c r="AV704" s="8"/>
      <c r="AW704" s="8">
        <v>60</v>
      </c>
      <c r="AX704" s="8" t="s">
        <v>392</v>
      </c>
      <c r="AY704" s="8" t="s">
        <v>224</v>
      </c>
      <c r="AZ704" s="8" t="s">
        <v>361</v>
      </c>
      <c r="BA704" s="21">
        <f>IF(OR(tblsales[[#This Row],[Invoice Value USD]]="",tblsales[[#This Row],[Collected Amount USD]]=""),"",tblsales[[#This Row],[Invoice Value USD]]-tblsales[[#This Row],[Collected Amount USD]])</f>
        <v>121627.72000000067</v>
      </c>
      <c r="BB704" s="21">
        <f>IF(OR(tblsales[[#This Row],[Contract Value USD]]="",tblsales[[#This Row],[Cost Estimate USD]]=""),"",tblsales[[#This Row],[Contract Value USD]]-tblsales[[#This Row],[Cost Estimate USD]])</f>
        <v>3981710.6599999964</v>
      </c>
      <c r="BC704" s="21">
        <f>IF(OR(tblsales[[#This Row],[Contract Value USD]]="",tblsales[[#This Row],[Cost Estimate USD]]=""),"",tblsales[[#This Row],[Contract Value USD]]-tblsales[[#This Row],[Cost Estimate USD]])</f>
        <v>3981710.6599999964</v>
      </c>
      <c r="BD704" s="23">
        <f>IF(tblsales[[#This Row],[Invoice Value USD]]="","",tblsales[[#This Row],[Collected Amount USD]]/tblsales[[#This Row],[Invoice Value USD]])</f>
        <v>0.99173700589877078</v>
      </c>
      <c r="BE704" s="11">
        <f>IF(tblsales[[#This Row],[SalesStage]]="Won",1,0)</f>
        <v>0</v>
      </c>
      <c r="BF704" s="21" t="str">
        <f>IF(tblsales[[#This Row],[Win Flag]]=1,"Won","Lost")</f>
        <v>Lost</v>
      </c>
      <c r="BG704" s="8"/>
    </row>
    <row r="705" spans="1:59" x14ac:dyDescent="0.3">
      <c r="A705" s="10" t="s">
        <v>2415</v>
      </c>
      <c r="B705" s="9">
        <v>45909</v>
      </c>
      <c r="C705" s="10" t="s">
        <v>270</v>
      </c>
      <c r="D705" s="10" t="s">
        <v>265</v>
      </c>
      <c r="E705" s="10" t="s">
        <v>20</v>
      </c>
      <c r="F705" s="10" t="s">
        <v>31</v>
      </c>
      <c r="G705" s="10" t="s">
        <v>46</v>
      </c>
      <c r="H705" s="10" t="s">
        <v>332</v>
      </c>
      <c r="I705" s="10" t="s">
        <v>240</v>
      </c>
      <c r="J705" s="10" t="s">
        <v>136</v>
      </c>
      <c r="K705" s="10" t="s">
        <v>333</v>
      </c>
      <c r="L705" s="10" t="s">
        <v>2416</v>
      </c>
      <c r="M705" s="9">
        <v>45883</v>
      </c>
      <c r="N705" s="9">
        <v>45945</v>
      </c>
      <c r="O705" s="9">
        <v>46010</v>
      </c>
      <c r="P705" s="11"/>
      <c r="Q705" s="12">
        <v>17536674</v>
      </c>
      <c r="R705">
        <v>20360078.514000002</v>
      </c>
      <c r="S705" s="22">
        <v>0.33</v>
      </c>
      <c r="T705" s="22">
        <v>0.02</v>
      </c>
      <c r="U705" s="12">
        <v>11984563.01</v>
      </c>
      <c r="V705" s="24">
        <v>13914077.654610001</v>
      </c>
      <c r="W705" s="8">
        <v>9279894.0899999999</v>
      </c>
      <c r="X705" s="24">
        <v>10773957.038489999</v>
      </c>
      <c r="Y705" s="22">
        <v>0.38</v>
      </c>
      <c r="Z705" s="22">
        <v>7.0000000000000007E-2</v>
      </c>
      <c r="AA705" s="8" t="s">
        <v>2417</v>
      </c>
      <c r="AB705" s="8">
        <v>8201859.1900000004</v>
      </c>
      <c r="AC705" s="24">
        <v>9522358.5195900016</v>
      </c>
      <c r="AD705" s="8">
        <v>4226167.22</v>
      </c>
      <c r="AE705" s="24">
        <v>4906580.1424199995</v>
      </c>
      <c r="AF705" s="8">
        <v>60</v>
      </c>
      <c r="AG705" s="8">
        <v>87</v>
      </c>
      <c r="AH705" s="8" t="s">
        <v>353</v>
      </c>
      <c r="AI705" s="8" t="s">
        <v>336</v>
      </c>
      <c r="AJ705" s="22">
        <v>0.72</v>
      </c>
      <c r="AK705" s="8" t="s">
        <v>159</v>
      </c>
      <c r="AL705" s="22">
        <v>0.15</v>
      </c>
      <c r="AM705" s="22">
        <v>0.05</v>
      </c>
      <c r="AN705" s="8">
        <v>13</v>
      </c>
      <c r="AO705" s="8">
        <v>4436</v>
      </c>
      <c r="AP705" s="8"/>
      <c r="AQ705" s="24"/>
      <c r="AR705" s="8">
        <v>4927420.13</v>
      </c>
      <c r="AS705" s="37">
        <v>5720734.7709299996</v>
      </c>
      <c r="AT705" s="8" t="s">
        <v>391</v>
      </c>
      <c r="AU705" s="8" t="s">
        <v>356</v>
      </c>
      <c r="AV705" s="8">
        <v>90.8</v>
      </c>
      <c r="AW705" s="8">
        <v>36</v>
      </c>
      <c r="AX705" s="8" t="s">
        <v>332</v>
      </c>
      <c r="AY705" s="8" t="s">
        <v>186</v>
      </c>
      <c r="AZ705" s="8" t="s">
        <v>332</v>
      </c>
      <c r="BA705" s="21">
        <f>IF(OR(tblsales[[#This Row],[Invoice Value USD]]="",tblsales[[#This Row],[Collected Amount USD]]=""),"",tblsales[[#This Row],[Invoice Value USD]]-tblsales[[#This Row],[Collected Amount USD]])</f>
        <v>4615778.3771700021</v>
      </c>
      <c r="BB705" s="21">
        <f>IF(OR(tblsales[[#This Row],[Contract Value USD]]="",tblsales[[#This Row],[Cost Estimate USD]]=""),"",tblsales[[#This Row],[Contract Value USD]]-tblsales[[#This Row],[Cost Estimate USD]])</f>
        <v>3140120.6161200013</v>
      </c>
      <c r="BC705" s="21">
        <f>IF(OR(tblsales[[#This Row],[Contract Value USD]]="",tblsales[[#This Row],[Cost Estimate USD]]=""),"",tblsales[[#This Row],[Contract Value USD]]-tblsales[[#This Row],[Cost Estimate USD]])</f>
        <v>3140120.6161200013</v>
      </c>
      <c r="BD705" s="23">
        <f>IF(tblsales[[#This Row],[Invoice Value USD]]="","",tblsales[[#This Row],[Collected Amount USD]]/tblsales[[#This Row],[Invoice Value USD]])</f>
        <v>0.51526941905473</v>
      </c>
      <c r="BE705" s="11">
        <f>IF(tblsales[[#This Row],[SalesStage]]="Won",1,0)</f>
        <v>0</v>
      </c>
      <c r="BF705" s="21" t="str">
        <f>IF(tblsales[[#This Row],[Win Flag]]=1,"Won","Lost")</f>
        <v>Lost</v>
      </c>
      <c r="BG705" s="8"/>
    </row>
    <row r="706" spans="1:59" x14ac:dyDescent="0.3">
      <c r="A706" s="10" t="s">
        <v>2418</v>
      </c>
      <c r="B706" s="9">
        <v>45681</v>
      </c>
      <c r="C706" s="10" t="s">
        <v>271</v>
      </c>
      <c r="D706" s="10" t="s">
        <v>248</v>
      </c>
      <c r="E706" s="10" t="s">
        <v>113</v>
      </c>
      <c r="F706" s="10" t="s">
        <v>332</v>
      </c>
      <c r="G706" s="10" t="s">
        <v>23</v>
      </c>
      <c r="H706" s="10" t="s">
        <v>182</v>
      </c>
      <c r="I706" s="10" t="s">
        <v>240</v>
      </c>
      <c r="J706" s="10" t="s">
        <v>111</v>
      </c>
      <c r="K706" s="10" t="s">
        <v>204</v>
      </c>
      <c r="L706" s="10" t="s">
        <v>2419</v>
      </c>
      <c r="M706" s="9">
        <v>45303</v>
      </c>
      <c r="N706" s="9"/>
      <c r="O706" s="9">
        <v>45873</v>
      </c>
      <c r="P706" s="11">
        <v>36</v>
      </c>
      <c r="Q706" s="12">
        <v>4000570</v>
      </c>
      <c r="R706">
        <v>1089355.2109999999</v>
      </c>
      <c r="S706" s="22">
        <v>0.34</v>
      </c>
      <c r="T706" s="22">
        <v>0.1</v>
      </c>
      <c r="U706" s="12">
        <v>2904413.82</v>
      </c>
      <c r="V706" s="24">
        <v>790871.88318599993</v>
      </c>
      <c r="W706" s="8">
        <v>2287123.41</v>
      </c>
      <c r="X706" s="24">
        <v>622783.70454299997</v>
      </c>
      <c r="Y706" s="22">
        <v>7.0000000000000007E-2</v>
      </c>
      <c r="Z706" s="22">
        <v>0.15</v>
      </c>
      <c r="AA706" s="8" t="s">
        <v>2420</v>
      </c>
      <c r="AB706" s="8">
        <v>1128038.73</v>
      </c>
      <c r="AC706" s="24">
        <v>307164.94617899996</v>
      </c>
      <c r="AD706" s="8">
        <v>431010.5</v>
      </c>
      <c r="AE706" s="24">
        <v>117364.15914999999</v>
      </c>
      <c r="AF706" s="8">
        <v>60</v>
      </c>
      <c r="AG706" s="8">
        <v>58</v>
      </c>
      <c r="AH706" s="8" t="s">
        <v>376</v>
      </c>
      <c r="AI706" s="8" t="s">
        <v>455</v>
      </c>
      <c r="AJ706" s="22">
        <v>0.5</v>
      </c>
      <c r="AK706" s="8" t="s">
        <v>153</v>
      </c>
      <c r="AL706" s="22">
        <v>0.1</v>
      </c>
      <c r="AM706" s="22">
        <v>7.0000000000000007E-2</v>
      </c>
      <c r="AN706" s="8">
        <v>8</v>
      </c>
      <c r="AO706" s="8">
        <v>160</v>
      </c>
      <c r="AP706" s="8">
        <v>690659.8</v>
      </c>
      <c r="AQ706" s="24">
        <v>188066.66354000001</v>
      </c>
      <c r="AR706" s="8">
        <v>559620.6</v>
      </c>
      <c r="AS706" s="37">
        <v>152384.68938</v>
      </c>
      <c r="AT706" s="8" t="s">
        <v>332</v>
      </c>
      <c r="AU706" s="8" t="s">
        <v>321</v>
      </c>
      <c r="AV706" s="8">
        <v>59.8</v>
      </c>
      <c r="AW706" s="8">
        <v>48</v>
      </c>
      <c r="AX706" s="8" t="s">
        <v>337</v>
      </c>
      <c r="AY706" s="8" t="s">
        <v>206</v>
      </c>
      <c r="AZ706" s="8" t="s">
        <v>324</v>
      </c>
      <c r="BA706" s="21">
        <f>IF(OR(tblsales[[#This Row],[Invoice Value USD]]="",tblsales[[#This Row],[Collected Amount USD]]=""),"",tblsales[[#This Row],[Invoice Value USD]]-tblsales[[#This Row],[Collected Amount USD]])</f>
        <v>189800.78702899997</v>
      </c>
      <c r="BB706" s="21">
        <f>IF(OR(tblsales[[#This Row],[Contract Value USD]]="",tblsales[[#This Row],[Cost Estimate USD]]=""),"",tblsales[[#This Row],[Contract Value USD]]-tblsales[[#This Row],[Cost Estimate USD]])</f>
        <v>168088.17864299996</v>
      </c>
      <c r="BC706" s="21">
        <f>IF(OR(tblsales[[#This Row],[Contract Value USD]]="",tblsales[[#This Row],[Cost Estimate USD]]=""),"",tblsales[[#This Row],[Contract Value USD]]-tblsales[[#This Row],[Cost Estimate USD]])</f>
        <v>168088.17864299996</v>
      </c>
      <c r="BD706" s="23">
        <f>IF(tblsales[[#This Row],[Invoice Value USD]]="","",tblsales[[#This Row],[Collected Amount USD]]/tblsales[[#This Row],[Invoice Value USD]])</f>
        <v>0.38208838804674733</v>
      </c>
      <c r="BE706" s="11">
        <f>IF(tblsales[[#This Row],[SalesStage]]="Won",1,0)</f>
        <v>0</v>
      </c>
      <c r="BF706" s="21" t="str">
        <f>IF(tblsales[[#This Row],[Win Flag]]=1,"Won","Lost")</f>
        <v>Lost</v>
      </c>
      <c r="BG706" s="8"/>
    </row>
    <row r="707" spans="1:59" x14ac:dyDescent="0.3">
      <c r="A707" s="10" t="s">
        <v>2421</v>
      </c>
      <c r="B707" s="9">
        <v>45659</v>
      </c>
      <c r="C707" s="10" t="s">
        <v>237</v>
      </c>
      <c r="D707" s="10" t="s">
        <v>255</v>
      </c>
      <c r="E707" s="10" t="s">
        <v>20</v>
      </c>
      <c r="F707" s="10" t="s">
        <v>332</v>
      </c>
      <c r="G707" s="10" t="s">
        <v>16</v>
      </c>
      <c r="H707" s="10" t="s">
        <v>216</v>
      </c>
      <c r="I707" s="10" t="s">
        <v>203</v>
      </c>
      <c r="J707" s="10" t="s">
        <v>99</v>
      </c>
      <c r="K707" s="10" t="s">
        <v>184</v>
      </c>
      <c r="L707" s="10" t="s">
        <v>2422</v>
      </c>
      <c r="M707" s="9">
        <v>45625</v>
      </c>
      <c r="N707" s="9">
        <v>45716</v>
      </c>
      <c r="O707" s="9">
        <v>45766</v>
      </c>
      <c r="P707" s="11">
        <v>46</v>
      </c>
      <c r="Q707" s="12">
        <v>6259053</v>
      </c>
      <c r="R707">
        <v>6259053</v>
      </c>
      <c r="S707" s="22">
        <v>0.25</v>
      </c>
      <c r="T707" s="22">
        <v>0.12</v>
      </c>
      <c r="U707" s="12">
        <v>5257604.5199999996</v>
      </c>
      <c r="V707" s="24">
        <v>5257604.5199999996</v>
      </c>
      <c r="W707" s="8">
        <v>4068856.52</v>
      </c>
      <c r="X707" s="24">
        <v>4068856.52</v>
      </c>
      <c r="Y707" s="22">
        <v>0.25</v>
      </c>
      <c r="Z707" s="22">
        <v>0.19</v>
      </c>
      <c r="AA707" s="8" t="s">
        <v>1341</v>
      </c>
      <c r="AB707" s="8">
        <v>3117245.31</v>
      </c>
      <c r="AC707" s="24">
        <v>3117245.31</v>
      </c>
      <c r="AD707" s="8">
        <v>3198609.3</v>
      </c>
      <c r="AE707" s="24">
        <v>3198609.3</v>
      </c>
      <c r="AF707" s="8">
        <v>120</v>
      </c>
      <c r="AG707" s="8">
        <v>31</v>
      </c>
      <c r="AH707" s="8" t="s">
        <v>353</v>
      </c>
      <c r="AI707" s="8" t="s">
        <v>455</v>
      </c>
      <c r="AJ707" s="22">
        <v>0.16</v>
      </c>
      <c r="AK707" s="8" t="s">
        <v>152</v>
      </c>
      <c r="AL707" s="22">
        <v>0.15</v>
      </c>
      <c r="AM707" s="22">
        <v>0.03</v>
      </c>
      <c r="AN707" s="8">
        <v>9</v>
      </c>
      <c r="AO707" s="8">
        <v>2361</v>
      </c>
      <c r="AP707" s="8">
        <v>745934.57</v>
      </c>
      <c r="AQ707" s="24">
        <v>745934.57</v>
      </c>
      <c r="AR707" s="8">
        <v>1035404.23</v>
      </c>
      <c r="AS707" s="37">
        <v>1035404.23</v>
      </c>
      <c r="AT707" s="8" t="s">
        <v>355</v>
      </c>
      <c r="AU707" s="8" t="s">
        <v>332</v>
      </c>
      <c r="AV707" s="8">
        <v>83.8</v>
      </c>
      <c r="AW707" s="8">
        <v>24</v>
      </c>
      <c r="AX707" s="8" t="s">
        <v>337</v>
      </c>
      <c r="AY707" s="8" t="s">
        <v>224</v>
      </c>
      <c r="AZ707" s="8" t="s">
        <v>332</v>
      </c>
      <c r="BA707" s="21">
        <f>IF(OR(tblsales[[#This Row],[Invoice Value USD]]="",tblsales[[#This Row],[Collected Amount USD]]=""),"",tblsales[[#This Row],[Invoice Value USD]]-tblsales[[#This Row],[Collected Amount USD]])</f>
        <v>-81363.989999999758</v>
      </c>
      <c r="BB707" s="21">
        <f>IF(OR(tblsales[[#This Row],[Contract Value USD]]="",tblsales[[#This Row],[Cost Estimate USD]]=""),"",tblsales[[#This Row],[Contract Value USD]]-tblsales[[#This Row],[Cost Estimate USD]])</f>
        <v>1188747.9999999995</v>
      </c>
      <c r="BC707" s="21">
        <f>IF(OR(tblsales[[#This Row],[Contract Value USD]]="",tblsales[[#This Row],[Cost Estimate USD]]=""),"",tblsales[[#This Row],[Contract Value USD]]-tblsales[[#This Row],[Cost Estimate USD]])</f>
        <v>1188747.9999999995</v>
      </c>
      <c r="BD707" s="23">
        <f>IF(tblsales[[#This Row],[Invoice Value USD]]="","",tblsales[[#This Row],[Collected Amount USD]]/tblsales[[#This Row],[Invoice Value USD]])</f>
        <v>1.0261012470654738</v>
      </c>
      <c r="BE707" s="11">
        <f>IF(tblsales[[#This Row],[SalesStage]]="Won",1,0)</f>
        <v>0</v>
      </c>
      <c r="BF707" s="21" t="str">
        <f>IF(tblsales[[#This Row],[Win Flag]]=1,"Won","Lost")</f>
        <v>Lost</v>
      </c>
      <c r="BG707" s="8"/>
    </row>
    <row r="708" spans="1:59" x14ac:dyDescent="0.3">
      <c r="A708" s="10" t="s">
        <v>2423</v>
      </c>
      <c r="B708" s="9">
        <v>45887</v>
      </c>
      <c r="C708" s="10" t="s">
        <v>278</v>
      </c>
      <c r="D708" s="10" t="s">
        <v>232</v>
      </c>
      <c r="E708" s="10" t="s">
        <v>113</v>
      </c>
      <c r="F708" s="10" t="s">
        <v>181</v>
      </c>
      <c r="G708" s="10" t="s">
        <v>50</v>
      </c>
      <c r="H708" s="10" t="s">
        <v>182</v>
      </c>
      <c r="I708" s="10" t="s">
        <v>191</v>
      </c>
      <c r="J708" s="10" t="s">
        <v>127</v>
      </c>
      <c r="K708" s="10" t="s">
        <v>333</v>
      </c>
      <c r="L708" s="10" t="s">
        <v>2424</v>
      </c>
      <c r="M708" s="9">
        <v>45815</v>
      </c>
      <c r="N708" s="9">
        <v>45943</v>
      </c>
      <c r="O708" s="9">
        <v>45927</v>
      </c>
      <c r="P708" s="11">
        <v>30</v>
      </c>
      <c r="Q708" s="12">
        <v>32069873</v>
      </c>
      <c r="R708">
        <v>8732626.4178999998</v>
      </c>
      <c r="S708" s="22">
        <v>0.28000000000000003</v>
      </c>
      <c r="T708" s="22">
        <v>0.12</v>
      </c>
      <c r="U708" s="12">
        <v>25861145.59</v>
      </c>
      <c r="V708" s="24">
        <v>7041989.9441569997</v>
      </c>
      <c r="W708" s="8">
        <v>19445710.109999999</v>
      </c>
      <c r="X708" s="24">
        <v>5295066.8629529998</v>
      </c>
      <c r="Y708" s="22">
        <v>0.22</v>
      </c>
      <c r="Z708" s="22">
        <v>0.13</v>
      </c>
      <c r="AA708" s="8" t="s">
        <v>2425</v>
      </c>
      <c r="AB708" s="8">
        <v>3036692.46</v>
      </c>
      <c r="AC708" s="24">
        <v>826891.35685799993</v>
      </c>
      <c r="AD708" s="8">
        <v>2013809.77</v>
      </c>
      <c r="AE708" s="24">
        <v>548360.40037099994</v>
      </c>
      <c r="AF708" s="8">
        <v>45</v>
      </c>
      <c r="AG708" s="8">
        <v>20</v>
      </c>
      <c r="AH708" s="8" t="s">
        <v>347</v>
      </c>
      <c r="AI708" s="8" t="s">
        <v>455</v>
      </c>
      <c r="AJ708" s="22">
        <v>0.43</v>
      </c>
      <c r="AK708" s="8" t="s">
        <v>153</v>
      </c>
      <c r="AL708" s="22">
        <v>0.1</v>
      </c>
      <c r="AM708" s="22">
        <v>0.01</v>
      </c>
      <c r="AN708" s="8">
        <v>10</v>
      </c>
      <c r="AO708" s="8">
        <v>1364</v>
      </c>
      <c r="AP708" s="8">
        <v>5669435.9699999997</v>
      </c>
      <c r="AQ708" s="24">
        <v>1543787.4146309998</v>
      </c>
      <c r="AR708" s="8">
        <v>6526302.5700000003</v>
      </c>
      <c r="AS708" s="37">
        <v>1777112.1898109999</v>
      </c>
      <c r="AT708" s="8" t="s">
        <v>391</v>
      </c>
      <c r="AU708" s="8" t="s">
        <v>348</v>
      </c>
      <c r="AV708" s="8"/>
      <c r="AW708" s="8">
        <v>36</v>
      </c>
      <c r="AX708" s="8" t="s">
        <v>392</v>
      </c>
      <c r="AY708" s="8" t="s">
        <v>224</v>
      </c>
      <c r="AZ708" s="8" t="s">
        <v>332</v>
      </c>
      <c r="BA708" s="21">
        <f>IF(OR(tblsales[[#This Row],[Invoice Value USD]]="",tblsales[[#This Row],[Collected Amount USD]]=""),"",tblsales[[#This Row],[Invoice Value USD]]-tblsales[[#This Row],[Collected Amount USD]])</f>
        <v>278530.95648699999</v>
      </c>
      <c r="BB708" s="21">
        <f>IF(OR(tblsales[[#This Row],[Contract Value USD]]="",tblsales[[#This Row],[Cost Estimate USD]]=""),"",tblsales[[#This Row],[Contract Value USD]]-tblsales[[#This Row],[Cost Estimate USD]])</f>
        <v>1746923.0812039999</v>
      </c>
      <c r="BC708" s="21">
        <f>IF(OR(tblsales[[#This Row],[Contract Value USD]]="",tblsales[[#This Row],[Cost Estimate USD]]=""),"",tblsales[[#This Row],[Contract Value USD]]-tblsales[[#This Row],[Cost Estimate USD]])</f>
        <v>1746923.0812039999</v>
      </c>
      <c r="BD708" s="23">
        <f>IF(tblsales[[#This Row],[Invoice Value USD]]="","",tblsales[[#This Row],[Collected Amount USD]]/tblsales[[#This Row],[Invoice Value USD]])</f>
        <v>0.66315894563784705</v>
      </c>
      <c r="BE708" s="11">
        <f>IF(tblsales[[#This Row],[SalesStage]]="Won",1,0)</f>
        <v>0</v>
      </c>
      <c r="BF708" s="21" t="str">
        <f>IF(tblsales[[#This Row],[Win Flag]]=1,"Won","Lost")</f>
        <v>Lost</v>
      </c>
      <c r="BG708" s="8"/>
    </row>
    <row r="709" spans="1:59" x14ac:dyDescent="0.3">
      <c r="A709" s="10" t="s">
        <v>2426</v>
      </c>
      <c r="B709" s="9">
        <v>45667</v>
      </c>
      <c r="C709" s="10" t="s">
        <v>241</v>
      </c>
      <c r="D709" s="10" t="s">
        <v>255</v>
      </c>
      <c r="E709" s="10" t="s">
        <v>41</v>
      </c>
      <c r="F709" s="10" t="s">
        <v>350</v>
      </c>
      <c r="G709" s="10" t="s">
        <v>33</v>
      </c>
      <c r="H709" s="10" t="s">
        <v>182</v>
      </c>
      <c r="I709" s="10" t="s">
        <v>198</v>
      </c>
      <c r="J709" s="10" t="s">
        <v>105</v>
      </c>
      <c r="K709" s="10" t="s">
        <v>223</v>
      </c>
      <c r="L709" s="10" t="s">
        <v>2427</v>
      </c>
      <c r="M709" s="9">
        <v>45424</v>
      </c>
      <c r="N709" s="9">
        <v>45962</v>
      </c>
      <c r="O709" s="9">
        <v>45762</v>
      </c>
      <c r="P709" s="11">
        <v>31</v>
      </c>
      <c r="Q709" s="12">
        <v>19370386</v>
      </c>
      <c r="R709">
        <v>22489018.146000002</v>
      </c>
      <c r="S709" s="22">
        <v>0.02</v>
      </c>
      <c r="T709" s="22">
        <v>-0.03</v>
      </c>
      <c r="U709" s="12">
        <v>18413488.93</v>
      </c>
      <c r="V709" s="24">
        <v>21378060.64773</v>
      </c>
      <c r="W709" s="8">
        <v>16320198.66</v>
      </c>
      <c r="X709" s="24">
        <v>18947750.64426</v>
      </c>
      <c r="Y709" s="22">
        <v>0.13</v>
      </c>
      <c r="Z709" s="22">
        <v>0.06</v>
      </c>
      <c r="AA709" s="8" t="s">
        <v>2428</v>
      </c>
      <c r="AB709" s="8">
        <v>14941522.18</v>
      </c>
      <c r="AC709" s="24">
        <v>17347107.250980001</v>
      </c>
      <c r="AD709" s="8">
        <v>9983234.6899999995</v>
      </c>
      <c r="AE709" s="24">
        <v>11590535.475089999</v>
      </c>
      <c r="AF709" s="8">
        <v>30</v>
      </c>
      <c r="AG709" s="8">
        <v>146</v>
      </c>
      <c r="AH709" s="8" t="s">
        <v>347</v>
      </c>
      <c r="AI709" s="8" t="s">
        <v>336</v>
      </c>
      <c r="AJ709" s="22">
        <v>0.11</v>
      </c>
      <c r="AK709" s="8" t="s">
        <v>159</v>
      </c>
      <c r="AL709" s="22">
        <v>0.15</v>
      </c>
      <c r="AM709" s="22">
        <v>0.08</v>
      </c>
      <c r="AN709" s="8">
        <v>8</v>
      </c>
      <c r="AO709" s="8">
        <v>765</v>
      </c>
      <c r="AP709" s="8">
        <v>2278349.36</v>
      </c>
      <c r="AQ709" s="24">
        <v>2645163.60696</v>
      </c>
      <c r="AR709" s="8">
        <v>2045876.08</v>
      </c>
      <c r="AS709" s="37">
        <v>2375262.1288800002</v>
      </c>
      <c r="AT709" s="8" t="s">
        <v>355</v>
      </c>
      <c r="AU709" s="8" t="s">
        <v>321</v>
      </c>
      <c r="AV709" s="8">
        <v>85.8</v>
      </c>
      <c r="AW709" s="8">
        <v>24</v>
      </c>
      <c r="AX709" s="8" t="s">
        <v>332</v>
      </c>
      <c r="AY709" s="8" t="s">
        <v>229</v>
      </c>
      <c r="AZ709" s="8" t="s">
        <v>188</v>
      </c>
      <c r="BA709" s="21">
        <f>IF(OR(tblsales[[#This Row],[Invoice Value USD]]="",tblsales[[#This Row],[Collected Amount USD]]=""),"",tblsales[[#This Row],[Invoice Value USD]]-tblsales[[#This Row],[Collected Amount USD]])</f>
        <v>5756571.775890002</v>
      </c>
      <c r="BB709" s="21">
        <f>IF(OR(tblsales[[#This Row],[Contract Value USD]]="",tblsales[[#This Row],[Cost Estimate USD]]=""),"",tblsales[[#This Row],[Contract Value USD]]-tblsales[[#This Row],[Cost Estimate USD]])</f>
        <v>2430310.0034699999</v>
      </c>
      <c r="BC709" s="21">
        <f>IF(OR(tblsales[[#This Row],[Contract Value USD]]="",tblsales[[#This Row],[Cost Estimate USD]]=""),"",tblsales[[#This Row],[Contract Value USD]]-tblsales[[#This Row],[Cost Estimate USD]])</f>
        <v>2430310.0034699999</v>
      </c>
      <c r="BD709" s="23">
        <f>IF(tblsales[[#This Row],[Invoice Value USD]]="","",tblsales[[#This Row],[Collected Amount USD]]/tblsales[[#This Row],[Invoice Value USD]])</f>
        <v>0.66815379114204809</v>
      </c>
      <c r="BE709" s="11">
        <f>IF(tblsales[[#This Row],[SalesStage]]="Won",1,0)</f>
        <v>0</v>
      </c>
      <c r="BF709" s="21" t="str">
        <f>IF(tblsales[[#This Row],[Win Flag]]=1,"Won","Lost")</f>
        <v>Lost</v>
      </c>
      <c r="BG709" s="8"/>
    </row>
    <row r="710" spans="1:59" x14ac:dyDescent="0.3">
      <c r="A710" s="10" t="s">
        <v>2429</v>
      </c>
      <c r="B710" s="9">
        <v>45767</v>
      </c>
      <c r="C710" s="10" t="s">
        <v>179</v>
      </c>
      <c r="D710" s="10" t="s">
        <v>180</v>
      </c>
      <c r="E710" s="10" t="s">
        <v>20</v>
      </c>
      <c r="F710" s="10" t="s">
        <v>31</v>
      </c>
      <c r="G710" s="10" t="s">
        <v>73</v>
      </c>
      <c r="H710" s="10" t="s">
        <v>236</v>
      </c>
      <c r="I710" s="10" t="s">
        <v>191</v>
      </c>
      <c r="J710" s="10" t="s">
        <v>136</v>
      </c>
      <c r="K710" s="10" t="s">
        <v>326</v>
      </c>
      <c r="L710" s="10" t="s">
        <v>2430</v>
      </c>
      <c r="M710" s="9">
        <v>45706</v>
      </c>
      <c r="N710" s="9"/>
      <c r="O710" s="9">
        <v>45807</v>
      </c>
      <c r="P710" s="11">
        <v>37</v>
      </c>
      <c r="Q710" s="12">
        <v>16040934</v>
      </c>
      <c r="R710">
        <v>18623524.374000002</v>
      </c>
      <c r="S710" s="22">
        <v>0.28999999999999998</v>
      </c>
      <c r="T710" s="22">
        <v>7.0000000000000007E-2</v>
      </c>
      <c r="U710" s="12">
        <v>12186297.560000001</v>
      </c>
      <c r="V710" s="24">
        <v>14148291.467160001</v>
      </c>
      <c r="W710" s="8">
        <v>10362762.449999999</v>
      </c>
      <c r="X710" s="24">
        <v>12031167.20445</v>
      </c>
      <c r="Y710" s="22">
        <v>0.08</v>
      </c>
      <c r="Z710" s="22">
        <v>0.17</v>
      </c>
      <c r="AA710" s="8" t="s">
        <v>2431</v>
      </c>
      <c r="AB710" s="8">
        <v>7172556.54</v>
      </c>
      <c r="AC710" s="24">
        <v>8327338.1429400006</v>
      </c>
      <c r="AD710" s="8">
        <v>2405899.59</v>
      </c>
      <c r="AE710" s="24">
        <v>2793249.42399</v>
      </c>
      <c r="AF710" s="8">
        <v>30</v>
      </c>
      <c r="AG710" s="8">
        <v>26</v>
      </c>
      <c r="AH710" s="8" t="s">
        <v>347</v>
      </c>
      <c r="AI710" s="8" t="s">
        <v>226</v>
      </c>
      <c r="AJ710" s="22">
        <v>0.67</v>
      </c>
      <c r="AK710" s="8" t="s">
        <v>159</v>
      </c>
      <c r="AL710" s="22">
        <v>0.1</v>
      </c>
      <c r="AM710" s="22">
        <v>0.06</v>
      </c>
      <c r="AN710" s="8">
        <v>13</v>
      </c>
      <c r="AO710" s="8">
        <v>2597</v>
      </c>
      <c r="AP710" s="8">
        <v>2829981.35</v>
      </c>
      <c r="AQ710" s="24">
        <v>3285608.3473500004</v>
      </c>
      <c r="AR710" s="8">
        <v>4007705.7</v>
      </c>
      <c r="AS710" s="37">
        <v>4652946.3177000005</v>
      </c>
      <c r="AT710" s="8" t="s">
        <v>355</v>
      </c>
      <c r="AU710" s="8" t="s">
        <v>356</v>
      </c>
      <c r="AV710" s="8">
        <v>99.7</v>
      </c>
      <c r="AW710" s="8">
        <v>48</v>
      </c>
      <c r="AX710" s="8" t="s">
        <v>387</v>
      </c>
      <c r="AY710" s="8" t="s">
        <v>224</v>
      </c>
      <c r="AZ710" s="8" t="s">
        <v>377</v>
      </c>
      <c r="BA710" s="21">
        <f>IF(OR(tblsales[[#This Row],[Invoice Value USD]]="",tblsales[[#This Row],[Collected Amount USD]]=""),"",tblsales[[#This Row],[Invoice Value USD]]-tblsales[[#This Row],[Collected Amount USD]])</f>
        <v>5534088.7189500006</v>
      </c>
      <c r="BB710" s="21">
        <f>IF(OR(tblsales[[#This Row],[Contract Value USD]]="",tblsales[[#This Row],[Cost Estimate USD]]=""),"",tblsales[[#This Row],[Contract Value USD]]-tblsales[[#This Row],[Cost Estimate USD]])</f>
        <v>2117124.2627100013</v>
      </c>
      <c r="BC710" s="21">
        <f>IF(OR(tblsales[[#This Row],[Contract Value USD]]="",tblsales[[#This Row],[Cost Estimate USD]]=""),"",tblsales[[#This Row],[Contract Value USD]]-tblsales[[#This Row],[Cost Estimate USD]])</f>
        <v>2117124.2627100013</v>
      </c>
      <c r="BD710" s="23">
        <f>IF(tblsales[[#This Row],[Invoice Value USD]]="","",tblsales[[#This Row],[Collected Amount USD]]/tblsales[[#This Row],[Invoice Value USD]])</f>
        <v>0.33543124778211925</v>
      </c>
      <c r="BE710" s="11">
        <f>IF(tblsales[[#This Row],[SalesStage]]="Won",1,0)</f>
        <v>0</v>
      </c>
      <c r="BF710" s="21" t="str">
        <f>IF(tblsales[[#This Row],[Win Flag]]=1,"Won","Lost")</f>
        <v>Lost</v>
      </c>
      <c r="BG710" s="8"/>
    </row>
    <row r="711" spans="1:59" x14ac:dyDescent="0.3">
      <c r="A711" s="10" t="s">
        <v>2432</v>
      </c>
      <c r="B711" s="9">
        <v>46067</v>
      </c>
      <c r="C711" s="10" t="s">
        <v>227</v>
      </c>
      <c r="D711" s="10" t="s">
        <v>209</v>
      </c>
      <c r="E711" s="10" t="s">
        <v>20</v>
      </c>
      <c r="F711" s="10" t="s">
        <v>35</v>
      </c>
      <c r="G711" s="10" t="s">
        <v>46</v>
      </c>
      <c r="H711" s="10" t="s">
        <v>182</v>
      </c>
      <c r="I711" s="10" t="s">
        <v>191</v>
      </c>
      <c r="J711" s="10" t="s">
        <v>136</v>
      </c>
      <c r="K711" s="10" t="s">
        <v>326</v>
      </c>
      <c r="L711" s="10" t="s">
        <v>2433</v>
      </c>
      <c r="M711" s="9">
        <v>46043</v>
      </c>
      <c r="N711" s="9">
        <v>46056</v>
      </c>
      <c r="O711" s="9">
        <v>46146</v>
      </c>
      <c r="P711" s="11">
        <v>9</v>
      </c>
      <c r="Q711" s="12">
        <v>47362959</v>
      </c>
      <c r="R711">
        <v>12896933.7357</v>
      </c>
      <c r="S711" s="22">
        <v>0.3</v>
      </c>
      <c r="T711" s="22">
        <v>0.15</v>
      </c>
      <c r="U711" s="12">
        <v>38127181.990000002</v>
      </c>
      <c r="V711" s="24">
        <v>10382031.655877</v>
      </c>
      <c r="W711" s="8">
        <v>26309005.859999999</v>
      </c>
      <c r="X711" s="24">
        <v>7163942.295677999</v>
      </c>
      <c r="Y711" s="22">
        <v>0.33</v>
      </c>
      <c r="Z711" s="22">
        <v>0.11</v>
      </c>
      <c r="AA711" s="8" t="s">
        <v>2434</v>
      </c>
      <c r="AB711" s="8">
        <v>33704168.369999997</v>
      </c>
      <c r="AC711" s="24">
        <v>9177645.0471509993</v>
      </c>
      <c r="AD711" s="8">
        <v>23441779.800000001</v>
      </c>
      <c r="AE711" s="24">
        <v>6383196.6395399999</v>
      </c>
      <c r="AF711" s="8">
        <v>90</v>
      </c>
      <c r="AG711" s="8">
        <v>156</v>
      </c>
      <c r="AH711" s="8" t="s">
        <v>353</v>
      </c>
      <c r="AI711" s="8" t="s">
        <v>455</v>
      </c>
      <c r="AJ711" s="22">
        <v>0.46</v>
      </c>
      <c r="AK711" s="8" t="s">
        <v>153</v>
      </c>
      <c r="AL711" s="22">
        <v>0.05</v>
      </c>
      <c r="AM711" s="22">
        <v>0.09</v>
      </c>
      <c r="AN711" s="8">
        <v>8</v>
      </c>
      <c r="AO711" s="8">
        <v>2715</v>
      </c>
      <c r="AP711" s="8">
        <v>5060433.9800000004</v>
      </c>
      <c r="AQ711" s="24">
        <v>1377956.1727539999</v>
      </c>
      <c r="AR711" s="8">
        <v>9935844.4000000004</v>
      </c>
      <c r="AS711" s="37">
        <v>2705530.4301200002</v>
      </c>
      <c r="AT711" s="8" t="s">
        <v>391</v>
      </c>
      <c r="AU711" s="8" t="s">
        <v>386</v>
      </c>
      <c r="AV711" s="8">
        <v>51.1</v>
      </c>
      <c r="AW711" s="8">
        <v>48</v>
      </c>
      <c r="AX711" s="8" t="s">
        <v>337</v>
      </c>
      <c r="AY711" s="8" t="s">
        <v>186</v>
      </c>
      <c r="AZ711" s="8" t="s">
        <v>188</v>
      </c>
      <c r="BA711" s="21">
        <f>IF(OR(tblsales[[#This Row],[Invoice Value USD]]="",tblsales[[#This Row],[Collected Amount USD]]=""),"",tblsales[[#This Row],[Invoice Value USD]]-tblsales[[#This Row],[Collected Amount USD]])</f>
        <v>2794448.4076109994</v>
      </c>
      <c r="BB711" s="21">
        <f>IF(OR(tblsales[[#This Row],[Contract Value USD]]="",tblsales[[#This Row],[Cost Estimate USD]]=""),"",tblsales[[#This Row],[Contract Value USD]]-tblsales[[#This Row],[Cost Estimate USD]])</f>
        <v>3218089.3601990007</v>
      </c>
      <c r="BC711" s="21">
        <f>IF(OR(tblsales[[#This Row],[Contract Value USD]]="",tblsales[[#This Row],[Cost Estimate USD]]=""),"",tblsales[[#This Row],[Contract Value USD]]-tblsales[[#This Row],[Cost Estimate USD]])</f>
        <v>3218089.3601990007</v>
      </c>
      <c r="BD711" s="23">
        <f>IF(tblsales[[#This Row],[Invoice Value USD]]="","",tblsales[[#This Row],[Collected Amount USD]]/tblsales[[#This Row],[Invoice Value USD]])</f>
        <v>0.69551574578726216</v>
      </c>
      <c r="BE711" s="11">
        <f>IF(tblsales[[#This Row],[SalesStage]]="Won",1,0)</f>
        <v>0</v>
      </c>
      <c r="BF711" s="21" t="str">
        <f>IF(tblsales[[#This Row],[Win Flag]]=1,"Won","Lost")</f>
        <v>Lost</v>
      </c>
      <c r="BG711" s="8"/>
    </row>
    <row r="712" spans="1:59" x14ac:dyDescent="0.3">
      <c r="A712" s="10" t="s">
        <v>2435</v>
      </c>
      <c r="B712" s="9">
        <v>45800</v>
      </c>
      <c r="C712" s="10" t="s">
        <v>285</v>
      </c>
      <c r="D712" s="10" t="s">
        <v>248</v>
      </c>
      <c r="E712" s="10" t="s">
        <v>332</v>
      </c>
      <c r="F712" s="10" t="s">
        <v>75</v>
      </c>
      <c r="G712" s="10" t="s">
        <v>332</v>
      </c>
      <c r="H712" s="10" t="s">
        <v>197</v>
      </c>
      <c r="I712" s="10" t="s">
        <v>332</v>
      </c>
      <c r="J712" s="10" t="s">
        <v>99</v>
      </c>
      <c r="K712" s="10" t="s">
        <v>184</v>
      </c>
      <c r="L712" s="10" t="s">
        <v>2436</v>
      </c>
      <c r="M712" s="9">
        <v>45812</v>
      </c>
      <c r="N712" s="9"/>
      <c r="O712" s="9">
        <v>45697</v>
      </c>
      <c r="P712" s="11">
        <v>58</v>
      </c>
      <c r="Q712" s="12">
        <v>9420683</v>
      </c>
      <c r="R712">
        <v>9420683</v>
      </c>
      <c r="S712" s="22">
        <v>0.22</v>
      </c>
      <c r="T712" s="22">
        <v>0.18</v>
      </c>
      <c r="U712" s="12">
        <v>8670796.6300000008</v>
      </c>
      <c r="V712" s="24">
        <v>8670796.6300000008</v>
      </c>
      <c r="W712" s="8">
        <v>5216987.57</v>
      </c>
      <c r="X712" s="24">
        <v>5216987.57</v>
      </c>
      <c r="Y712" s="22">
        <v>0.28000000000000003</v>
      </c>
      <c r="Z712" s="22">
        <v>0.06</v>
      </c>
      <c r="AA712" s="8" t="s">
        <v>2437</v>
      </c>
      <c r="AB712" s="8">
        <v>6077277.79</v>
      </c>
      <c r="AC712" s="24">
        <v>6077277.79</v>
      </c>
      <c r="AD712" s="8">
        <v>5463326.4800000004</v>
      </c>
      <c r="AE712" s="24">
        <v>5463326.4800000004</v>
      </c>
      <c r="AF712" s="8">
        <v>90</v>
      </c>
      <c r="AG712" s="8">
        <v>162</v>
      </c>
      <c r="AH712" s="8" t="s">
        <v>342</v>
      </c>
      <c r="AI712" s="8" t="s">
        <v>406</v>
      </c>
      <c r="AJ712" s="22">
        <v>7.0000000000000007E-2</v>
      </c>
      <c r="AK712" s="8" t="s">
        <v>152</v>
      </c>
      <c r="AL712" s="22">
        <v>0.15</v>
      </c>
      <c r="AM712" s="22">
        <v>0.02</v>
      </c>
      <c r="AN712" s="8">
        <v>11</v>
      </c>
      <c r="AO712" s="8">
        <v>1811</v>
      </c>
      <c r="AP712" s="8">
        <v>1323681.6000000001</v>
      </c>
      <c r="AQ712" s="24">
        <v>1323681.6000000001</v>
      </c>
      <c r="AR712" s="8">
        <v>4099156.52</v>
      </c>
      <c r="AS712" s="37">
        <v>4099156.52</v>
      </c>
      <c r="AT712" s="8" t="s">
        <v>321</v>
      </c>
      <c r="AU712" s="8" t="s">
        <v>356</v>
      </c>
      <c r="AV712" s="8"/>
      <c r="AW712" s="8">
        <v>48</v>
      </c>
      <c r="AX712" s="8" t="s">
        <v>332</v>
      </c>
      <c r="AY712" s="8" t="s">
        <v>192</v>
      </c>
      <c r="AZ712" s="8" t="s">
        <v>332</v>
      </c>
      <c r="BA712" s="21">
        <f>IF(OR(tblsales[[#This Row],[Invoice Value USD]]="",tblsales[[#This Row],[Collected Amount USD]]=""),"",tblsales[[#This Row],[Invoice Value USD]]-tblsales[[#This Row],[Collected Amount USD]])</f>
        <v>613951.30999999959</v>
      </c>
      <c r="BB712" s="21">
        <f>IF(OR(tblsales[[#This Row],[Contract Value USD]]="",tblsales[[#This Row],[Cost Estimate USD]]=""),"",tblsales[[#This Row],[Contract Value USD]]-tblsales[[#This Row],[Cost Estimate USD]])</f>
        <v>3453809.0600000005</v>
      </c>
      <c r="BC712" s="21">
        <f>IF(OR(tblsales[[#This Row],[Contract Value USD]]="",tblsales[[#This Row],[Cost Estimate USD]]=""),"",tblsales[[#This Row],[Contract Value USD]]-tblsales[[#This Row],[Cost Estimate USD]])</f>
        <v>3453809.0600000005</v>
      </c>
      <c r="BD712" s="23">
        <f>IF(tblsales[[#This Row],[Invoice Value USD]]="","",tblsales[[#This Row],[Collected Amount USD]]/tblsales[[#This Row],[Invoice Value USD]])</f>
        <v>0.89897593442079604</v>
      </c>
      <c r="BE712" s="11">
        <f>IF(tblsales[[#This Row],[SalesStage]]="Won",1,0)</f>
        <v>0</v>
      </c>
      <c r="BF712" s="21" t="str">
        <f>IF(tblsales[[#This Row],[Win Flag]]=1,"Won","Lost")</f>
        <v>Lost</v>
      </c>
      <c r="BG712" s="8"/>
    </row>
    <row r="713" spans="1:59" x14ac:dyDescent="0.3">
      <c r="A713" s="10" t="s">
        <v>2438</v>
      </c>
      <c r="B713" s="9">
        <v>45893</v>
      </c>
      <c r="C713" s="10" t="s">
        <v>260</v>
      </c>
      <c r="D713" s="10" t="s">
        <v>190</v>
      </c>
      <c r="E713" s="10" t="s">
        <v>41</v>
      </c>
      <c r="F713" s="10" t="s">
        <v>350</v>
      </c>
      <c r="G713" s="10" t="s">
        <v>80</v>
      </c>
      <c r="H713" s="10" t="s">
        <v>182</v>
      </c>
      <c r="I713" s="10" t="s">
        <v>198</v>
      </c>
      <c r="J713" s="10" t="s">
        <v>105</v>
      </c>
      <c r="K713" s="10" t="s">
        <v>326</v>
      </c>
      <c r="L713" s="10" t="s">
        <v>2439</v>
      </c>
      <c r="M713" s="9">
        <v>45829</v>
      </c>
      <c r="N713" s="9"/>
      <c r="O713" s="9"/>
      <c r="P713" s="11">
        <v>54</v>
      </c>
      <c r="Q713" s="12">
        <v>5806305</v>
      </c>
      <c r="R713">
        <v>1594991.9835000001</v>
      </c>
      <c r="S713" s="22">
        <v>0.12</v>
      </c>
      <c r="T713" s="22">
        <v>-0.04</v>
      </c>
      <c r="U713" s="12">
        <v>4905166.46</v>
      </c>
      <c r="V713" s="24">
        <v>1347449.2265619999</v>
      </c>
      <c r="W713" s="8">
        <v>3757210.92</v>
      </c>
      <c r="X713" s="24">
        <v>1032105.839724</v>
      </c>
      <c r="Y713" s="22">
        <v>0.26</v>
      </c>
      <c r="Z713" s="22">
        <v>7.0000000000000007E-2</v>
      </c>
      <c r="AA713" s="8" t="s">
        <v>2440</v>
      </c>
      <c r="AB713" s="8">
        <v>2306246.92</v>
      </c>
      <c r="AC713" s="24">
        <v>633526.02892399998</v>
      </c>
      <c r="AD713" s="8">
        <v>717524.05</v>
      </c>
      <c r="AE713" s="24">
        <v>197103.856535</v>
      </c>
      <c r="AF713" s="8">
        <v>90</v>
      </c>
      <c r="AG713" s="8">
        <v>90</v>
      </c>
      <c r="AH713" s="8" t="s">
        <v>342</v>
      </c>
      <c r="AI713" s="8" t="s">
        <v>320</v>
      </c>
      <c r="AJ713" s="22">
        <v>0.76</v>
      </c>
      <c r="AK713" s="8" t="s">
        <v>155</v>
      </c>
      <c r="AL713" s="22">
        <v>0.05</v>
      </c>
      <c r="AM713" s="22">
        <v>7.0000000000000007E-2</v>
      </c>
      <c r="AN713" s="8">
        <v>0</v>
      </c>
      <c r="AO713" s="8">
        <v>2978</v>
      </c>
      <c r="AP713" s="8">
        <v>1172200.2</v>
      </c>
      <c r="AQ713" s="24">
        <v>322003.39493999997</v>
      </c>
      <c r="AR713" s="8">
        <v>1711235.23</v>
      </c>
      <c r="AS713" s="37">
        <v>470076.31768099999</v>
      </c>
      <c r="AT713" s="8" t="s">
        <v>332</v>
      </c>
      <c r="AU713" s="8" t="s">
        <v>322</v>
      </c>
      <c r="AV713" s="8"/>
      <c r="AW713" s="8">
        <v>24</v>
      </c>
      <c r="AX713" s="8" t="s">
        <v>337</v>
      </c>
      <c r="AY713" s="8" t="s">
        <v>206</v>
      </c>
      <c r="AZ713" s="8" t="s">
        <v>332</v>
      </c>
      <c r="BA713" s="21">
        <f>IF(OR(tblsales[[#This Row],[Invoice Value USD]]="",tblsales[[#This Row],[Collected Amount USD]]=""),"",tblsales[[#This Row],[Invoice Value USD]]-tblsales[[#This Row],[Collected Amount USD]])</f>
        <v>436422.17238899996</v>
      </c>
      <c r="BB713" s="21">
        <f>IF(OR(tblsales[[#This Row],[Contract Value USD]]="",tblsales[[#This Row],[Cost Estimate USD]]=""),"",tblsales[[#This Row],[Contract Value USD]]-tblsales[[#This Row],[Cost Estimate USD]])</f>
        <v>315343.38683799992</v>
      </c>
      <c r="BC713" s="21">
        <f>IF(OR(tblsales[[#This Row],[Contract Value USD]]="",tblsales[[#This Row],[Cost Estimate USD]]=""),"",tblsales[[#This Row],[Contract Value USD]]-tblsales[[#This Row],[Cost Estimate USD]])</f>
        <v>315343.38683799992</v>
      </c>
      <c r="BD713" s="23">
        <f>IF(tblsales[[#This Row],[Invoice Value USD]]="","",tblsales[[#This Row],[Collected Amount USD]]/tblsales[[#This Row],[Invoice Value USD]])</f>
        <v>0.3111219547991852</v>
      </c>
      <c r="BE713" s="11">
        <f>IF(tblsales[[#This Row],[SalesStage]]="Won",1,0)</f>
        <v>1</v>
      </c>
      <c r="BF713" s="21" t="str">
        <f>IF(tblsales[[#This Row],[Win Flag]]=1,"Won","Lost")</f>
        <v>Won</v>
      </c>
      <c r="BG713" s="8"/>
    </row>
    <row r="714" spans="1:59" x14ac:dyDescent="0.3">
      <c r="A714" s="10" t="s">
        <v>2441</v>
      </c>
      <c r="B714" s="9">
        <v>45710</v>
      </c>
      <c r="C714" s="10" t="s">
        <v>283</v>
      </c>
      <c r="D714" s="10" t="s">
        <v>255</v>
      </c>
      <c r="E714" s="10" t="s">
        <v>52</v>
      </c>
      <c r="F714" s="10" t="s">
        <v>75</v>
      </c>
      <c r="G714" s="10" t="s">
        <v>73</v>
      </c>
      <c r="H714" s="10" t="s">
        <v>236</v>
      </c>
      <c r="I714" s="10" t="s">
        <v>213</v>
      </c>
      <c r="J714" s="10" t="s">
        <v>133</v>
      </c>
      <c r="K714" s="10" t="s">
        <v>184</v>
      </c>
      <c r="L714" s="10" t="s">
        <v>2442</v>
      </c>
      <c r="M714" s="9">
        <v>45749</v>
      </c>
      <c r="N714" s="9">
        <v>45750</v>
      </c>
      <c r="O714" s="9">
        <v>45790</v>
      </c>
      <c r="P714" s="11">
        <v>17</v>
      </c>
      <c r="Q714" s="12"/>
      <c r="S714" s="22">
        <v>0.24</v>
      </c>
      <c r="T714" s="22">
        <v>-0.04</v>
      </c>
      <c r="U714" s="12">
        <v>8497866.4299999997</v>
      </c>
      <c r="V714" s="24">
        <v>8497866.4299999997</v>
      </c>
      <c r="W714" s="8">
        <v>7462175.5</v>
      </c>
      <c r="X714" s="24">
        <v>7462175.5</v>
      </c>
      <c r="Y714" s="22">
        <v>0.36</v>
      </c>
      <c r="Z714" s="22">
        <v>0.14000000000000001</v>
      </c>
      <c r="AA714" s="8" t="s">
        <v>2443</v>
      </c>
      <c r="AB714" s="8">
        <v>4708304.99</v>
      </c>
      <c r="AC714" s="24">
        <v>4708304.99</v>
      </c>
      <c r="AD714" s="8">
        <v>4457479.0199999996</v>
      </c>
      <c r="AE714" s="24">
        <v>4457479.0199999996</v>
      </c>
      <c r="AF714" s="8">
        <v>60</v>
      </c>
      <c r="AG714" s="8">
        <v>177</v>
      </c>
      <c r="AH714" s="8" t="s">
        <v>342</v>
      </c>
      <c r="AI714" s="8" t="s">
        <v>336</v>
      </c>
      <c r="AJ714" s="22">
        <v>0.49</v>
      </c>
      <c r="AK714" s="8" t="s">
        <v>152</v>
      </c>
      <c r="AL714" s="22">
        <v>0.1</v>
      </c>
      <c r="AM714" s="22">
        <v>0.06</v>
      </c>
      <c r="AN714" s="8">
        <v>0</v>
      </c>
      <c r="AO714" s="8">
        <v>1252</v>
      </c>
      <c r="AP714" s="8">
        <v>963232.88</v>
      </c>
      <c r="AQ714" s="24">
        <v>963232.88</v>
      </c>
      <c r="AR714" s="8">
        <v>2030038.14</v>
      </c>
      <c r="AS714" s="37">
        <v>2030038.14</v>
      </c>
      <c r="AT714" s="8" t="s">
        <v>391</v>
      </c>
      <c r="AU714" s="8" t="s">
        <v>386</v>
      </c>
      <c r="AV714" s="8">
        <v>71.900000000000006</v>
      </c>
      <c r="AW714" s="8">
        <v>24</v>
      </c>
      <c r="AX714" s="8" t="s">
        <v>392</v>
      </c>
      <c r="AY714" s="8" t="s">
        <v>229</v>
      </c>
      <c r="AZ714" s="8" t="s">
        <v>332</v>
      </c>
      <c r="BA714" s="21">
        <f>IF(OR(tblsales[[#This Row],[Invoice Value USD]]="",tblsales[[#This Row],[Collected Amount USD]]=""),"",tblsales[[#This Row],[Invoice Value USD]]-tblsales[[#This Row],[Collected Amount USD]])</f>
        <v>250825.97000000067</v>
      </c>
      <c r="BB714" s="21">
        <f>IF(OR(tblsales[[#This Row],[Contract Value USD]]="",tblsales[[#This Row],[Cost Estimate USD]]=""),"",tblsales[[#This Row],[Contract Value USD]]-tblsales[[#This Row],[Cost Estimate USD]])</f>
        <v>1035690.9299999997</v>
      </c>
      <c r="BC714" s="21">
        <f>IF(OR(tblsales[[#This Row],[Contract Value USD]]="",tblsales[[#This Row],[Cost Estimate USD]]=""),"",tblsales[[#This Row],[Contract Value USD]]-tblsales[[#This Row],[Cost Estimate USD]])</f>
        <v>1035690.9299999997</v>
      </c>
      <c r="BD714" s="23">
        <f>IF(tblsales[[#This Row],[Invoice Value USD]]="","",tblsales[[#This Row],[Collected Amount USD]]/tblsales[[#This Row],[Invoice Value USD]])</f>
        <v>0.94672690691602779</v>
      </c>
      <c r="BE714" s="11">
        <f>IF(tblsales[[#This Row],[SalesStage]]="Won",1,0)</f>
        <v>0</v>
      </c>
      <c r="BF714" s="21" t="str">
        <f>IF(tblsales[[#This Row],[Win Flag]]=1,"Won","Lost")</f>
        <v>Lost</v>
      </c>
      <c r="BG714" s="8"/>
    </row>
    <row r="715" spans="1:59" x14ac:dyDescent="0.3">
      <c r="A715" s="10" t="s">
        <v>2444</v>
      </c>
      <c r="B715" s="9">
        <v>45920</v>
      </c>
      <c r="C715" s="10" t="s">
        <v>264</v>
      </c>
      <c r="D715" s="10" t="s">
        <v>262</v>
      </c>
      <c r="E715" s="10" t="s">
        <v>20</v>
      </c>
      <c r="F715" s="10" t="s">
        <v>332</v>
      </c>
      <c r="G715" s="10" t="s">
        <v>16</v>
      </c>
      <c r="H715" s="10" t="s">
        <v>263</v>
      </c>
      <c r="I715" s="10" t="s">
        <v>246</v>
      </c>
      <c r="J715" s="10" t="s">
        <v>99</v>
      </c>
      <c r="K715" s="10" t="s">
        <v>210</v>
      </c>
      <c r="L715" s="10" t="s">
        <v>2445</v>
      </c>
      <c r="M715" s="9">
        <v>45725</v>
      </c>
      <c r="N715" s="9">
        <v>45947</v>
      </c>
      <c r="O715" s="9">
        <v>45987</v>
      </c>
      <c r="P715" s="11">
        <v>18</v>
      </c>
      <c r="Q715" s="12">
        <v>32960982</v>
      </c>
      <c r="R715">
        <v>8975275.398599999</v>
      </c>
      <c r="S715" s="22">
        <v>7.0000000000000007E-2</v>
      </c>
      <c r="T715" s="22">
        <v>-0.01</v>
      </c>
      <c r="U715" s="12">
        <v>30347176.129999999</v>
      </c>
      <c r="V715" s="24">
        <v>8263536.060198999</v>
      </c>
      <c r="W715" s="8">
        <v>25084185.75</v>
      </c>
      <c r="X715" s="24">
        <v>6830423.7797249993</v>
      </c>
      <c r="Y715" s="22">
        <v>0.13</v>
      </c>
      <c r="Z715" s="22">
        <v>0.05</v>
      </c>
      <c r="AA715" s="8" t="s">
        <v>2446</v>
      </c>
      <c r="AB715" s="8">
        <v>3080882.85</v>
      </c>
      <c r="AC715" s="24">
        <v>838924.40005499998</v>
      </c>
      <c r="AD715" s="8">
        <v>1289465.3899999999</v>
      </c>
      <c r="AE715" s="24">
        <v>351121.42569699994</v>
      </c>
      <c r="AF715" s="8">
        <v>60</v>
      </c>
      <c r="AG715" s="8">
        <v>71</v>
      </c>
      <c r="AH715" s="8" t="s">
        <v>347</v>
      </c>
      <c r="AI715" s="8" t="s">
        <v>406</v>
      </c>
      <c r="AJ715" s="22">
        <v>0.39</v>
      </c>
      <c r="AK715" s="8" t="s">
        <v>153</v>
      </c>
      <c r="AL715" s="22">
        <v>0.15</v>
      </c>
      <c r="AM715" s="22">
        <v>0.1</v>
      </c>
      <c r="AN715" s="8">
        <v>0</v>
      </c>
      <c r="AO715" s="8">
        <v>3402</v>
      </c>
      <c r="AP715" s="8"/>
      <c r="AQ715" s="24"/>
      <c r="AR715" s="8">
        <v>11487168.289999999</v>
      </c>
      <c r="AS715" s="37">
        <v>3127955.9253669996</v>
      </c>
      <c r="AT715" s="8" t="s">
        <v>332</v>
      </c>
      <c r="AU715" s="8" t="s">
        <v>321</v>
      </c>
      <c r="AV715" s="8">
        <v>53.1</v>
      </c>
      <c r="AW715" s="8">
        <v>48</v>
      </c>
      <c r="AX715" s="8" t="s">
        <v>332</v>
      </c>
      <c r="AY715" s="8" t="s">
        <v>206</v>
      </c>
      <c r="AZ715" s="8" t="s">
        <v>357</v>
      </c>
      <c r="BA715" s="21">
        <f>IF(OR(tblsales[[#This Row],[Invoice Value USD]]="",tblsales[[#This Row],[Collected Amount USD]]=""),"",tblsales[[#This Row],[Invoice Value USD]]-tblsales[[#This Row],[Collected Amount USD]])</f>
        <v>487802.97435800004</v>
      </c>
      <c r="BB715" s="21">
        <f>IF(OR(tblsales[[#This Row],[Contract Value USD]]="",tblsales[[#This Row],[Cost Estimate USD]]=""),"",tblsales[[#This Row],[Contract Value USD]]-tblsales[[#This Row],[Cost Estimate USD]])</f>
        <v>1433112.2804739997</v>
      </c>
      <c r="BC715" s="21">
        <f>IF(OR(tblsales[[#This Row],[Contract Value USD]]="",tblsales[[#This Row],[Cost Estimate USD]]=""),"",tblsales[[#This Row],[Contract Value USD]]-tblsales[[#This Row],[Cost Estimate USD]])</f>
        <v>1433112.2804739997</v>
      </c>
      <c r="BD715" s="23">
        <f>IF(tblsales[[#This Row],[Invoice Value USD]]="","",tblsales[[#This Row],[Collected Amount USD]]/tblsales[[#This Row],[Invoice Value USD]])</f>
        <v>0.41853762469416839</v>
      </c>
      <c r="BE715" s="11">
        <f>IF(tblsales[[#This Row],[SalesStage]]="Won",1,0)</f>
        <v>0</v>
      </c>
      <c r="BF715" s="21" t="str">
        <f>IF(tblsales[[#This Row],[Win Flag]]=1,"Won","Lost")</f>
        <v>Lost</v>
      </c>
      <c r="BG715" s="8"/>
    </row>
    <row r="716" spans="1:59" x14ac:dyDescent="0.3">
      <c r="A716" s="10" t="s">
        <v>2447</v>
      </c>
      <c r="B716" s="9">
        <v>46065</v>
      </c>
      <c r="C716" s="10" t="s">
        <v>179</v>
      </c>
      <c r="D716" s="10" t="s">
        <v>220</v>
      </c>
      <c r="E716" s="10" t="s">
        <v>41</v>
      </c>
      <c r="F716" s="10" t="s">
        <v>228</v>
      </c>
      <c r="G716" s="10" t="s">
        <v>57</v>
      </c>
      <c r="H716" s="10" t="s">
        <v>263</v>
      </c>
      <c r="I716" s="10" t="s">
        <v>198</v>
      </c>
      <c r="J716" s="10" t="s">
        <v>105</v>
      </c>
      <c r="K716" s="10" t="s">
        <v>210</v>
      </c>
      <c r="L716" s="10" t="s">
        <v>2448</v>
      </c>
      <c r="M716" s="9">
        <v>45976</v>
      </c>
      <c r="N716" s="9">
        <v>46145</v>
      </c>
      <c r="O716" s="9">
        <v>46164</v>
      </c>
      <c r="P716" s="11">
        <v>14</v>
      </c>
      <c r="Q716" s="12">
        <v>556669</v>
      </c>
      <c r="R716">
        <v>646292.70900000003</v>
      </c>
      <c r="S716" s="22">
        <v>0.11</v>
      </c>
      <c r="T716" s="22">
        <v>7.0000000000000007E-2</v>
      </c>
      <c r="U716" s="12">
        <v>530115.89</v>
      </c>
      <c r="V716" s="24">
        <v>615464.54829000006</v>
      </c>
      <c r="W716" s="8">
        <v>321943.90000000002</v>
      </c>
      <c r="X716" s="24">
        <v>373776.86790000001</v>
      </c>
      <c r="Y716" s="22">
        <v>0.11</v>
      </c>
      <c r="Z716" s="22">
        <v>0.1</v>
      </c>
      <c r="AA716" s="8" t="s">
        <v>2449</v>
      </c>
      <c r="AB716" s="8">
        <v>301641.74</v>
      </c>
      <c r="AC716" s="24">
        <v>350206.06014000002</v>
      </c>
      <c r="AD716" s="8">
        <v>102784.76</v>
      </c>
      <c r="AE716" s="24">
        <v>119333.10635999999</v>
      </c>
      <c r="AF716" s="8">
        <v>60</v>
      </c>
      <c r="AG716" s="8">
        <v>142</v>
      </c>
      <c r="AH716" s="8" t="s">
        <v>329</v>
      </c>
      <c r="AI716" s="8" t="s">
        <v>226</v>
      </c>
      <c r="AJ716" s="22">
        <v>0.82</v>
      </c>
      <c r="AK716" s="8" t="s">
        <v>159</v>
      </c>
      <c r="AL716" s="22">
        <v>0.05</v>
      </c>
      <c r="AM716" s="22">
        <v>0.03</v>
      </c>
      <c r="AN716" s="8">
        <v>0</v>
      </c>
      <c r="AO716" s="8">
        <v>1157</v>
      </c>
      <c r="AP716" s="8">
        <v>54584.73</v>
      </c>
      <c r="AQ716" s="24">
        <v>63372.871530000004</v>
      </c>
      <c r="AR716" s="8">
        <v>131425.07</v>
      </c>
      <c r="AS716" s="37">
        <v>152584.50627000001</v>
      </c>
      <c r="AT716" s="8" t="s">
        <v>321</v>
      </c>
      <c r="AU716" s="8" t="s">
        <v>321</v>
      </c>
      <c r="AV716" s="8">
        <v>67.2</v>
      </c>
      <c r="AW716" s="8"/>
      <c r="AX716" s="8" t="s">
        <v>387</v>
      </c>
      <c r="AY716" s="8" t="s">
        <v>229</v>
      </c>
      <c r="AZ716" s="8" t="s">
        <v>332</v>
      </c>
      <c r="BA716" s="21">
        <f>IF(OR(tblsales[[#This Row],[Invoice Value USD]]="",tblsales[[#This Row],[Collected Amount USD]]=""),"",tblsales[[#This Row],[Invoice Value USD]]-tblsales[[#This Row],[Collected Amount USD]])</f>
        <v>230872.95378000004</v>
      </c>
      <c r="BB716" s="21">
        <f>IF(OR(tblsales[[#This Row],[Contract Value USD]]="",tblsales[[#This Row],[Cost Estimate USD]]=""),"",tblsales[[#This Row],[Contract Value USD]]-tblsales[[#This Row],[Cost Estimate USD]])</f>
        <v>241687.68039000005</v>
      </c>
      <c r="BC716" s="21">
        <f>IF(OR(tblsales[[#This Row],[Contract Value USD]]="",tblsales[[#This Row],[Cost Estimate USD]]=""),"",tblsales[[#This Row],[Contract Value USD]]-tblsales[[#This Row],[Cost Estimate USD]])</f>
        <v>241687.68039000005</v>
      </c>
      <c r="BD716" s="23">
        <f>IF(tblsales[[#This Row],[Invoice Value USD]]="","",tblsales[[#This Row],[Collected Amount USD]]/tblsales[[#This Row],[Invoice Value USD]])</f>
        <v>0.34075111753433057</v>
      </c>
      <c r="BE716" s="11">
        <f>IF(tblsales[[#This Row],[SalesStage]]="Won",1,0)</f>
        <v>0</v>
      </c>
      <c r="BF716" s="21" t="str">
        <f>IF(tblsales[[#This Row],[Win Flag]]=1,"Won","Lost")</f>
        <v>Lost</v>
      </c>
      <c r="BG716" s="8"/>
    </row>
    <row r="717" spans="1:59" x14ac:dyDescent="0.3">
      <c r="A717" s="10" t="s">
        <v>2450</v>
      </c>
      <c r="B717" s="9">
        <v>45941</v>
      </c>
      <c r="C717" s="10" t="s">
        <v>280</v>
      </c>
      <c r="D717" s="10" t="s">
        <v>265</v>
      </c>
      <c r="E717" s="10" t="s">
        <v>113</v>
      </c>
      <c r="F717" s="10" t="s">
        <v>367</v>
      </c>
      <c r="G717" s="10" t="s">
        <v>23</v>
      </c>
      <c r="H717" s="10" t="s">
        <v>236</v>
      </c>
      <c r="I717" s="10" t="s">
        <v>198</v>
      </c>
      <c r="J717" s="10" t="s">
        <v>123</v>
      </c>
      <c r="K717" s="10" t="s">
        <v>223</v>
      </c>
      <c r="L717" s="10" t="s">
        <v>2451</v>
      </c>
      <c r="M717" s="9">
        <v>45923</v>
      </c>
      <c r="N717" s="9">
        <v>45979</v>
      </c>
      <c r="O717" s="9">
        <v>45990</v>
      </c>
      <c r="P717" s="11">
        <v>42</v>
      </c>
      <c r="Q717" s="12">
        <v>34435235</v>
      </c>
      <c r="R717">
        <v>9376714.4904999994</v>
      </c>
      <c r="S717" s="22">
        <v>0.17</v>
      </c>
      <c r="T717" s="22">
        <v>0.14000000000000001</v>
      </c>
      <c r="U717" s="12">
        <v>32582619.359999999</v>
      </c>
      <c r="V717" s="24">
        <v>8872247.2517280001</v>
      </c>
      <c r="W717" s="8">
        <v>27118211.25</v>
      </c>
      <c r="X717" s="24">
        <v>7384288.9233749993</v>
      </c>
      <c r="Y717" s="22">
        <v>0.36</v>
      </c>
      <c r="Z717" s="22">
        <v>0.14000000000000001</v>
      </c>
      <c r="AA717" s="8" t="s">
        <v>2452</v>
      </c>
      <c r="AB717" s="8"/>
      <c r="AC717" s="24"/>
      <c r="AD717" s="8">
        <v>7173705.1299999999</v>
      </c>
      <c r="AE717" s="24">
        <v>1953399.9068989998</v>
      </c>
      <c r="AF717" s="8">
        <v>60</v>
      </c>
      <c r="AG717" s="8">
        <v>32</v>
      </c>
      <c r="AH717" s="8" t="s">
        <v>342</v>
      </c>
      <c r="AI717" s="8" t="s">
        <v>406</v>
      </c>
      <c r="AJ717" s="22">
        <v>0.25</v>
      </c>
      <c r="AK717" s="8" t="s">
        <v>153</v>
      </c>
      <c r="AL717" s="22">
        <v>0.15</v>
      </c>
      <c r="AM717" s="22">
        <v>0.08</v>
      </c>
      <c r="AN717" s="8">
        <v>3</v>
      </c>
      <c r="AO717" s="8">
        <v>1245</v>
      </c>
      <c r="AP717" s="8">
        <v>1986839.28</v>
      </c>
      <c r="AQ717" s="24">
        <v>541016.33594399993</v>
      </c>
      <c r="AR717" s="8">
        <v>3889544.28</v>
      </c>
      <c r="AS717" s="37">
        <v>1059122.9074439998</v>
      </c>
      <c r="AT717" s="8" t="s">
        <v>321</v>
      </c>
      <c r="AU717" s="8" t="s">
        <v>330</v>
      </c>
      <c r="AV717" s="8">
        <v>73.3</v>
      </c>
      <c r="AW717" s="8">
        <v>36</v>
      </c>
      <c r="AX717" s="8" t="s">
        <v>387</v>
      </c>
      <c r="AY717" s="8" t="s">
        <v>192</v>
      </c>
      <c r="AZ717" s="8" t="s">
        <v>332</v>
      </c>
      <c r="BA717" s="21" t="str">
        <f>IF(OR(tblsales[[#This Row],[Invoice Value USD]]="",tblsales[[#This Row],[Collected Amount USD]]=""),"",tblsales[[#This Row],[Invoice Value USD]]-tblsales[[#This Row],[Collected Amount USD]])</f>
        <v/>
      </c>
      <c r="BB717" s="21">
        <f>IF(OR(tblsales[[#This Row],[Contract Value USD]]="",tblsales[[#This Row],[Cost Estimate USD]]=""),"",tblsales[[#This Row],[Contract Value USD]]-tblsales[[#This Row],[Cost Estimate USD]])</f>
        <v>1487958.3283530008</v>
      </c>
      <c r="BC717" s="21">
        <f>IF(OR(tblsales[[#This Row],[Contract Value USD]]="",tblsales[[#This Row],[Cost Estimate USD]]=""),"",tblsales[[#This Row],[Contract Value USD]]-tblsales[[#This Row],[Cost Estimate USD]])</f>
        <v>1487958.3283530008</v>
      </c>
      <c r="BD717" s="23" t="str">
        <f>IF(tblsales[[#This Row],[Invoice Value USD]]="","",tblsales[[#This Row],[Collected Amount USD]]/tblsales[[#This Row],[Invoice Value USD]])</f>
        <v/>
      </c>
      <c r="BE717" s="11">
        <f>IF(tblsales[[#This Row],[SalesStage]]="Won",1,0)</f>
        <v>0</v>
      </c>
      <c r="BF717" s="21" t="str">
        <f>IF(tblsales[[#This Row],[Win Flag]]=1,"Won","Lost")</f>
        <v>Lost</v>
      </c>
      <c r="BG717" s="8"/>
    </row>
    <row r="718" spans="1:59" x14ac:dyDescent="0.3">
      <c r="A718" s="10" t="s">
        <v>2453</v>
      </c>
      <c r="B718" s="9">
        <v>45762</v>
      </c>
      <c r="C718" s="10" t="s">
        <v>211</v>
      </c>
      <c r="D718" s="10" t="s">
        <v>220</v>
      </c>
      <c r="E718" s="10" t="s">
        <v>113</v>
      </c>
      <c r="F718" s="10" t="s">
        <v>367</v>
      </c>
      <c r="G718" s="10" t="s">
        <v>78</v>
      </c>
      <c r="H718" s="10" t="s">
        <v>216</v>
      </c>
      <c r="I718" s="10" t="s">
        <v>233</v>
      </c>
      <c r="J718" s="10" t="s">
        <v>111</v>
      </c>
      <c r="K718" s="10" t="s">
        <v>199</v>
      </c>
      <c r="L718" s="10" t="s">
        <v>2454</v>
      </c>
      <c r="M718" s="9">
        <v>45705</v>
      </c>
      <c r="N718" s="9">
        <v>45769</v>
      </c>
      <c r="O718" s="9"/>
      <c r="P718" s="11">
        <v>23</v>
      </c>
      <c r="Q718" s="12">
        <v>32223118</v>
      </c>
      <c r="R718">
        <v>8851690.5145999994</v>
      </c>
      <c r="S718" s="22">
        <v>0.08</v>
      </c>
      <c r="T718" s="22">
        <v>0.16</v>
      </c>
      <c r="U718" s="12">
        <v>34388511.530000001</v>
      </c>
      <c r="V718" s="24">
        <v>9446524.1172909997</v>
      </c>
      <c r="W718" s="8">
        <v>30084584.760000002</v>
      </c>
      <c r="X718" s="24">
        <v>8264235.4335720008</v>
      </c>
      <c r="Y718" s="22">
        <v>0.13</v>
      </c>
      <c r="Z718" s="22">
        <v>0.15</v>
      </c>
      <c r="AA718" s="8" t="s">
        <v>2455</v>
      </c>
      <c r="AB718" s="8">
        <v>19715018.940000001</v>
      </c>
      <c r="AC718" s="24">
        <v>5415715.7028180007</v>
      </c>
      <c r="AD718" s="8">
        <v>8073750.2199999997</v>
      </c>
      <c r="AE718" s="24">
        <v>2217859.1854340001</v>
      </c>
      <c r="AF718" s="8">
        <v>60</v>
      </c>
      <c r="AG718" s="8">
        <v>138</v>
      </c>
      <c r="AH718" s="8" t="s">
        <v>329</v>
      </c>
      <c r="AI718" s="8" t="s">
        <v>455</v>
      </c>
      <c r="AJ718" s="22">
        <v>0.98</v>
      </c>
      <c r="AK718" s="8" t="s">
        <v>155</v>
      </c>
      <c r="AL718" s="22">
        <v>0.05</v>
      </c>
      <c r="AM718" s="22">
        <v>0.06</v>
      </c>
      <c r="AN718" s="8">
        <v>13</v>
      </c>
      <c r="AO718" s="8">
        <v>1974</v>
      </c>
      <c r="AP718" s="8">
        <v>6696151.0700000003</v>
      </c>
      <c r="AQ718" s="24">
        <v>1839432.6989290002</v>
      </c>
      <c r="AR718" s="8">
        <v>3546622.12</v>
      </c>
      <c r="AS718" s="37">
        <v>974257.096364</v>
      </c>
      <c r="AT718" s="8" t="s">
        <v>391</v>
      </c>
      <c r="AU718" s="8" t="s">
        <v>321</v>
      </c>
      <c r="AV718" s="8">
        <v>80.900000000000006</v>
      </c>
      <c r="AW718" s="8">
        <v>24</v>
      </c>
      <c r="AX718" s="8" t="s">
        <v>332</v>
      </c>
      <c r="AY718" s="8" t="s">
        <v>206</v>
      </c>
      <c r="AZ718" s="8" t="s">
        <v>188</v>
      </c>
      <c r="BA718" s="21">
        <f>IF(OR(tblsales[[#This Row],[Invoice Value USD]]="",tblsales[[#This Row],[Collected Amount USD]]=""),"",tblsales[[#This Row],[Invoice Value USD]]-tblsales[[#This Row],[Collected Amount USD]])</f>
        <v>3197856.5173840006</v>
      </c>
      <c r="BB718" s="21">
        <f>IF(OR(tblsales[[#This Row],[Contract Value USD]]="",tblsales[[#This Row],[Cost Estimate USD]]=""),"",tblsales[[#This Row],[Contract Value USD]]-tblsales[[#This Row],[Cost Estimate USD]])</f>
        <v>1182288.6837189989</v>
      </c>
      <c r="BC718" s="21">
        <f>IF(OR(tblsales[[#This Row],[Contract Value USD]]="",tblsales[[#This Row],[Cost Estimate USD]]=""),"",tblsales[[#This Row],[Contract Value USD]]-tblsales[[#This Row],[Cost Estimate USD]])</f>
        <v>1182288.6837189989</v>
      </c>
      <c r="BD718" s="23">
        <f>IF(tblsales[[#This Row],[Invoice Value USD]]="","",tblsales[[#This Row],[Collected Amount USD]]/tblsales[[#This Row],[Invoice Value USD]])</f>
        <v>0.4095228234155579</v>
      </c>
      <c r="BE718" s="11">
        <f>IF(tblsales[[#This Row],[SalesStage]]="Won",1,0)</f>
        <v>0</v>
      </c>
      <c r="BF718" s="21" t="str">
        <f>IF(tblsales[[#This Row],[Win Flag]]=1,"Won","Lost")</f>
        <v>Lost</v>
      </c>
      <c r="BG718" s="8"/>
    </row>
    <row r="719" spans="1:59" x14ac:dyDescent="0.3">
      <c r="A719" s="10" t="s">
        <v>2456</v>
      </c>
      <c r="B719" s="9">
        <v>45855</v>
      </c>
      <c r="C719" s="10" t="s">
        <v>252</v>
      </c>
      <c r="D719" s="10" t="s">
        <v>281</v>
      </c>
      <c r="E719" s="10" t="s">
        <v>113</v>
      </c>
      <c r="F719" s="10" t="s">
        <v>367</v>
      </c>
      <c r="G719" s="10" t="s">
        <v>57</v>
      </c>
      <c r="H719" s="10" t="s">
        <v>182</v>
      </c>
      <c r="I719" s="10" t="s">
        <v>233</v>
      </c>
      <c r="J719" s="10" t="s">
        <v>111</v>
      </c>
      <c r="K719" s="10" t="s">
        <v>326</v>
      </c>
      <c r="L719" s="10" t="s">
        <v>2457</v>
      </c>
      <c r="M719" s="9">
        <v>45997</v>
      </c>
      <c r="N719" s="9">
        <v>45877</v>
      </c>
      <c r="O719" s="9">
        <v>45947</v>
      </c>
      <c r="P719" s="11">
        <v>56</v>
      </c>
      <c r="Q719" s="12">
        <v>472954</v>
      </c>
      <c r="R719">
        <v>472954</v>
      </c>
      <c r="S719" s="22">
        <v>0.27</v>
      </c>
      <c r="T719" s="22">
        <v>0.03</v>
      </c>
      <c r="U719" s="12">
        <v>355614.11</v>
      </c>
      <c r="V719" s="24">
        <v>355614.11</v>
      </c>
      <c r="W719" s="8">
        <v>269469.55</v>
      </c>
      <c r="X719" s="24">
        <v>269469.55</v>
      </c>
      <c r="Y719" s="22">
        <v>0.12</v>
      </c>
      <c r="Z719" s="22">
        <v>0.18</v>
      </c>
      <c r="AA719" s="8" t="s">
        <v>2458</v>
      </c>
      <c r="AB719" s="8">
        <v>202342.65</v>
      </c>
      <c r="AC719" s="24">
        <v>202342.65</v>
      </c>
      <c r="AD719" s="8">
        <v>176233.5</v>
      </c>
      <c r="AE719" s="24">
        <v>176233.5</v>
      </c>
      <c r="AF719" s="8">
        <v>45</v>
      </c>
      <c r="AG719" s="8">
        <v>127</v>
      </c>
      <c r="AH719" s="8" t="s">
        <v>329</v>
      </c>
      <c r="AI719" s="8" t="s">
        <v>226</v>
      </c>
      <c r="AJ719" s="22">
        <v>7.0000000000000007E-2</v>
      </c>
      <c r="AK719" s="8" t="s">
        <v>152</v>
      </c>
      <c r="AL719" s="22">
        <v>0.05</v>
      </c>
      <c r="AM719" s="22">
        <v>0.01</v>
      </c>
      <c r="AN719" s="8">
        <v>9</v>
      </c>
      <c r="AO719" s="8">
        <v>3812</v>
      </c>
      <c r="AP719" s="8">
        <v>58714.76</v>
      </c>
      <c r="AQ719" s="24">
        <v>58714.76</v>
      </c>
      <c r="AR719" s="8">
        <v>49682.93</v>
      </c>
      <c r="AS719" s="37">
        <v>49682.93</v>
      </c>
      <c r="AT719" s="8" t="s">
        <v>73</v>
      </c>
      <c r="AU719" s="8" t="s">
        <v>321</v>
      </c>
      <c r="AV719" s="8">
        <v>51.5</v>
      </c>
      <c r="AW719" s="8">
        <v>48</v>
      </c>
      <c r="AX719" s="8" t="s">
        <v>332</v>
      </c>
      <c r="AY719" s="8" t="s">
        <v>224</v>
      </c>
      <c r="AZ719" s="8" t="s">
        <v>188</v>
      </c>
      <c r="BA719" s="21">
        <f>IF(OR(tblsales[[#This Row],[Invoice Value USD]]="",tblsales[[#This Row],[Collected Amount USD]]=""),"",tblsales[[#This Row],[Invoice Value USD]]-tblsales[[#This Row],[Collected Amount USD]])</f>
        <v>26109.149999999994</v>
      </c>
      <c r="BB719" s="21">
        <f>IF(OR(tblsales[[#This Row],[Contract Value USD]]="",tblsales[[#This Row],[Cost Estimate USD]]=""),"",tblsales[[#This Row],[Contract Value USD]]-tblsales[[#This Row],[Cost Estimate USD]])</f>
        <v>86144.56</v>
      </c>
      <c r="BC719" s="21">
        <f>IF(OR(tblsales[[#This Row],[Contract Value USD]]="",tblsales[[#This Row],[Cost Estimate USD]]=""),"",tblsales[[#This Row],[Contract Value USD]]-tblsales[[#This Row],[Cost Estimate USD]])</f>
        <v>86144.56</v>
      </c>
      <c r="BD719" s="23">
        <f>IF(tblsales[[#This Row],[Invoice Value USD]]="","",tblsales[[#This Row],[Collected Amount USD]]/tblsales[[#This Row],[Invoice Value USD]])</f>
        <v>0.87096566146583532</v>
      </c>
      <c r="BE719" s="11">
        <f>IF(tblsales[[#This Row],[SalesStage]]="Won",1,0)</f>
        <v>0</v>
      </c>
      <c r="BF719" s="21" t="str">
        <f>IF(tblsales[[#This Row],[Win Flag]]=1,"Won","Lost")</f>
        <v>Lost</v>
      </c>
      <c r="BG719" s="8"/>
    </row>
    <row r="720" spans="1:59" x14ac:dyDescent="0.3">
      <c r="A720" s="10" t="s">
        <v>2459</v>
      </c>
      <c r="B720" s="9">
        <v>45864</v>
      </c>
      <c r="C720" s="10" t="s">
        <v>201</v>
      </c>
      <c r="D720" s="10" t="s">
        <v>394</v>
      </c>
      <c r="E720" s="10" t="s">
        <v>41</v>
      </c>
      <c r="F720" s="10" t="s">
        <v>363</v>
      </c>
      <c r="G720" s="10" t="s">
        <v>80</v>
      </c>
      <c r="H720" s="10" t="s">
        <v>182</v>
      </c>
      <c r="I720" s="10" t="s">
        <v>332</v>
      </c>
      <c r="J720" s="10" t="s">
        <v>130</v>
      </c>
      <c r="K720" s="10" t="s">
        <v>223</v>
      </c>
      <c r="L720" s="10" t="s">
        <v>2460</v>
      </c>
      <c r="M720" s="9">
        <v>45790</v>
      </c>
      <c r="N720" s="9">
        <v>45913</v>
      </c>
      <c r="O720" s="9">
        <v>45911</v>
      </c>
      <c r="P720" s="11">
        <v>21</v>
      </c>
      <c r="Q720" s="12">
        <v>31096533</v>
      </c>
      <c r="R720">
        <v>8467585.935899999</v>
      </c>
      <c r="S720" s="22">
        <v>0.19</v>
      </c>
      <c r="T720" s="22">
        <v>0.2</v>
      </c>
      <c r="U720" s="12">
        <v>30225830.079999998</v>
      </c>
      <c r="V720" s="24">
        <v>8230493.5307839988</v>
      </c>
      <c r="W720" s="8">
        <v>23677219.84</v>
      </c>
      <c r="X720" s="24">
        <v>6447306.9624319999</v>
      </c>
      <c r="Y720" s="22">
        <v>0.4</v>
      </c>
      <c r="Z720" s="22">
        <v>0.12</v>
      </c>
      <c r="AA720" s="8" t="s">
        <v>2461</v>
      </c>
      <c r="AB720" s="8">
        <v>5978273.75</v>
      </c>
      <c r="AC720" s="24">
        <v>1627883.9421249998</v>
      </c>
      <c r="AD720" s="8">
        <v>4897001.5199999996</v>
      </c>
      <c r="AE720" s="24">
        <v>1333453.5138959999</v>
      </c>
      <c r="AF720" s="8">
        <v>30</v>
      </c>
      <c r="AG720" s="8">
        <v>109</v>
      </c>
      <c r="AH720" s="8" t="s">
        <v>342</v>
      </c>
      <c r="AI720" s="8" t="s">
        <v>336</v>
      </c>
      <c r="AJ720" s="22">
        <v>0.56000000000000005</v>
      </c>
      <c r="AK720" s="8" t="s">
        <v>153</v>
      </c>
      <c r="AL720" s="22">
        <v>0.15</v>
      </c>
      <c r="AM720" s="22">
        <v>0.04</v>
      </c>
      <c r="AN720" s="8">
        <v>0</v>
      </c>
      <c r="AO720" s="8">
        <v>45</v>
      </c>
      <c r="AP720" s="8">
        <v>6959404.5999999996</v>
      </c>
      <c r="AQ720" s="24">
        <v>1895045.8725799997</v>
      </c>
      <c r="AR720" s="8">
        <v>11793246.890000001</v>
      </c>
      <c r="AS720" s="37">
        <v>3211301.128147</v>
      </c>
      <c r="AT720" s="8" t="s">
        <v>355</v>
      </c>
      <c r="AU720" s="8" t="s">
        <v>322</v>
      </c>
      <c r="AV720" s="8">
        <v>77.900000000000006</v>
      </c>
      <c r="AW720" s="8">
        <v>60</v>
      </c>
      <c r="AX720" s="8" t="s">
        <v>337</v>
      </c>
      <c r="AY720" s="8" t="s">
        <v>186</v>
      </c>
      <c r="AZ720" s="8" t="s">
        <v>324</v>
      </c>
      <c r="BA720" s="21">
        <f>IF(OR(tblsales[[#This Row],[Invoice Value USD]]="",tblsales[[#This Row],[Collected Amount USD]]=""),"",tblsales[[#This Row],[Invoice Value USD]]-tblsales[[#This Row],[Collected Amount USD]])</f>
        <v>294430.42822899995</v>
      </c>
      <c r="BB720" s="21">
        <f>IF(OR(tblsales[[#This Row],[Contract Value USD]]="",tblsales[[#This Row],[Cost Estimate USD]]=""),"",tblsales[[#This Row],[Contract Value USD]]-tblsales[[#This Row],[Cost Estimate USD]])</f>
        <v>1783186.5683519989</v>
      </c>
      <c r="BC720" s="21">
        <f>IF(OR(tblsales[[#This Row],[Contract Value USD]]="",tblsales[[#This Row],[Cost Estimate USD]]=""),"",tblsales[[#This Row],[Contract Value USD]]-tblsales[[#This Row],[Cost Estimate USD]])</f>
        <v>1783186.5683519989</v>
      </c>
      <c r="BD720" s="23">
        <f>IF(tblsales[[#This Row],[Invoice Value USD]]="","",tblsales[[#This Row],[Collected Amount USD]]/tblsales[[#This Row],[Invoice Value USD]])</f>
        <v>0.81913303484973399</v>
      </c>
      <c r="BE720" s="11">
        <f>IF(tblsales[[#This Row],[SalesStage]]="Won",1,0)</f>
        <v>0</v>
      </c>
      <c r="BF720" s="21" t="str">
        <f>IF(tblsales[[#This Row],[Win Flag]]=1,"Won","Lost")</f>
        <v>Lost</v>
      </c>
      <c r="BG720" s="8"/>
    </row>
    <row r="721" spans="1:59" x14ac:dyDescent="0.3">
      <c r="A721" s="10" t="s">
        <v>2462</v>
      </c>
      <c r="B721" s="9">
        <v>45871</v>
      </c>
      <c r="C721" s="10" t="s">
        <v>261</v>
      </c>
      <c r="D721" s="10" t="s">
        <v>394</v>
      </c>
      <c r="E721" s="10" t="s">
        <v>36</v>
      </c>
      <c r="F721" s="10" t="s">
        <v>339</v>
      </c>
      <c r="G721" s="10" t="s">
        <v>70</v>
      </c>
      <c r="H721" s="10" t="s">
        <v>332</v>
      </c>
      <c r="I721" s="10" t="s">
        <v>233</v>
      </c>
      <c r="J721" s="10" t="s">
        <v>115</v>
      </c>
      <c r="K721" s="10" t="s">
        <v>184</v>
      </c>
      <c r="L721" s="10" t="s">
        <v>2463</v>
      </c>
      <c r="M721" s="9">
        <v>45834</v>
      </c>
      <c r="N721" s="9">
        <v>45930</v>
      </c>
      <c r="O721" s="9">
        <v>45667</v>
      </c>
      <c r="P721" s="11">
        <v>29</v>
      </c>
      <c r="Q721" s="12">
        <v>21562048</v>
      </c>
      <c r="R721">
        <v>5923094.5855999999</v>
      </c>
      <c r="S721" s="22">
        <v>0.19</v>
      </c>
      <c r="T721" s="22">
        <v>0.18</v>
      </c>
      <c r="U721" s="12">
        <v>20609005.48</v>
      </c>
      <c r="V721" s="24">
        <v>5661293.8053560006</v>
      </c>
      <c r="W721" s="8">
        <v>17772127.800000001</v>
      </c>
      <c r="X721" s="24">
        <v>4882003.5066600004</v>
      </c>
      <c r="Y721" s="22">
        <v>0.06</v>
      </c>
      <c r="Z721" s="22">
        <v>0.2</v>
      </c>
      <c r="AA721" s="8" t="s">
        <v>2464</v>
      </c>
      <c r="AB721" s="8">
        <v>9051249.7799999993</v>
      </c>
      <c r="AC721" s="24">
        <v>2486378.3145659999</v>
      </c>
      <c r="AD721" s="8">
        <v>8046412.9800000004</v>
      </c>
      <c r="AE721" s="24">
        <v>2210349.645606</v>
      </c>
      <c r="AF721" s="8">
        <v>45</v>
      </c>
      <c r="AG721" s="8">
        <v>100</v>
      </c>
      <c r="AH721" s="8" t="s">
        <v>332</v>
      </c>
      <c r="AI721" s="8" t="s">
        <v>320</v>
      </c>
      <c r="AJ721" s="22">
        <v>0.11</v>
      </c>
      <c r="AK721" s="8" t="s">
        <v>155</v>
      </c>
      <c r="AL721" s="22">
        <v>0.05</v>
      </c>
      <c r="AM721" s="22">
        <v>0.03</v>
      </c>
      <c r="AN721" s="8">
        <v>0</v>
      </c>
      <c r="AO721" s="8">
        <v>3611</v>
      </c>
      <c r="AP721" s="8">
        <v>781083.84</v>
      </c>
      <c r="AQ721" s="24">
        <v>214563.73084799998</v>
      </c>
      <c r="AR721" s="8">
        <v>10082521.35</v>
      </c>
      <c r="AS721" s="37">
        <v>2769668.6148449997</v>
      </c>
      <c r="AT721" s="8" t="s">
        <v>385</v>
      </c>
      <c r="AU721" s="8" t="s">
        <v>321</v>
      </c>
      <c r="AV721" s="8">
        <v>97.7</v>
      </c>
      <c r="AW721" s="8">
        <v>48</v>
      </c>
      <c r="AX721" s="8" t="s">
        <v>337</v>
      </c>
      <c r="AY721" s="8" t="s">
        <v>186</v>
      </c>
      <c r="AZ721" s="8" t="s">
        <v>377</v>
      </c>
      <c r="BA721" s="21">
        <f>IF(OR(tblsales[[#This Row],[Invoice Value USD]]="",tblsales[[#This Row],[Collected Amount USD]]=""),"",tblsales[[#This Row],[Invoice Value USD]]-tblsales[[#This Row],[Collected Amount USD]])</f>
        <v>276028.66895999992</v>
      </c>
      <c r="BB721" s="21">
        <f>IF(OR(tblsales[[#This Row],[Contract Value USD]]="",tblsales[[#This Row],[Cost Estimate USD]]=""),"",tblsales[[#This Row],[Contract Value USD]]-tblsales[[#This Row],[Cost Estimate USD]])</f>
        <v>779290.29869600013</v>
      </c>
      <c r="BC721" s="21">
        <f>IF(OR(tblsales[[#This Row],[Contract Value USD]]="",tblsales[[#This Row],[Cost Estimate USD]]=""),"",tblsales[[#This Row],[Contract Value USD]]-tblsales[[#This Row],[Cost Estimate USD]])</f>
        <v>779290.29869600013</v>
      </c>
      <c r="BD721" s="23">
        <f>IF(tblsales[[#This Row],[Invoice Value USD]]="","",tblsales[[#This Row],[Collected Amount USD]]/tblsales[[#This Row],[Invoice Value USD]])</f>
        <v>0.88898364044484479</v>
      </c>
      <c r="BE721" s="11">
        <f>IF(tblsales[[#This Row],[SalesStage]]="Won",1,0)</f>
        <v>1</v>
      </c>
      <c r="BF721" s="21" t="str">
        <f>IF(tblsales[[#This Row],[Win Flag]]=1,"Won","Lost")</f>
        <v>Won</v>
      </c>
      <c r="BG721" s="8"/>
    </row>
    <row r="722" spans="1:59" x14ac:dyDescent="0.3">
      <c r="A722" s="10" t="s">
        <v>2465</v>
      </c>
      <c r="B722" s="9">
        <v>46027</v>
      </c>
      <c r="C722" s="10" t="s">
        <v>237</v>
      </c>
      <c r="D722" s="10" t="s">
        <v>245</v>
      </c>
      <c r="E722" s="10" t="s">
        <v>113</v>
      </c>
      <c r="F722" s="10" t="s">
        <v>367</v>
      </c>
      <c r="G722" s="10" t="s">
        <v>16</v>
      </c>
      <c r="H722" s="10" t="s">
        <v>236</v>
      </c>
      <c r="I722" s="10" t="s">
        <v>240</v>
      </c>
      <c r="J722" s="10" t="s">
        <v>123</v>
      </c>
      <c r="K722" s="10" t="s">
        <v>326</v>
      </c>
      <c r="L722" s="10" t="s">
        <v>2466</v>
      </c>
      <c r="M722" s="9">
        <v>45912</v>
      </c>
      <c r="N722" s="9" t="s">
        <v>2467</v>
      </c>
      <c r="O722" s="9">
        <v>46097</v>
      </c>
      <c r="P722" s="11">
        <v>11</v>
      </c>
      <c r="Q722" s="12">
        <v>17113526</v>
      </c>
      <c r="R722">
        <v>4660013.1298000002</v>
      </c>
      <c r="S722" s="22">
        <v>0.09</v>
      </c>
      <c r="T722" s="22">
        <v>0.16</v>
      </c>
      <c r="U722" s="12">
        <v>18065038.050000001</v>
      </c>
      <c r="V722" s="24">
        <v>4919109.8610150004</v>
      </c>
      <c r="W722" s="8">
        <v>12701182.59</v>
      </c>
      <c r="X722" s="24">
        <v>3458532.0192569997</v>
      </c>
      <c r="Y722" s="22">
        <v>0.1</v>
      </c>
      <c r="Z722" s="22">
        <v>0.1</v>
      </c>
      <c r="AA722" s="8"/>
      <c r="AB722" s="8">
        <v>8531457.6500000004</v>
      </c>
      <c r="AC722" s="24">
        <v>2323115.9180950001</v>
      </c>
      <c r="AD722" s="8">
        <v>6276538.3200000003</v>
      </c>
      <c r="AE722" s="24">
        <v>1709101.384536</v>
      </c>
      <c r="AF722" s="8">
        <v>90</v>
      </c>
      <c r="AG722" s="8">
        <v>58</v>
      </c>
      <c r="AH722" s="8" t="s">
        <v>332</v>
      </c>
      <c r="AI722" s="8" t="s">
        <v>455</v>
      </c>
      <c r="AJ722" s="22">
        <v>0.73</v>
      </c>
      <c r="AK722" s="8" t="s">
        <v>153</v>
      </c>
      <c r="AL722" s="22">
        <v>0.05</v>
      </c>
      <c r="AM722" s="22">
        <v>0.04</v>
      </c>
      <c r="AN722" s="8">
        <v>15</v>
      </c>
      <c r="AO722" s="8">
        <v>3804</v>
      </c>
      <c r="AP722" s="8">
        <v>4444279.92</v>
      </c>
      <c r="AQ722" s="24">
        <v>1210177.422216</v>
      </c>
      <c r="AR722" s="8">
        <v>6256946.9000000004</v>
      </c>
      <c r="AS722" s="37">
        <v>1703766.64087</v>
      </c>
      <c r="AT722" s="8" t="s">
        <v>73</v>
      </c>
      <c r="AU722" s="8" t="s">
        <v>332</v>
      </c>
      <c r="AV722" s="8">
        <v>72.7</v>
      </c>
      <c r="AW722" s="8"/>
      <c r="AX722" s="8" t="s">
        <v>337</v>
      </c>
      <c r="AY722" s="8" t="s">
        <v>224</v>
      </c>
      <c r="AZ722" s="8" t="s">
        <v>332</v>
      </c>
      <c r="BA722" s="21">
        <f>IF(OR(tblsales[[#This Row],[Invoice Value USD]]="",tblsales[[#This Row],[Collected Amount USD]]=""),"",tblsales[[#This Row],[Invoice Value USD]]-tblsales[[#This Row],[Collected Amount USD]])</f>
        <v>614014.53355900012</v>
      </c>
      <c r="BB722" s="21">
        <f>IF(OR(tblsales[[#This Row],[Contract Value USD]]="",tblsales[[#This Row],[Cost Estimate USD]]=""),"",tblsales[[#This Row],[Contract Value USD]]-tblsales[[#This Row],[Cost Estimate USD]])</f>
        <v>1460577.8417580007</v>
      </c>
      <c r="BC722" s="21">
        <f>IF(OR(tblsales[[#This Row],[Contract Value USD]]="",tblsales[[#This Row],[Cost Estimate USD]]=""),"",tblsales[[#This Row],[Contract Value USD]]-tblsales[[#This Row],[Cost Estimate USD]])</f>
        <v>1460577.8417580007</v>
      </c>
      <c r="BD722" s="23">
        <f>IF(tblsales[[#This Row],[Invoice Value USD]]="","",tblsales[[#This Row],[Collected Amount USD]]/tblsales[[#This Row],[Invoice Value USD]])</f>
        <v>0.73569354470159032</v>
      </c>
      <c r="BE722" s="11">
        <f>IF(tblsales[[#This Row],[SalesStage]]="Won",1,0)</f>
        <v>0</v>
      </c>
      <c r="BF722" s="21" t="str">
        <f>IF(tblsales[[#This Row],[Win Flag]]=1,"Won","Lost")</f>
        <v>Lost</v>
      </c>
      <c r="BG722" s="8"/>
    </row>
    <row r="723" spans="1:59" x14ac:dyDescent="0.3">
      <c r="A723" s="10" t="s">
        <v>2468</v>
      </c>
      <c r="B723" s="9">
        <v>45922</v>
      </c>
      <c r="C723" s="10" t="s">
        <v>257</v>
      </c>
      <c r="D723" s="10" t="s">
        <v>180</v>
      </c>
      <c r="E723" s="10" t="s">
        <v>332</v>
      </c>
      <c r="F723" s="10" t="s">
        <v>350</v>
      </c>
      <c r="G723" s="10" t="s">
        <v>73</v>
      </c>
      <c r="H723" s="10" t="s">
        <v>263</v>
      </c>
      <c r="I723" s="10" t="s">
        <v>198</v>
      </c>
      <c r="J723" s="10" t="s">
        <v>99</v>
      </c>
      <c r="K723" s="10" t="s">
        <v>210</v>
      </c>
      <c r="L723" s="10" t="s">
        <v>2469</v>
      </c>
      <c r="M723" s="9">
        <v>45905</v>
      </c>
      <c r="N723" s="9" t="s">
        <v>671</v>
      </c>
      <c r="O723" s="9">
        <v>46022</v>
      </c>
      <c r="P723" s="11">
        <v>22</v>
      </c>
      <c r="Q723" s="12">
        <v>11181751</v>
      </c>
      <c r="R723">
        <v>11181751</v>
      </c>
      <c r="S723" s="22">
        <v>0.16</v>
      </c>
      <c r="T723" s="22">
        <v>0.18</v>
      </c>
      <c r="U723" s="12">
        <v>11083351.59</v>
      </c>
      <c r="V723" s="24">
        <v>11083351.59</v>
      </c>
      <c r="W723" s="8">
        <v>8817326.6899999995</v>
      </c>
      <c r="X723" s="24">
        <v>8817326.6899999995</v>
      </c>
      <c r="Y723" s="22">
        <v>0.16</v>
      </c>
      <c r="Z723" s="22">
        <v>0.17</v>
      </c>
      <c r="AA723" s="8" t="s">
        <v>2470</v>
      </c>
      <c r="AB723" s="8">
        <v>2752838.29</v>
      </c>
      <c r="AC723" s="24">
        <v>2752838.29</v>
      </c>
      <c r="AD723" s="8">
        <v>1722516.13</v>
      </c>
      <c r="AE723" s="24">
        <v>1722516.13</v>
      </c>
      <c r="AF723" s="8">
        <v>120</v>
      </c>
      <c r="AG723" s="8">
        <v>135</v>
      </c>
      <c r="AH723" s="8" t="s">
        <v>353</v>
      </c>
      <c r="AI723" s="8" t="s">
        <v>455</v>
      </c>
      <c r="AJ723" s="22">
        <v>0.26</v>
      </c>
      <c r="AK723" s="8" t="s">
        <v>152</v>
      </c>
      <c r="AL723" s="22">
        <v>0.05</v>
      </c>
      <c r="AM723" s="22">
        <v>7.0000000000000007E-2</v>
      </c>
      <c r="AN723" s="8">
        <v>6</v>
      </c>
      <c r="AO723" s="8">
        <v>267</v>
      </c>
      <c r="AP723" s="8"/>
      <c r="AQ723" s="24"/>
      <c r="AR723" s="8"/>
      <c r="AS723" s="37"/>
      <c r="AT723" s="8" t="s">
        <v>321</v>
      </c>
      <c r="AU723" s="8" t="s">
        <v>322</v>
      </c>
      <c r="AV723" s="8">
        <v>74.099999999999994</v>
      </c>
      <c r="AW723" s="8">
        <v>48</v>
      </c>
      <c r="AX723" s="8" t="s">
        <v>323</v>
      </c>
      <c r="AY723" s="8" t="s">
        <v>186</v>
      </c>
      <c r="AZ723" s="8" t="s">
        <v>324</v>
      </c>
      <c r="BA723" s="21">
        <f>IF(OR(tblsales[[#This Row],[Invoice Value USD]]="",tblsales[[#This Row],[Collected Amount USD]]=""),"",tblsales[[#This Row],[Invoice Value USD]]-tblsales[[#This Row],[Collected Amount USD]])</f>
        <v>1030322.1600000001</v>
      </c>
      <c r="BB723" s="21">
        <f>IF(OR(tblsales[[#This Row],[Contract Value USD]]="",tblsales[[#This Row],[Cost Estimate USD]]=""),"",tblsales[[#This Row],[Contract Value USD]]-tblsales[[#This Row],[Cost Estimate USD]])</f>
        <v>2266024.9000000004</v>
      </c>
      <c r="BC723" s="21">
        <f>IF(OR(tblsales[[#This Row],[Contract Value USD]]="",tblsales[[#This Row],[Cost Estimate USD]]=""),"",tblsales[[#This Row],[Contract Value USD]]-tblsales[[#This Row],[Cost Estimate USD]])</f>
        <v>2266024.9000000004</v>
      </c>
      <c r="BD723" s="23">
        <f>IF(tblsales[[#This Row],[Invoice Value USD]]="","",tblsales[[#This Row],[Collected Amount USD]]/tblsales[[#This Row],[Invoice Value USD]])</f>
        <v>0.62572368898574127</v>
      </c>
      <c r="BE723" s="11">
        <f>IF(tblsales[[#This Row],[SalesStage]]="Won",1,0)</f>
        <v>0</v>
      </c>
      <c r="BF723" s="21" t="str">
        <f>IF(tblsales[[#This Row],[Win Flag]]=1,"Won","Lost")</f>
        <v>Lost</v>
      </c>
      <c r="BG723" s="8"/>
    </row>
    <row r="724" spans="1:59" x14ac:dyDescent="0.3">
      <c r="A724" s="10" t="s">
        <v>2471</v>
      </c>
      <c r="B724" s="9">
        <v>45967</v>
      </c>
      <c r="C724" s="10" t="s">
        <v>254</v>
      </c>
      <c r="D724" s="10" t="s">
        <v>180</v>
      </c>
      <c r="E724" s="10" t="s">
        <v>52</v>
      </c>
      <c r="F724" s="10" t="s">
        <v>75</v>
      </c>
      <c r="G724" s="10" t="s">
        <v>38</v>
      </c>
      <c r="H724" s="10" t="s">
        <v>332</v>
      </c>
      <c r="I724" s="10" t="s">
        <v>183</v>
      </c>
      <c r="J724" s="10" t="s">
        <v>119</v>
      </c>
      <c r="K724" s="10" t="s">
        <v>204</v>
      </c>
      <c r="L724" s="10" t="s">
        <v>2472</v>
      </c>
      <c r="M724" s="9">
        <v>45957</v>
      </c>
      <c r="N724" s="9"/>
      <c r="O724" s="9">
        <v>46040</v>
      </c>
      <c r="P724" s="11">
        <v>55</v>
      </c>
      <c r="Q724" s="12">
        <v>2633338</v>
      </c>
      <c r="R724">
        <v>717057.93739999994</v>
      </c>
      <c r="S724" s="22">
        <v>0.2</v>
      </c>
      <c r="T724" s="22">
        <v>0.16</v>
      </c>
      <c r="U724" s="12">
        <v>2443737.66</v>
      </c>
      <c r="V724" s="24">
        <v>665429.76481800003</v>
      </c>
      <c r="W724" s="8">
        <v>1832125.02</v>
      </c>
      <c r="X724" s="24">
        <v>498887.64294599998</v>
      </c>
      <c r="Y724" s="22">
        <v>0.11</v>
      </c>
      <c r="Z724" s="22">
        <v>0.11</v>
      </c>
      <c r="AA724" s="8" t="s">
        <v>2473</v>
      </c>
      <c r="AB724" s="8">
        <v>135387.04999999999</v>
      </c>
      <c r="AC724" s="24">
        <v>36865.893714999998</v>
      </c>
      <c r="AD724" s="8">
        <v>105308.57</v>
      </c>
      <c r="AE724" s="24">
        <v>28675.523611000001</v>
      </c>
      <c r="AF724" s="8">
        <v>90</v>
      </c>
      <c r="AG724" s="8">
        <v>101</v>
      </c>
      <c r="AH724" s="8" t="s">
        <v>342</v>
      </c>
      <c r="AI724" s="8" t="s">
        <v>406</v>
      </c>
      <c r="AJ724" s="22">
        <v>0.38</v>
      </c>
      <c r="AK724" s="8" t="s">
        <v>153</v>
      </c>
      <c r="AL724" s="22">
        <v>0.15</v>
      </c>
      <c r="AM724" s="22">
        <v>0.06</v>
      </c>
      <c r="AN724" s="8">
        <v>10</v>
      </c>
      <c r="AO724" s="8"/>
      <c r="AP724" s="8">
        <v>401397.57</v>
      </c>
      <c r="AQ724" s="24">
        <v>109300.558311</v>
      </c>
      <c r="AR724" s="8">
        <v>639297.75</v>
      </c>
      <c r="AS724" s="37">
        <v>174080.777325</v>
      </c>
      <c r="AT724" s="8" t="s">
        <v>321</v>
      </c>
      <c r="AU724" s="8" t="s">
        <v>330</v>
      </c>
      <c r="AV724" s="8">
        <v>88.7</v>
      </c>
      <c r="AW724" s="8">
        <v>12</v>
      </c>
      <c r="AX724" s="8" t="s">
        <v>337</v>
      </c>
      <c r="AY724" s="8" t="s">
        <v>192</v>
      </c>
      <c r="AZ724" s="8" t="s">
        <v>332</v>
      </c>
      <c r="BA724" s="21">
        <f>IF(OR(tblsales[[#This Row],[Invoice Value USD]]="",tblsales[[#This Row],[Collected Amount USD]]=""),"",tblsales[[#This Row],[Invoice Value USD]]-tblsales[[#This Row],[Collected Amount USD]])</f>
        <v>8190.3701039999978</v>
      </c>
      <c r="BB724" s="21">
        <f>IF(OR(tblsales[[#This Row],[Contract Value USD]]="",tblsales[[#This Row],[Cost Estimate USD]]=""),"",tblsales[[#This Row],[Contract Value USD]]-tblsales[[#This Row],[Cost Estimate USD]])</f>
        <v>166542.12187200005</v>
      </c>
      <c r="BC724" s="21">
        <f>IF(OR(tblsales[[#This Row],[Contract Value USD]]="",tblsales[[#This Row],[Cost Estimate USD]]=""),"",tblsales[[#This Row],[Contract Value USD]]-tblsales[[#This Row],[Cost Estimate USD]])</f>
        <v>166542.12187200005</v>
      </c>
      <c r="BD724" s="23">
        <f>IF(tblsales[[#This Row],[Invoice Value USD]]="","",tblsales[[#This Row],[Collected Amount USD]]/tblsales[[#This Row],[Invoice Value USD]])</f>
        <v>0.77783340430270109</v>
      </c>
      <c r="BE724" s="11">
        <f>IF(tblsales[[#This Row],[SalesStage]]="Won",1,0)</f>
        <v>0</v>
      </c>
      <c r="BF724" s="21" t="str">
        <f>IF(tblsales[[#This Row],[Win Flag]]=1,"Won","Lost")</f>
        <v>Lost</v>
      </c>
      <c r="BG724" s="8"/>
    </row>
    <row r="725" spans="1:59" x14ac:dyDescent="0.3">
      <c r="A725" s="10" t="s">
        <v>2474</v>
      </c>
      <c r="B725" s="9">
        <v>45669</v>
      </c>
      <c r="C725" s="10" t="s">
        <v>264</v>
      </c>
      <c r="D725" s="10" t="s">
        <v>232</v>
      </c>
      <c r="E725" s="10" t="s">
        <v>52</v>
      </c>
      <c r="F725" s="10" t="s">
        <v>332</v>
      </c>
      <c r="G725" s="10" t="s">
        <v>50</v>
      </c>
      <c r="H725" s="10" t="s">
        <v>216</v>
      </c>
      <c r="I725" s="10" t="s">
        <v>203</v>
      </c>
      <c r="J725" s="10" t="s">
        <v>133</v>
      </c>
      <c r="K725" s="10" t="s">
        <v>204</v>
      </c>
      <c r="L725" s="10" t="s">
        <v>2475</v>
      </c>
      <c r="M725" s="9">
        <v>45594</v>
      </c>
      <c r="N725" s="9">
        <v>45725</v>
      </c>
      <c r="O725" s="9"/>
      <c r="P725" s="11">
        <v>60</v>
      </c>
      <c r="Q725" s="12">
        <v>27523084</v>
      </c>
      <c r="R725">
        <v>7494535.7731999997</v>
      </c>
      <c r="S725" s="22">
        <v>0.1</v>
      </c>
      <c r="T725" s="22">
        <v>-0.01</v>
      </c>
      <c r="U725" s="12">
        <v>24523067.84</v>
      </c>
      <c r="V725" s="24">
        <v>6677631.3728319993</v>
      </c>
      <c r="W725" s="8">
        <v>18668072.579999998</v>
      </c>
      <c r="X725" s="24">
        <v>5083316.1635339996</v>
      </c>
      <c r="Y725" s="22">
        <v>0.18</v>
      </c>
      <c r="Z725" s="22">
        <v>0.15</v>
      </c>
      <c r="AA725" s="8"/>
      <c r="AB725" s="8">
        <v>10780951.99</v>
      </c>
      <c r="AC725" s="24">
        <v>2935653.2268769997</v>
      </c>
      <c r="AD725" s="8">
        <v>6861231.4500000002</v>
      </c>
      <c r="AE725" s="24">
        <v>1868313.3238349999</v>
      </c>
      <c r="AF725" s="8">
        <v>60</v>
      </c>
      <c r="AG725" s="8">
        <v>63</v>
      </c>
      <c r="AH725" s="8" t="s">
        <v>329</v>
      </c>
      <c r="AI725" s="8" t="s">
        <v>381</v>
      </c>
      <c r="AJ725" s="22">
        <v>0.34</v>
      </c>
      <c r="AK725" s="8" t="s">
        <v>153</v>
      </c>
      <c r="AL725" s="22">
        <v>0.15</v>
      </c>
      <c r="AM725" s="22">
        <v>7.0000000000000007E-2</v>
      </c>
      <c r="AN725" s="8">
        <v>13</v>
      </c>
      <c r="AO725" s="8">
        <v>581</v>
      </c>
      <c r="AP725" s="8">
        <v>5462976.0499999998</v>
      </c>
      <c r="AQ725" s="24">
        <v>1487568.3784149999</v>
      </c>
      <c r="AR725" s="8">
        <v>10195355.6</v>
      </c>
      <c r="AS725" s="37">
        <v>2776195.3298799996</v>
      </c>
      <c r="AT725" s="8" t="s">
        <v>321</v>
      </c>
      <c r="AU725" s="8" t="s">
        <v>348</v>
      </c>
      <c r="AV725" s="8">
        <v>65.8</v>
      </c>
      <c r="AW725" s="8">
        <v>24</v>
      </c>
      <c r="AX725" s="8" t="s">
        <v>323</v>
      </c>
      <c r="AY725" s="8" t="s">
        <v>224</v>
      </c>
      <c r="AZ725" s="8" t="s">
        <v>377</v>
      </c>
      <c r="BA725" s="21">
        <f>IF(OR(tblsales[[#This Row],[Invoice Value USD]]="",tblsales[[#This Row],[Collected Amount USD]]=""),"",tblsales[[#This Row],[Invoice Value USD]]-tblsales[[#This Row],[Collected Amount USD]])</f>
        <v>1067339.9030419998</v>
      </c>
      <c r="BB725" s="21">
        <f>IF(OR(tblsales[[#This Row],[Contract Value USD]]="",tblsales[[#This Row],[Cost Estimate USD]]=""),"",tblsales[[#This Row],[Contract Value USD]]-tblsales[[#This Row],[Cost Estimate USD]])</f>
        <v>1594315.2092979997</v>
      </c>
      <c r="BC725" s="21">
        <f>IF(OR(tblsales[[#This Row],[Contract Value USD]]="",tblsales[[#This Row],[Cost Estimate USD]]=""),"",tblsales[[#This Row],[Contract Value USD]]-tblsales[[#This Row],[Cost Estimate USD]])</f>
        <v>1594315.2092979997</v>
      </c>
      <c r="BD725" s="23">
        <f>IF(tblsales[[#This Row],[Invoice Value USD]]="","",tblsales[[#This Row],[Collected Amount USD]]/tblsales[[#This Row],[Invoice Value USD]])</f>
        <v>0.63642166817589185</v>
      </c>
      <c r="BE725" s="11">
        <f>IF(tblsales[[#This Row],[SalesStage]]="Won",1,0)</f>
        <v>0</v>
      </c>
      <c r="BF725" s="21" t="str">
        <f>IF(tblsales[[#This Row],[Win Flag]]=1,"Won","Lost")</f>
        <v>Lost</v>
      </c>
      <c r="BG725" s="8"/>
    </row>
    <row r="726" spans="1:59" x14ac:dyDescent="0.3">
      <c r="A726" s="10" t="s">
        <v>2476</v>
      </c>
      <c r="B726" s="9">
        <v>45668</v>
      </c>
      <c r="C726" s="10" t="s">
        <v>280</v>
      </c>
      <c r="D726" s="10" t="s">
        <v>232</v>
      </c>
      <c r="E726" s="10" t="s">
        <v>20</v>
      </c>
      <c r="F726" s="10" t="s">
        <v>31</v>
      </c>
      <c r="G726" s="10" t="s">
        <v>46</v>
      </c>
      <c r="H726" s="10" t="s">
        <v>216</v>
      </c>
      <c r="I726" s="10" t="s">
        <v>246</v>
      </c>
      <c r="J726" s="10" t="s">
        <v>136</v>
      </c>
      <c r="K726" s="10" t="s">
        <v>326</v>
      </c>
      <c r="L726" s="10" t="s">
        <v>2477</v>
      </c>
      <c r="M726" s="9">
        <v>45623</v>
      </c>
      <c r="N726" s="9"/>
      <c r="O726" s="9">
        <v>45763</v>
      </c>
      <c r="P726" s="11">
        <v>21</v>
      </c>
      <c r="Q726" s="12">
        <v>44415906</v>
      </c>
      <c r="R726">
        <v>12094451.2038</v>
      </c>
      <c r="S726" s="22">
        <v>0.09</v>
      </c>
      <c r="T726" s="22">
        <v>0.19</v>
      </c>
      <c r="U726" s="12">
        <v>48097984.609999999</v>
      </c>
      <c r="V726" s="24">
        <v>13097081.209302999</v>
      </c>
      <c r="W726" s="8">
        <v>40331423.229999997</v>
      </c>
      <c r="X726" s="24">
        <v>10982246.545528999</v>
      </c>
      <c r="Y726" s="22">
        <v>0.27</v>
      </c>
      <c r="Z726" s="22">
        <v>0.17</v>
      </c>
      <c r="AA726" s="8" t="s">
        <v>2478</v>
      </c>
      <c r="AB726" s="8">
        <v>7879128.6500000004</v>
      </c>
      <c r="AC726" s="24">
        <v>2145486.7313950001</v>
      </c>
      <c r="AD726" s="8">
        <v>8412077.4499999993</v>
      </c>
      <c r="AE726" s="24">
        <v>2290608.6896349997</v>
      </c>
      <c r="AF726" s="8">
        <v>90</v>
      </c>
      <c r="AG726" s="8">
        <v>72</v>
      </c>
      <c r="AH726" s="8" t="s">
        <v>332</v>
      </c>
      <c r="AI726" s="8" t="s">
        <v>354</v>
      </c>
      <c r="AJ726" s="22">
        <v>0.33</v>
      </c>
      <c r="AK726" s="8" t="s">
        <v>153</v>
      </c>
      <c r="AL726" s="22">
        <v>0.1</v>
      </c>
      <c r="AM726" s="22">
        <v>0.03</v>
      </c>
      <c r="AN726" s="8">
        <v>4</v>
      </c>
      <c r="AO726" s="8">
        <v>2398</v>
      </c>
      <c r="AP726" s="8">
        <v>2883980.56</v>
      </c>
      <c r="AQ726" s="24">
        <v>785307.90648799995</v>
      </c>
      <c r="AR726" s="8">
        <v>15948139.800000001</v>
      </c>
      <c r="AS726" s="37">
        <v>4342678.4675399996</v>
      </c>
      <c r="AT726" s="8" t="s">
        <v>73</v>
      </c>
      <c r="AU726" s="8" t="s">
        <v>332</v>
      </c>
      <c r="AV726" s="8"/>
      <c r="AW726" s="8">
        <v>48</v>
      </c>
      <c r="AX726" s="8" t="s">
        <v>392</v>
      </c>
      <c r="AY726" s="8" t="s">
        <v>186</v>
      </c>
      <c r="AZ726" s="8" t="s">
        <v>324</v>
      </c>
      <c r="BA726" s="21">
        <f>IF(OR(tblsales[[#This Row],[Invoice Value USD]]="",tblsales[[#This Row],[Collected Amount USD]]=""),"",tblsales[[#This Row],[Invoice Value USD]]-tblsales[[#This Row],[Collected Amount USD]])</f>
        <v>-145121.9582399996</v>
      </c>
      <c r="BB726" s="21">
        <f>IF(OR(tblsales[[#This Row],[Contract Value USD]]="",tblsales[[#This Row],[Cost Estimate USD]]=""),"",tblsales[[#This Row],[Contract Value USD]]-tblsales[[#This Row],[Cost Estimate USD]])</f>
        <v>2114834.6637740005</v>
      </c>
      <c r="BC726" s="21">
        <f>IF(OR(tblsales[[#This Row],[Contract Value USD]]="",tblsales[[#This Row],[Cost Estimate USD]]=""),"",tblsales[[#This Row],[Contract Value USD]]-tblsales[[#This Row],[Cost Estimate USD]])</f>
        <v>2114834.6637740005</v>
      </c>
      <c r="BD726" s="23">
        <f>IF(tblsales[[#This Row],[Invoice Value USD]]="","",tblsales[[#This Row],[Collected Amount USD]]/tblsales[[#This Row],[Invoice Value USD]])</f>
        <v>1.0676405759664807</v>
      </c>
      <c r="BE726" s="11">
        <f>IF(tblsales[[#This Row],[SalesStage]]="Won",1,0)</f>
        <v>0</v>
      </c>
      <c r="BF726" s="21" t="str">
        <f>IF(tblsales[[#This Row],[Win Flag]]=1,"Won","Lost")</f>
        <v>Lost</v>
      </c>
      <c r="BG726" s="8"/>
    </row>
    <row r="727" spans="1:59" x14ac:dyDescent="0.3">
      <c r="A727" s="10" t="s">
        <v>2479</v>
      </c>
      <c r="B727" s="9">
        <v>45917</v>
      </c>
      <c r="C727" s="10" t="s">
        <v>252</v>
      </c>
      <c r="D727" s="10" t="s">
        <v>190</v>
      </c>
      <c r="E727" s="10" t="s">
        <v>41</v>
      </c>
      <c r="F727" s="10" t="s">
        <v>350</v>
      </c>
      <c r="G727" s="10" t="s">
        <v>62</v>
      </c>
      <c r="H727" s="10" t="s">
        <v>263</v>
      </c>
      <c r="I727" s="10" t="s">
        <v>213</v>
      </c>
      <c r="J727" s="10" t="s">
        <v>130</v>
      </c>
      <c r="K727" s="10" t="s">
        <v>199</v>
      </c>
      <c r="L727" s="10" t="s">
        <v>2480</v>
      </c>
      <c r="M727" s="9">
        <v>45724</v>
      </c>
      <c r="N727" s="9">
        <v>45946</v>
      </c>
      <c r="O727" s="9">
        <v>45949</v>
      </c>
      <c r="P727" s="11">
        <v>16</v>
      </c>
      <c r="Q727" s="12">
        <v>23597746</v>
      </c>
      <c r="R727">
        <v>6425666.2357999999</v>
      </c>
      <c r="S727" s="22">
        <v>0.34</v>
      </c>
      <c r="T727" s="22">
        <v>7.0000000000000007E-2</v>
      </c>
      <c r="U727" s="12">
        <v>16664728.23</v>
      </c>
      <c r="V727" s="24">
        <v>4537805.497029</v>
      </c>
      <c r="W727" s="8">
        <v>13667151.720000001</v>
      </c>
      <c r="X727" s="24">
        <v>3721565.4133560001</v>
      </c>
      <c r="Y727" s="22">
        <v>0.26</v>
      </c>
      <c r="Z727" s="22">
        <v>0.09</v>
      </c>
      <c r="AA727" s="8" t="s">
        <v>2481</v>
      </c>
      <c r="AB727" s="8">
        <v>11808531.689999999</v>
      </c>
      <c r="AC727" s="24">
        <v>3215463.1791869998</v>
      </c>
      <c r="AD727" s="8">
        <v>12682469.880000001</v>
      </c>
      <c r="AE727" s="24">
        <v>3453436.5483240001</v>
      </c>
      <c r="AF727" s="8">
        <v>45</v>
      </c>
      <c r="AG727" s="8">
        <v>73</v>
      </c>
      <c r="AH727" s="8" t="s">
        <v>347</v>
      </c>
      <c r="AI727" s="8" t="s">
        <v>381</v>
      </c>
      <c r="AJ727" s="22">
        <v>0.53</v>
      </c>
      <c r="AK727" s="8" t="s">
        <v>153</v>
      </c>
      <c r="AL727" s="22">
        <v>0.05</v>
      </c>
      <c r="AM727" s="22">
        <v>0.01</v>
      </c>
      <c r="AN727" s="8">
        <v>11</v>
      </c>
      <c r="AO727" s="8">
        <v>178</v>
      </c>
      <c r="AP727" s="8">
        <v>1135407.6200000001</v>
      </c>
      <c r="AQ727" s="24">
        <v>309171.49492600001</v>
      </c>
      <c r="AR727" s="8">
        <v>7217474.5800000001</v>
      </c>
      <c r="AS727" s="37">
        <v>1965318.3281339998</v>
      </c>
      <c r="AT727" s="8" t="s">
        <v>332</v>
      </c>
      <c r="AU727" s="8" t="s">
        <v>386</v>
      </c>
      <c r="AV727" s="8">
        <v>77</v>
      </c>
      <c r="AW727" s="8">
        <v>24</v>
      </c>
      <c r="AX727" s="8" t="s">
        <v>392</v>
      </c>
      <c r="AY727" s="8" t="s">
        <v>224</v>
      </c>
      <c r="AZ727" s="8" t="s">
        <v>377</v>
      </c>
      <c r="BA727" s="21">
        <f>IF(OR(tblsales[[#This Row],[Invoice Value USD]]="",tblsales[[#This Row],[Collected Amount USD]]=""),"",tblsales[[#This Row],[Invoice Value USD]]-tblsales[[#This Row],[Collected Amount USD]])</f>
        <v>-237973.36913700029</v>
      </c>
      <c r="BB727" s="21">
        <f>IF(OR(tblsales[[#This Row],[Contract Value USD]]="",tblsales[[#This Row],[Cost Estimate USD]]=""),"",tblsales[[#This Row],[Contract Value USD]]-tblsales[[#This Row],[Cost Estimate USD]])</f>
        <v>816240.08367299987</v>
      </c>
      <c r="BC727" s="21">
        <f>IF(OR(tblsales[[#This Row],[Contract Value USD]]="",tblsales[[#This Row],[Cost Estimate USD]]=""),"",tblsales[[#This Row],[Contract Value USD]]-tblsales[[#This Row],[Cost Estimate USD]])</f>
        <v>816240.08367299987</v>
      </c>
      <c r="BD727" s="23">
        <f>IF(tblsales[[#This Row],[Invoice Value USD]]="","",tblsales[[#This Row],[Collected Amount USD]]/tblsales[[#This Row],[Invoice Value USD]])</f>
        <v>1.0740090481139235</v>
      </c>
      <c r="BE727" s="11">
        <f>IF(tblsales[[#This Row],[SalesStage]]="Won",1,0)</f>
        <v>0</v>
      </c>
      <c r="BF727" s="21" t="str">
        <f>IF(tblsales[[#This Row],[Win Flag]]=1,"Won","Lost")</f>
        <v>Lost</v>
      </c>
      <c r="BG727" s="8"/>
    </row>
    <row r="728" spans="1:59" x14ac:dyDescent="0.3">
      <c r="A728" s="10" t="s">
        <v>2482</v>
      </c>
      <c r="B728" s="9">
        <v>45706</v>
      </c>
      <c r="C728" s="10" t="s">
        <v>275</v>
      </c>
      <c r="D728" s="10" t="s">
        <v>265</v>
      </c>
      <c r="E728" s="10" t="s">
        <v>36</v>
      </c>
      <c r="F728" s="10" t="s">
        <v>339</v>
      </c>
      <c r="G728" s="10" t="s">
        <v>46</v>
      </c>
      <c r="H728" s="10" t="s">
        <v>212</v>
      </c>
      <c r="I728" s="10" t="s">
        <v>198</v>
      </c>
      <c r="J728" s="10" t="s">
        <v>115</v>
      </c>
      <c r="K728" s="10" t="s">
        <v>199</v>
      </c>
      <c r="L728" s="10" t="s">
        <v>2483</v>
      </c>
      <c r="M728" s="9">
        <v>45671</v>
      </c>
      <c r="N728" s="9">
        <v>45734</v>
      </c>
      <c r="O728" s="9"/>
      <c r="P728" s="11">
        <v>41</v>
      </c>
      <c r="Q728" s="12">
        <v>44492318</v>
      </c>
      <c r="R728">
        <v>51655581.197999999</v>
      </c>
      <c r="S728" s="22">
        <v>0.18</v>
      </c>
      <c r="T728" s="22">
        <v>0.03</v>
      </c>
      <c r="U728" s="12">
        <v>37578211.780000001</v>
      </c>
      <c r="V728" s="24">
        <v>43628303.87658</v>
      </c>
      <c r="W728" s="8">
        <v>25425429.420000002</v>
      </c>
      <c r="X728" s="24">
        <v>29518923.556620002</v>
      </c>
      <c r="Y728" s="22">
        <v>0.22</v>
      </c>
      <c r="Z728" s="22">
        <v>0.14000000000000001</v>
      </c>
      <c r="AA728" s="8" t="s">
        <v>2484</v>
      </c>
      <c r="AB728" s="8">
        <v>10265971.560000001</v>
      </c>
      <c r="AC728" s="24">
        <v>11918792.981160002</v>
      </c>
      <c r="AD728" s="8">
        <v>7151571.6600000001</v>
      </c>
      <c r="AE728" s="24">
        <v>8302974.6972600007</v>
      </c>
      <c r="AF728" s="8">
        <v>120</v>
      </c>
      <c r="AG728" s="8">
        <v>130</v>
      </c>
      <c r="AH728" s="8" t="s">
        <v>342</v>
      </c>
      <c r="AI728" s="8" t="s">
        <v>406</v>
      </c>
      <c r="AJ728" s="22">
        <v>0.6</v>
      </c>
      <c r="AK728" s="8" t="s">
        <v>159</v>
      </c>
      <c r="AL728" s="22">
        <v>0.1</v>
      </c>
      <c r="AM728" s="22">
        <v>7.0000000000000007E-2</v>
      </c>
      <c r="AN728" s="8">
        <v>14</v>
      </c>
      <c r="AO728" s="8">
        <v>2703</v>
      </c>
      <c r="AP728" s="8">
        <v>9139786.1799999997</v>
      </c>
      <c r="AQ728" s="24">
        <v>10611291.75498</v>
      </c>
      <c r="AR728" s="8">
        <v>12610004.07</v>
      </c>
      <c r="AS728" s="37">
        <v>14640214.725270001</v>
      </c>
      <c r="AT728" s="8" t="s">
        <v>73</v>
      </c>
      <c r="AU728" s="8" t="s">
        <v>332</v>
      </c>
      <c r="AV728" s="8">
        <v>82</v>
      </c>
      <c r="AW728" s="8">
        <v>24</v>
      </c>
      <c r="AX728" s="8" t="s">
        <v>332</v>
      </c>
      <c r="AY728" s="8" t="s">
        <v>186</v>
      </c>
      <c r="AZ728" s="8" t="s">
        <v>361</v>
      </c>
      <c r="BA728" s="21">
        <f>IF(OR(tblsales[[#This Row],[Invoice Value USD]]="",tblsales[[#This Row],[Collected Amount USD]]=""),"",tblsales[[#This Row],[Invoice Value USD]]-tblsales[[#This Row],[Collected Amount USD]])</f>
        <v>3615818.2839000011</v>
      </c>
      <c r="BB728" s="21">
        <f>IF(OR(tblsales[[#This Row],[Contract Value USD]]="",tblsales[[#This Row],[Cost Estimate USD]]=""),"",tblsales[[#This Row],[Contract Value USD]]-tblsales[[#This Row],[Cost Estimate USD]])</f>
        <v>14109380.319959998</v>
      </c>
      <c r="BC728" s="21">
        <f>IF(OR(tblsales[[#This Row],[Contract Value USD]]="",tblsales[[#This Row],[Cost Estimate USD]]=""),"",tblsales[[#This Row],[Contract Value USD]]-tblsales[[#This Row],[Cost Estimate USD]])</f>
        <v>14109380.319959998</v>
      </c>
      <c r="BD728" s="23">
        <f>IF(tblsales[[#This Row],[Invoice Value USD]]="","",tblsales[[#This Row],[Collected Amount USD]]/tblsales[[#This Row],[Invoice Value USD]])</f>
        <v>0.69662882058480979</v>
      </c>
      <c r="BE728" s="11">
        <f>IF(tblsales[[#This Row],[SalesStage]]="Won",1,0)</f>
        <v>0</v>
      </c>
      <c r="BF728" s="21" t="str">
        <f>IF(tblsales[[#This Row],[Win Flag]]=1,"Won","Lost")</f>
        <v>Lost</v>
      </c>
      <c r="BG728" s="8"/>
    </row>
    <row r="729" spans="1:59" x14ac:dyDescent="0.3">
      <c r="A729" s="10" t="s">
        <v>2485</v>
      </c>
      <c r="B729" s="9">
        <v>45713</v>
      </c>
      <c r="C729" s="10" t="s">
        <v>272</v>
      </c>
      <c r="D729" s="10" t="s">
        <v>215</v>
      </c>
      <c r="E729" s="10" t="s">
        <v>52</v>
      </c>
      <c r="F729" s="10" t="s">
        <v>75</v>
      </c>
      <c r="G729" s="10" t="s">
        <v>70</v>
      </c>
      <c r="H729" s="10" t="s">
        <v>263</v>
      </c>
      <c r="I729" s="10" t="s">
        <v>198</v>
      </c>
      <c r="J729" s="10" t="s">
        <v>133</v>
      </c>
      <c r="K729" s="10" t="s">
        <v>333</v>
      </c>
      <c r="L729" s="10" t="s">
        <v>2486</v>
      </c>
      <c r="M729" s="9">
        <v>45691</v>
      </c>
      <c r="N729" s="9">
        <v>45760</v>
      </c>
      <c r="O729" s="9"/>
      <c r="P729" s="11">
        <v>44</v>
      </c>
      <c r="Q729" s="12">
        <v>45757715</v>
      </c>
      <c r="R729">
        <v>45757715</v>
      </c>
      <c r="S729" s="22">
        <v>0.28000000000000003</v>
      </c>
      <c r="T729" s="22">
        <v>0.09</v>
      </c>
      <c r="U729" s="12">
        <v>35910654.729999997</v>
      </c>
      <c r="V729" s="24">
        <v>35910654.729999997</v>
      </c>
      <c r="W729" s="8">
        <v>31681606.07</v>
      </c>
      <c r="X729" s="24">
        <v>31681606.07</v>
      </c>
      <c r="Y729" s="22">
        <v>0.33</v>
      </c>
      <c r="Z729" s="22">
        <v>0.08</v>
      </c>
      <c r="AA729" s="8" t="s">
        <v>2487</v>
      </c>
      <c r="AB729" s="8">
        <v>8649127.2400000002</v>
      </c>
      <c r="AC729" s="24">
        <v>8649127.2400000002</v>
      </c>
      <c r="AD729" s="8">
        <v>6102421.29</v>
      </c>
      <c r="AE729" s="24">
        <v>6102421.29</v>
      </c>
      <c r="AF729" s="8">
        <v>60</v>
      </c>
      <c r="AG729" s="8">
        <v>116</v>
      </c>
      <c r="AH729" s="8" t="s">
        <v>347</v>
      </c>
      <c r="AI729" s="8" t="s">
        <v>226</v>
      </c>
      <c r="AJ729" s="22">
        <v>0.96</v>
      </c>
      <c r="AK729" s="8" t="s">
        <v>152</v>
      </c>
      <c r="AL729" s="22">
        <v>0.15</v>
      </c>
      <c r="AM729" s="22">
        <v>0.02</v>
      </c>
      <c r="AN729" s="8">
        <v>5</v>
      </c>
      <c r="AO729" s="8">
        <v>786</v>
      </c>
      <c r="AP729" s="8">
        <v>3852343.19</v>
      </c>
      <c r="AQ729" s="24">
        <v>3852343.19</v>
      </c>
      <c r="AR729" s="8">
        <v>5637943.0300000003</v>
      </c>
      <c r="AS729" s="37">
        <v>5637943.0300000003</v>
      </c>
      <c r="AT729" s="8" t="s">
        <v>73</v>
      </c>
      <c r="AU729" s="8" t="s">
        <v>386</v>
      </c>
      <c r="AV729" s="8">
        <v>66.5</v>
      </c>
      <c r="AW729" s="8">
        <v>12</v>
      </c>
      <c r="AX729" s="8" t="s">
        <v>387</v>
      </c>
      <c r="AY729" s="8" t="s">
        <v>206</v>
      </c>
      <c r="AZ729" s="8" t="s">
        <v>361</v>
      </c>
      <c r="BA729" s="21">
        <f>IF(OR(tblsales[[#This Row],[Invoice Value USD]]="",tblsales[[#This Row],[Collected Amount USD]]=""),"",tblsales[[#This Row],[Invoice Value USD]]-tblsales[[#This Row],[Collected Amount USD]])</f>
        <v>2546705.9500000002</v>
      </c>
      <c r="BB729" s="21">
        <f>IF(OR(tblsales[[#This Row],[Contract Value USD]]="",tblsales[[#This Row],[Cost Estimate USD]]=""),"",tblsales[[#This Row],[Contract Value USD]]-tblsales[[#This Row],[Cost Estimate USD]])</f>
        <v>4229048.6599999964</v>
      </c>
      <c r="BC729" s="21">
        <f>IF(OR(tblsales[[#This Row],[Contract Value USD]]="",tblsales[[#This Row],[Cost Estimate USD]]=""),"",tblsales[[#This Row],[Contract Value USD]]-tblsales[[#This Row],[Cost Estimate USD]])</f>
        <v>4229048.6599999964</v>
      </c>
      <c r="BD729" s="23">
        <f>IF(tblsales[[#This Row],[Invoice Value USD]]="","",tblsales[[#This Row],[Collected Amount USD]]/tblsales[[#This Row],[Invoice Value USD]])</f>
        <v>0.70555341835854413</v>
      </c>
      <c r="BE729" s="11">
        <f>IF(tblsales[[#This Row],[SalesStage]]="Won",1,0)</f>
        <v>0</v>
      </c>
      <c r="BF729" s="21" t="str">
        <f>IF(tblsales[[#This Row],[Win Flag]]=1,"Won","Lost")</f>
        <v>Lost</v>
      </c>
      <c r="BG729" s="8"/>
    </row>
    <row r="730" spans="1:59" x14ac:dyDescent="0.3">
      <c r="A730" s="10" t="s">
        <v>2488</v>
      </c>
      <c r="B730" s="9">
        <v>45695</v>
      </c>
      <c r="C730" s="10" t="s">
        <v>231</v>
      </c>
      <c r="D730" s="10" t="s">
        <v>215</v>
      </c>
      <c r="E730" s="10" t="s">
        <v>41</v>
      </c>
      <c r="F730" s="10" t="s">
        <v>228</v>
      </c>
      <c r="G730" s="10" t="s">
        <v>16</v>
      </c>
      <c r="H730" s="10" t="s">
        <v>212</v>
      </c>
      <c r="I730" s="10" t="s">
        <v>203</v>
      </c>
      <c r="J730" s="10" t="s">
        <v>130</v>
      </c>
      <c r="K730" s="10" t="s">
        <v>333</v>
      </c>
      <c r="L730" s="10" t="s">
        <v>2489</v>
      </c>
      <c r="M730" s="9">
        <v>45934</v>
      </c>
      <c r="N730" s="9" t="s">
        <v>2490</v>
      </c>
      <c r="O730" s="9">
        <v>45919</v>
      </c>
      <c r="P730" s="11">
        <v>35</v>
      </c>
      <c r="Q730" s="12">
        <v>35217665</v>
      </c>
      <c r="R730">
        <v>35217665</v>
      </c>
      <c r="S730" s="22">
        <v>0.24</v>
      </c>
      <c r="T730" s="22">
        <v>0.14000000000000001</v>
      </c>
      <c r="U730" s="12">
        <v>30512584.960000001</v>
      </c>
      <c r="V730" s="24">
        <v>30512584.960000001</v>
      </c>
      <c r="W730" s="8">
        <v>22662268.920000002</v>
      </c>
      <c r="X730" s="24">
        <v>22662268.920000002</v>
      </c>
      <c r="Y730" s="22">
        <v>0.08</v>
      </c>
      <c r="Z730" s="22">
        <v>0.18</v>
      </c>
      <c r="AA730" s="8" t="s">
        <v>2491</v>
      </c>
      <c r="AB730" s="8">
        <v>24294259.390000001</v>
      </c>
      <c r="AC730" s="24">
        <v>24294259.390000001</v>
      </c>
      <c r="AD730" s="8">
        <v>8384456.6500000004</v>
      </c>
      <c r="AE730" s="24">
        <v>8384456.6500000004</v>
      </c>
      <c r="AF730" s="8">
        <v>30</v>
      </c>
      <c r="AG730" s="8">
        <v>90</v>
      </c>
      <c r="AH730" s="8" t="s">
        <v>353</v>
      </c>
      <c r="AI730" s="8" t="s">
        <v>354</v>
      </c>
      <c r="AJ730" s="22">
        <v>0.16</v>
      </c>
      <c r="AK730" s="8" t="s">
        <v>152</v>
      </c>
      <c r="AL730" s="22">
        <v>0.05</v>
      </c>
      <c r="AM730" s="22">
        <v>0.09</v>
      </c>
      <c r="AN730" s="8">
        <v>7</v>
      </c>
      <c r="AO730" s="8">
        <v>225</v>
      </c>
      <c r="AP730" s="8">
        <v>3740696.03</v>
      </c>
      <c r="AQ730" s="24">
        <v>3740696.03</v>
      </c>
      <c r="AR730" s="8">
        <v>4235460.9400000004</v>
      </c>
      <c r="AS730" s="37">
        <v>4235460.9400000004</v>
      </c>
      <c r="AT730" s="8" t="s">
        <v>391</v>
      </c>
      <c r="AU730" s="8" t="s">
        <v>322</v>
      </c>
      <c r="AV730" s="8">
        <v>88</v>
      </c>
      <c r="AW730" s="8">
        <v>36</v>
      </c>
      <c r="AX730" s="8" t="s">
        <v>323</v>
      </c>
      <c r="AY730" s="8" t="s">
        <v>186</v>
      </c>
      <c r="AZ730" s="8" t="s">
        <v>324</v>
      </c>
      <c r="BA730" s="21">
        <f>IF(OR(tblsales[[#This Row],[Invoice Value USD]]="",tblsales[[#This Row],[Collected Amount USD]]=""),"",tblsales[[#This Row],[Invoice Value USD]]-tblsales[[#This Row],[Collected Amount USD]])</f>
        <v>15909802.74</v>
      </c>
      <c r="BB730" s="21">
        <f>IF(OR(tblsales[[#This Row],[Contract Value USD]]="",tblsales[[#This Row],[Cost Estimate USD]]=""),"",tblsales[[#This Row],[Contract Value USD]]-tblsales[[#This Row],[Cost Estimate USD]])</f>
        <v>7850316.0399999991</v>
      </c>
      <c r="BC730" s="21">
        <f>IF(OR(tblsales[[#This Row],[Contract Value USD]]="",tblsales[[#This Row],[Cost Estimate USD]]=""),"",tblsales[[#This Row],[Contract Value USD]]-tblsales[[#This Row],[Cost Estimate USD]])</f>
        <v>7850316.0399999991</v>
      </c>
      <c r="BD730" s="23">
        <f>IF(tblsales[[#This Row],[Invoice Value USD]]="","",tblsales[[#This Row],[Collected Amount USD]]/tblsales[[#This Row],[Invoice Value USD]])</f>
        <v>0.34512089936156726</v>
      </c>
      <c r="BE730" s="11">
        <f>IF(tblsales[[#This Row],[SalesStage]]="Won",1,0)</f>
        <v>0</v>
      </c>
      <c r="BF730" s="21" t="str">
        <f>IF(tblsales[[#This Row],[Win Flag]]=1,"Won","Lost")</f>
        <v>Lost</v>
      </c>
      <c r="BG730" s="8"/>
    </row>
    <row r="731" spans="1:59" x14ac:dyDescent="0.3">
      <c r="A731" s="10" t="s">
        <v>2492</v>
      </c>
      <c r="B731" s="9">
        <v>45819</v>
      </c>
      <c r="C731" s="10" t="s">
        <v>267</v>
      </c>
      <c r="D731" s="10" t="s">
        <v>248</v>
      </c>
      <c r="E731" s="10" t="s">
        <v>332</v>
      </c>
      <c r="F731" s="10" t="s">
        <v>75</v>
      </c>
      <c r="G731" s="10" t="s">
        <v>66</v>
      </c>
      <c r="H731" s="10" t="s">
        <v>263</v>
      </c>
      <c r="I731" s="10" t="s">
        <v>332</v>
      </c>
      <c r="J731" s="10" t="s">
        <v>99</v>
      </c>
      <c r="K731" s="10" t="s">
        <v>204</v>
      </c>
      <c r="L731" s="10" t="s">
        <v>2493</v>
      </c>
      <c r="M731" s="9">
        <v>45765</v>
      </c>
      <c r="N731" s="9">
        <v>45826</v>
      </c>
      <c r="O731" s="9">
        <v>45860</v>
      </c>
      <c r="P731" s="11">
        <v>4</v>
      </c>
      <c r="Q731" s="12">
        <v>45735523</v>
      </c>
      <c r="R731">
        <v>12453782.912899999</v>
      </c>
      <c r="S731" s="22">
        <v>0.21</v>
      </c>
      <c r="T731" s="22">
        <v>0.19</v>
      </c>
      <c r="U731" s="12">
        <v>42995965.170000002</v>
      </c>
      <c r="V731" s="24">
        <v>11707801.315791</v>
      </c>
      <c r="W731" s="8">
        <v>33266649.879999999</v>
      </c>
      <c r="X731" s="24">
        <v>9058508.7623239998</v>
      </c>
      <c r="Y731" s="22">
        <v>0.34</v>
      </c>
      <c r="Z731" s="22">
        <v>0.11</v>
      </c>
      <c r="AA731" s="8" t="s">
        <v>2494</v>
      </c>
      <c r="AB731" s="8">
        <v>30029973.809999999</v>
      </c>
      <c r="AC731" s="24">
        <v>8177161.8684629994</v>
      </c>
      <c r="AD731" s="8">
        <v>18242947.399999999</v>
      </c>
      <c r="AE731" s="24">
        <v>4967554.5770199997</v>
      </c>
      <c r="AF731" s="8">
        <v>60</v>
      </c>
      <c r="AG731" s="8">
        <v>172</v>
      </c>
      <c r="AH731" s="8" t="s">
        <v>347</v>
      </c>
      <c r="AI731" s="8" t="s">
        <v>406</v>
      </c>
      <c r="AJ731" s="22">
        <v>0.24</v>
      </c>
      <c r="AK731" s="8" t="s">
        <v>153</v>
      </c>
      <c r="AL731" s="22">
        <v>0.1</v>
      </c>
      <c r="AM731" s="22">
        <v>0.01</v>
      </c>
      <c r="AN731" s="8">
        <v>4</v>
      </c>
      <c r="AO731" s="8">
        <v>3093</v>
      </c>
      <c r="AP731" s="8">
        <v>10438768.17</v>
      </c>
      <c r="AQ731" s="24">
        <v>2842476.5726910001</v>
      </c>
      <c r="AR731" s="8">
        <v>5238494.46</v>
      </c>
      <c r="AS731" s="37">
        <v>1426442.041458</v>
      </c>
      <c r="AT731" s="8" t="s">
        <v>385</v>
      </c>
      <c r="AU731" s="8" t="s">
        <v>330</v>
      </c>
      <c r="AV731" s="8">
        <v>53.9</v>
      </c>
      <c r="AW731" s="8">
        <v>36</v>
      </c>
      <c r="AX731" s="8" t="s">
        <v>392</v>
      </c>
      <c r="AY731" s="8" t="s">
        <v>229</v>
      </c>
      <c r="AZ731" s="8" t="s">
        <v>377</v>
      </c>
      <c r="BA731" s="21">
        <f>IF(OR(tblsales[[#This Row],[Invoice Value USD]]="",tblsales[[#This Row],[Collected Amount USD]]=""),"",tblsales[[#This Row],[Invoice Value USD]]-tblsales[[#This Row],[Collected Amount USD]])</f>
        <v>3209607.2914429996</v>
      </c>
      <c r="BB731" s="21">
        <f>IF(OR(tblsales[[#This Row],[Contract Value USD]]="",tblsales[[#This Row],[Cost Estimate USD]]=""),"",tblsales[[#This Row],[Contract Value USD]]-tblsales[[#This Row],[Cost Estimate USD]])</f>
        <v>2649292.5534669999</v>
      </c>
      <c r="BC731" s="21">
        <f>IF(OR(tblsales[[#This Row],[Contract Value USD]]="",tblsales[[#This Row],[Cost Estimate USD]]=""),"",tblsales[[#This Row],[Contract Value USD]]-tblsales[[#This Row],[Cost Estimate USD]])</f>
        <v>2649292.5534669999</v>
      </c>
      <c r="BD731" s="23">
        <f>IF(tblsales[[#This Row],[Invoice Value USD]]="","",tblsales[[#This Row],[Collected Amount USD]]/tblsales[[#This Row],[Invoice Value USD]])</f>
        <v>0.60749128572083833</v>
      </c>
      <c r="BE731" s="11">
        <f>IF(tblsales[[#This Row],[SalesStage]]="Won",1,0)</f>
        <v>0</v>
      </c>
      <c r="BF731" s="21" t="str">
        <f>IF(tblsales[[#This Row],[Win Flag]]=1,"Won","Lost")</f>
        <v>Lost</v>
      </c>
      <c r="BG731" s="8"/>
    </row>
    <row r="732" spans="1:59" x14ac:dyDescent="0.3">
      <c r="A732" s="10" t="s">
        <v>2495</v>
      </c>
      <c r="B732" s="9">
        <v>45851</v>
      </c>
      <c r="C732" s="10" t="s">
        <v>286</v>
      </c>
      <c r="D732" s="10" t="s">
        <v>265</v>
      </c>
      <c r="E732" s="10" t="s">
        <v>113</v>
      </c>
      <c r="F732" s="10" t="s">
        <v>181</v>
      </c>
      <c r="G732" s="10" t="s">
        <v>23</v>
      </c>
      <c r="H732" s="10" t="s">
        <v>332</v>
      </c>
      <c r="I732" s="10" t="s">
        <v>198</v>
      </c>
      <c r="J732" s="10" t="s">
        <v>111</v>
      </c>
      <c r="K732" s="10" t="s">
        <v>326</v>
      </c>
      <c r="L732" s="10" t="s">
        <v>2496</v>
      </c>
      <c r="M732" s="9">
        <v>45936</v>
      </c>
      <c r="N732" s="9">
        <v>45882</v>
      </c>
      <c r="O732" s="9">
        <v>45893</v>
      </c>
      <c r="P732" s="11">
        <v>24</v>
      </c>
      <c r="Q732" s="12">
        <v>46799427</v>
      </c>
      <c r="R732">
        <v>12743483.972099999</v>
      </c>
      <c r="S732" s="22">
        <v>0.11</v>
      </c>
      <c r="T732" s="22">
        <v>0.04</v>
      </c>
      <c r="U732" s="12">
        <v>43317549.630000003</v>
      </c>
      <c r="V732" s="24">
        <v>11795368.764249001</v>
      </c>
      <c r="W732" s="8">
        <v>36873446.560000002</v>
      </c>
      <c r="X732" s="24">
        <v>10040639.498288</v>
      </c>
      <c r="Y732" s="22">
        <v>0.34</v>
      </c>
      <c r="Z732" s="22">
        <v>0.17</v>
      </c>
      <c r="AA732" s="8" t="s">
        <v>2497</v>
      </c>
      <c r="AB732" s="8">
        <v>33247678.469999999</v>
      </c>
      <c r="AC732" s="24">
        <v>9053342.8473809995</v>
      </c>
      <c r="AD732" s="8">
        <v>32476130.77</v>
      </c>
      <c r="AE732" s="24">
        <v>8843250.4086709991</v>
      </c>
      <c r="AF732" s="8">
        <v>90</v>
      </c>
      <c r="AG732" s="8">
        <v>93</v>
      </c>
      <c r="AH732" s="8" t="s">
        <v>376</v>
      </c>
      <c r="AI732" s="8" t="s">
        <v>354</v>
      </c>
      <c r="AJ732" s="22">
        <v>0.75</v>
      </c>
      <c r="AK732" s="8" t="s">
        <v>153</v>
      </c>
      <c r="AL732" s="22">
        <v>0.05</v>
      </c>
      <c r="AM732" s="22">
        <v>0.08</v>
      </c>
      <c r="AN732" s="8">
        <v>15</v>
      </c>
      <c r="AO732" s="8">
        <v>4030</v>
      </c>
      <c r="AP732" s="8">
        <v>1566770.89</v>
      </c>
      <c r="AQ732" s="24">
        <v>426631.71334699995</v>
      </c>
      <c r="AR732" s="8">
        <v>11572039.92</v>
      </c>
      <c r="AS732" s="37">
        <v>3151066.470216</v>
      </c>
      <c r="AT732" s="8" t="s">
        <v>73</v>
      </c>
      <c r="AU732" s="8" t="s">
        <v>386</v>
      </c>
      <c r="AV732" s="8">
        <v>93.8</v>
      </c>
      <c r="AW732" s="8">
        <v>12</v>
      </c>
      <c r="AX732" s="8" t="s">
        <v>323</v>
      </c>
      <c r="AY732" s="8" t="s">
        <v>192</v>
      </c>
      <c r="AZ732" s="8" t="s">
        <v>361</v>
      </c>
      <c r="BA732" s="21">
        <f>IF(OR(tblsales[[#This Row],[Invoice Value USD]]="",tblsales[[#This Row],[Collected Amount USD]]=""),"",tblsales[[#This Row],[Invoice Value USD]]-tblsales[[#This Row],[Collected Amount USD]])</f>
        <v>210092.43871000037</v>
      </c>
      <c r="BB732" s="21">
        <f>IF(OR(tblsales[[#This Row],[Contract Value USD]]="",tblsales[[#This Row],[Cost Estimate USD]]=""),"",tblsales[[#This Row],[Contract Value USD]]-tblsales[[#This Row],[Cost Estimate USD]])</f>
        <v>1754729.2659610007</v>
      </c>
      <c r="BC732" s="21">
        <f>IF(OR(tblsales[[#This Row],[Contract Value USD]]="",tblsales[[#This Row],[Cost Estimate USD]]=""),"",tblsales[[#This Row],[Contract Value USD]]-tblsales[[#This Row],[Cost Estimate USD]])</f>
        <v>1754729.2659610007</v>
      </c>
      <c r="BD732" s="23">
        <f>IF(tblsales[[#This Row],[Invoice Value USD]]="","",tblsales[[#This Row],[Collected Amount USD]]/tblsales[[#This Row],[Invoice Value USD]])</f>
        <v>0.97679393763699374</v>
      </c>
      <c r="BE732" s="11">
        <f>IF(tblsales[[#This Row],[SalesStage]]="Won",1,0)</f>
        <v>0</v>
      </c>
      <c r="BF732" s="21" t="str">
        <f>IF(tblsales[[#This Row],[Win Flag]]=1,"Won","Lost")</f>
        <v>Lost</v>
      </c>
      <c r="BG732" s="8"/>
    </row>
    <row r="733" spans="1:59" x14ac:dyDescent="0.3">
      <c r="A733" s="10" t="s">
        <v>2498</v>
      </c>
      <c r="B733" s="9">
        <v>45683</v>
      </c>
      <c r="C733" s="10" t="s">
        <v>214</v>
      </c>
      <c r="D733" s="10" t="s">
        <v>220</v>
      </c>
      <c r="E733" s="10" t="s">
        <v>113</v>
      </c>
      <c r="F733" s="10" t="s">
        <v>367</v>
      </c>
      <c r="G733" s="10" t="s">
        <v>62</v>
      </c>
      <c r="H733" s="10" t="s">
        <v>216</v>
      </c>
      <c r="I733" s="10" t="s">
        <v>332</v>
      </c>
      <c r="J733" s="10" t="s">
        <v>127</v>
      </c>
      <c r="K733" s="10" t="s">
        <v>326</v>
      </c>
      <c r="L733" s="10" t="s">
        <v>2499</v>
      </c>
      <c r="M733" s="9">
        <v>45931</v>
      </c>
      <c r="N733" s="9"/>
      <c r="O733" s="9">
        <v>45780</v>
      </c>
      <c r="P733" s="11">
        <v>58</v>
      </c>
      <c r="Q733" s="12">
        <v>29179668</v>
      </c>
      <c r="R733">
        <v>29179668</v>
      </c>
      <c r="S733" s="22">
        <v>0.15</v>
      </c>
      <c r="T733" s="22">
        <v>0.05</v>
      </c>
      <c r="U733" s="12">
        <v>26042853.690000001</v>
      </c>
      <c r="V733" s="24">
        <v>26042853.690000001</v>
      </c>
      <c r="W733" s="8">
        <v>17336633.379999999</v>
      </c>
      <c r="X733" s="24">
        <v>17336633.379999999</v>
      </c>
      <c r="Y733" s="22">
        <v>0.31</v>
      </c>
      <c r="Z733" s="22">
        <v>0.13</v>
      </c>
      <c r="AA733" s="8" t="s">
        <v>2500</v>
      </c>
      <c r="AB733" s="8">
        <v>2510393.92</v>
      </c>
      <c r="AC733" s="24">
        <v>2510393.92</v>
      </c>
      <c r="AD733" s="8">
        <v>1623652.8</v>
      </c>
      <c r="AE733" s="24">
        <v>1623652.8</v>
      </c>
      <c r="AF733" s="8">
        <v>90</v>
      </c>
      <c r="AG733" s="8">
        <v>15</v>
      </c>
      <c r="AH733" s="8" t="s">
        <v>376</v>
      </c>
      <c r="AI733" s="8" t="s">
        <v>336</v>
      </c>
      <c r="AJ733" s="22">
        <v>0.36</v>
      </c>
      <c r="AK733" s="8" t="s">
        <v>152</v>
      </c>
      <c r="AL733" s="22">
        <v>0.05</v>
      </c>
      <c r="AM733" s="22">
        <v>0.03</v>
      </c>
      <c r="AN733" s="8">
        <v>3</v>
      </c>
      <c r="AO733" s="8">
        <v>1264</v>
      </c>
      <c r="AP733" s="8">
        <v>1819435.3</v>
      </c>
      <c r="AQ733" s="24">
        <v>1819435.3</v>
      </c>
      <c r="AR733" s="8">
        <v>6805183.96</v>
      </c>
      <c r="AS733" s="37">
        <v>6805183.96</v>
      </c>
      <c r="AT733" s="8" t="s">
        <v>73</v>
      </c>
      <c r="AU733" s="8" t="s">
        <v>386</v>
      </c>
      <c r="AV733" s="8">
        <v>72.599999999999994</v>
      </c>
      <c r="AW733" s="8">
        <v>48</v>
      </c>
      <c r="AX733" s="8" t="s">
        <v>387</v>
      </c>
      <c r="AY733" s="8" t="s">
        <v>224</v>
      </c>
      <c r="AZ733" s="8" t="s">
        <v>361</v>
      </c>
      <c r="BA733" s="21">
        <f>IF(OR(tblsales[[#This Row],[Invoice Value USD]]="",tblsales[[#This Row],[Collected Amount USD]]=""),"",tblsales[[#This Row],[Invoice Value USD]]-tblsales[[#This Row],[Collected Amount USD]])</f>
        <v>886741.11999999988</v>
      </c>
      <c r="BB733" s="21">
        <f>IF(OR(tblsales[[#This Row],[Contract Value USD]]="",tblsales[[#This Row],[Cost Estimate USD]]=""),"",tblsales[[#This Row],[Contract Value USD]]-tblsales[[#This Row],[Cost Estimate USD]])</f>
        <v>8706220.3100000024</v>
      </c>
      <c r="BC733" s="21">
        <f>IF(OR(tblsales[[#This Row],[Contract Value USD]]="",tblsales[[#This Row],[Cost Estimate USD]]=""),"",tblsales[[#This Row],[Contract Value USD]]-tblsales[[#This Row],[Cost Estimate USD]])</f>
        <v>8706220.3100000024</v>
      </c>
      <c r="BD733" s="23">
        <f>IF(tblsales[[#This Row],[Invoice Value USD]]="","",tblsales[[#This Row],[Collected Amount USD]]/tblsales[[#This Row],[Invoice Value USD]])</f>
        <v>0.64677212092674286</v>
      </c>
      <c r="BE733" s="11">
        <f>IF(tblsales[[#This Row],[SalesStage]]="Won",1,0)</f>
        <v>0</v>
      </c>
      <c r="BF733" s="21" t="str">
        <f>IF(tblsales[[#This Row],[Win Flag]]=1,"Won","Lost")</f>
        <v>Lost</v>
      </c>
      <c r="BG733" s="8"/>
    </row>
    <row r="734" spans="1:59" x14ac:dyDescent="0.3">
      <c r="A734" s="10" t="s">
        <v>2501</v>
      </c>
      <c r="B734" s="9">
        <v>45664</v>
      </c>
      <c r="C734" s="10" t="s">
        <v>284</v>
      </c>
      <c r="D734" s="10" t="s">
        <v>242</v>
      </c>
      <c r="E734" s="10" t="s">
        <v>332</v>
      </c>
      <c r="F734" s="10" t="s">
        <v>75</v>
      </c>
      <c r="G734" s="10" t="s">
        <v>33</v>
      </c>
      <c r="H734" s="10" t="s">
        <v>182</v>
      </c>
      <c r="I734" s="10" t="s">
        <v>246</v>
      </c>
      <c r="J734" s="10" t="s">
        <v>99</v>
      </c>
      <c r="K734" s="10" t="s">
        <v>204</v>
      </c>
      <c r="L734" s="10" t="s">
        <v>2502</v>
      </c>
      <c r="M734" s="9">
        <v>45617</v>
      </c>
      <c r="N734" s="9">
        <v>45702</v>
      </c>
      <c r="O734" s="9">
        <v>45751</v>
      </c>
      <c r="P734" s="11">
        <v>23</v>
      </c>
      <c r="Q734" s="12">
        <v>2599457</v>
      </c>
      <c r="R734">
        <v>3017969.577</v>
      </c>
      <c r="S734" s="22">
        <v>0.2</v>
      </c>
      <c r="T734" s="22">
        <v>0.06</v>
      </c>
      <c r="U734" s="12">
        <v>2204339.54</v>
      </c>
      <c r="V734" s="24">
        <v>2559238.2059400002</v>
      </c>
      <c r="W734" s="8">
        <v>1506812.63</v>
      </c>
      <c r="X734" s="24">
        <v>1749409.46343</v>
      </c>
      <c r="Y734" s="22">
        <v>0.28000000000000003</v>
      </c>
      <c r="Z734" s="22">
        <v>0.17</v>
      </c>
      <c r="AA734" s="8" t="s">
        <v>2503</v>
      </c>
      <c r="AB734" s="8">
        <v>1795378.32</v>
      </c>
      <c r="AC734" s="24">
        <v>2084434.2295200001</v>
      </c>
      <c r="AD734" s="8">
        <v>908236.61</v>
      </c>
      <c r="AE734" s="24">
        <v>1054462.7042100001</v>
      </c>
      <c r="AF734" s="8">
        <v>60</v>
      </c>
      <c r="AG734" s="8">
        <v>152</v>
      </c>
      <c r="AH734" s="8" t="s">
        <v>347</v>
      </c>
      <c r="AI734" s="8" t="s">
        <v>226</v>
      </c>
      <c r="AJ734" s="22">
        <v>0.98</v>
      </c>
      <c r="AK734" s="8" t="s">
        <v>159</v>
      </c>
      <c r="AL734" s="22">
        <v>0.05</v>
      </c>
      <c r="AM734" s="22">
        <v>0.02</v>
      </c>
      <c r="AN734" s="8">
        <v>6</v>
      </c>
      <c r="AO734" s="8">
        <v>4422</v>
      </c>
      <c r="AP734" s="8">
        <v>157001.12</v>
      </c>
      <c r="AQ734" s="24">
        <v>182278.30032000001</v>
      </c>
      <c r="AR734" s="8">
        <v>951991.21</v>
      </c>
      <c r="AS734" s="37">
        <v>1105261.7948099999</v>
      </c>
      <c r="AT734" s="8" t="s">
        <v>343</v>
      </c>
      <c r="AU734" s="8" t="s">
        <v>356</v>
      </c>
      <c r="AV734" s="8">
        <v>95.3</v>
      </c>
      <c r="AW734" s="8"/>
      <c r="AX734" s="8" t="s">
        <v>332</v>
      </c>
      <c r="AY734" s="8" t="s">
        <v>206</v>
      </c>
      <c r="AZ734" s="8" t="s">
        <v>357</v>
      </c>
      <c r="BA734" s="21">
        <f>IF(OR(tblsales[[#This Row],[Invoice Value USD]]="",tblsales[[#This Row],[Collected Amount USD]]=""),"",tblsales[[#This Row],[Invoice Value USD]]-tblsales[[#This Row],[Collected Amount USD]])</f>
        <v>1029971.5253099999</v>
      </c>
      <c r="BB734" s="21">
        <f>IF(OR(tblsales[[#This Row],[Contract Value USD]]="",tblsales[[#This Row],[Cost Estimate USD]]=""),"",tblsales[[#This Row],[Contract Value USD]]-tblsales[[#This Row],[Cost Estimate USD]])</f>
        <v>809828.74251000024</v>
      </c>
      <c r="BC734" s="21">
        <f>IF(OR(tblsales[[#This Row],[Contract Value USD]]="",tblsales[[#This Row],[Cost Estimate USD]]=""),"",tblsales[[#This Row],[Contract Value USD]]-tblsales[[#This Row],[Cost Estimate USD]])</f>
        <v>809828.74251000024</v>
      </c>
      <c r="BD734" s="23">
        <f>IF(tblsales[[#This Row],[Invoice Value USD]]="","",tblsales[[#This Row],[Collected Amount USD]]/tblsales[[#This Row],[Invoice Value USD]])</f>
        <v>0.50587477852578733</v>
      </c>
      <c r="BE734" s="11">
        <f>IF(tblsales[[#This Row],[SalesStage]]="Won",1,0)</f>
        <v>0</v>
      </c>
      <c r="BF734" s="21" t="str">
        <f>IF(tblsales[[#This Row],[Win Flag]]=1,"Won","Lost")</f>
        <v>Lost</v>
      </c>
      <c r="BG734" s="8"/>
    </row>
    <row r="735" spans="1:59" x14ac:dyDescent="0.3">
      <c r="A735" s="10" t="s">
        <v>2504</v>
      </c>
      <c r="B735" s="9">
        <v>46069</v>
      </c>
      <c r="C735" s="10" t="s">
        <v>280</v>
      </c>
      <c r="D735" s="10" t="s">
        <v>238</v>
      </c>
      <c r="E735" s="10" t="s">
        <v>36</v>
      </c>
      <c r="F735" s="10" t="s">
        <v>339</v>
      </c>
      <c r="G735" s="10" t="s">
        <v>73</v>
      </c>
      <c r="H735" s="10" t="s">
        <v>216</v>
      </c>
      <c r="I735" s="10" t="s">
        <v>191</v>
      </c>
      <c r="J735" s="10" t="s">
        <v>115</v>
      </c>
      <c r="K735" s="10" t="s">
        <v>184</v>
      </c>
      <c r="L735" s="10" t="s">
        <v>2505</v>
      </c>
      <c r="M735" s="9">
        <v>46114</v>
      </c>
      <c r="N735" s="9">
        <v>46072</v>
      </c>
      <c r="O735" s="9">
        <v>46165</v>
      </c>
      <c r="P735" s="11">
        <v>56</v>
      </c>
      <c r="Q735" s="12">
        <v>1772571</v>
      </c>
      <c r="R735">
        <v>486925.2537</v>
      </c>
      <c r="S735" s="22">
        <v>0.02</v>
      </c>
      <c r="T735" s="22">
        <v>0.18</v>
      </c>
      <c r="U735" s="12">
        <v>2049801.1</v>
      </c>
      <c r="V735" s="24">
        <v>563080.36216999998</v>
      </c>
      <c r="W735" s="8">
        <v>1758812.41</v>
      </c>
      <c r="X735" s="24">
        <v>483145.769027</v>
      </c>
      <c r="Y735" s="22">
        <v>0.27</v>
      </c>
      <c r="Z735" s="22">
        <v>0.18</v>
      </c>
      <c r="AA735" s="8" t="s">
        <v>2506</v>
      </c>
      <c r="AB735" s="8">
        <v>1137680.96</v>
      </c>
      <c r="AC735" s="24">
        <v>312520.95971199998</v>
      </c>
      <c r="AD735" s="8">
        <v>617864.35</v>
      </c>
      <c r="AE735" s="24">
        <v>169727.33694499999</v>
      </c>
      <c r="AF735" s="8">
        <v>60</v>
      </c>
      <c r="AG735" s="8">
        <v>73</v>
      </c>
      <c r="AH735" s="8" t="s">
        <v>353</v>
      </c>
      <c r="AI735" s="8" t="s">
        <v>381</v>
      </c>
      <c r="AJ735" s="22">
        <v>0.61</v>
      </c>
      <c r="AK735" s="8" t="s">
        <v>155</v>
      </c>
      <c r="AL735" s="22">
        <v>0.05</v>
      </c>
      <c r="AM735" s="22">
        <v>0.08</v>
      </c>
      <c r="AN735" s="8">
        <v>2</v>
      </c>
      <c r="AO735" s="8">
        <v>2289</v>
      </c>
      <c r="AP735" s="8">
        <v>41919.43</v>
      </c>
      <c r="AQ735" s="24">
        <v>11515.267421</v>
      </c>
      <c r="AR735" s="8">
        <v>589350.37</v>
      </c>
      <c r="AS735" s="37">
        <v>161894.54663900001</v>
      </c>
      <c r="AT735" s="8" t="s">
        <v>385</v>
      </c>
      <c r="AU735" s="8" t="s">
        <v>330</v>
      </c>
      <c r="AV735" s="8"/>
      <c r="AW735" s="8">
        <v>12</v>
      </c>
      <c r="AX735" s="8" t="s">
        <v>332</v>
      </c>
      <c r="AY735" s="8" t="s">
        <v>192</v>
      </c>
      <c r="AZ735" s="8" t="s">
        <v>357</v>
      </c>
      <c r="BA735" s="21">
        <f>IF(OR(tblsales[[#This Row],[Invoice Value USD]]="",tblsales[[#This Row],[Collected Amount USD]]=""),"",tblsales[[#This Row],[Invoice Value USD]]-tblsales[[#This Row],[Collected Amount USD]])</f>
        <v>142793.62276699999</v>
      </c>
      <c r="BB735" s="21">
        <f>IF(OR(tblsales[[#This Row],[Contract Value USD]]="",tblsales[[#This Row],[Cost Estimate USD]]=""),"",tblsales[[#This Row],[Contract Value USD]]-tblsales[[#This Row],[Cost Estimate USD]])</f>
        <v>79934.593142999976</v>
      </c>
      <c r="BC735" s="21">
        <f>IF(OR(tblsales[[#This Row],[Contract Value USD]]="",tblsales[[#This Row],[Cost Estimate USD]]=""),"",tblsales[[#This Row],[Contract Value USD]]-tblsales[[#This Row],[Cost Estimate USD]])</f>
        <v>79934.593142999976</v>
      </c>
      <c r="BD735" s="23">
        <f>IF(tblsales[[#This Row],[Invoice Value USD]]="","",tblsales[[#This Row],[Collected Amount USD]]/tblsales[[#This Row],[Invoice Value USD]])</f>
        <v>0.54309105252143797</v>
      </c>
      <c r="BE735" s="11">
        <f>IF(tblsales[[#This Row],[SalesStage]]="Won",1,0)</f>
        <v>0</v>
      </c>
      <c r="BF735" s="21" t="str">
        <f>IF(tblsales[[#This Row],[Win Flag]]=1,"Won","Lost")</f>
        <v>Lost</v>
      </c>
      <c r="BG735" s="8"/>
    </row>
    <row r="736" spans="1:59" x14ac:dyDescent="0.3">
      <c r="A736" s="10" t="s">
        <v>2507</v>
      </c>
      <c r="B736" s="9">
        <v>45788</v>
      </c>
      <c r="C736" s="10" t="s">
        <v>272</v>
      </c>
      <c r="D736" s="10" t="s">
        <v>262</v>
      </c>
      <c r="E736" s="10" t="s">
        <v>113</v>
      </c>
      <c r="F736" s="10" t="s">
        <v>367</v>
      </c>
      <c r="G736" s="10" t="s">
        <v>23</v>
      </c>
      <c r="H736" s="10" t="s">
        <v>197</v>
      </c>
      <c r="I736" s="10" t="s">
        <v>203</v>
      </c>
      <c r="J736" s="10" t="s">
        <v>111</v>
      </c>
      <c r="K736" s="10" t="s">
        <v>333</v>
      </c>
      <c r="L736" s="10" t="s">
        <v>2508</v>
      </c>
      <c r="M736" s="9">
        <v>45903</v>
      </c>
      <c r="N736" s="9">
        <v>45794</v>
      </c>
      <c r="O736" s="9">
        <v>45862</v>
      </c>
      <c r="P736" s="11">
        <v>26</v>
      </c>
      <c r="Q736" s="12">
        <v>42013933</v>
      </c>
      <c r="R736">
        <v>42013933</v>
      </c>
      <c r="S736" s="22">
        <v>0.23</v>
      </c>
      <c r="T736" s="22">
        <v>7.0000000000000007E-2</v>
      </c>
      <c r="U736" s="12">
        <v>34615279.399999999</v>
      </c>
      <c r="V736" s="24">
        <v>34615279.399999999</v>
      </c>
      <c r="W736" s="8">
        <v>26715264.199999999</v>
      </c>
      <c r="X736" s="24">
        <v>26715264.199999999</v>
      </c>
      <c r="Y736" s="22">
        <v>0.1</v>
      </c>
      <c r="Z736" s="22">
        <v>0.18</v>
      </c>
      <c r="AA736" s="8" t="s">
        <v>2509</v>
      </c>
      <c r="AB736" s="8">
        <v>21860944.989999998</v>
      </c>
      <c r="AC736" s="24">
        <v>21860944.989999998</v>
      </c>
      <c r="AD736" s="8">
        <v>23609289.859999999</v>
      </c>
      <c r="AE736" s="24">
        <v>23609289.859999999</v>
      </c>
      <c r="AF736" s="8">
        <v>60</v>
      </c>
      <c r="AG736" s="8">
        <v>180</v>
      </c>
      <c r="AH736" s="8" t="s">
        <v>342</v>
      </c>
      <c r="AI736" s="8" t="s">
        <v>381</v>
      </c>
      <c r="AJ736" s="22">
        <v>0.51</v>
      </c>
      <c r="AK736" s="8" t="s">
        <v>152</v>
      </c>
      <c r="AL736" s="22">
        <v>0.1</v>
      </c>
      <c r="AM736" s="22">
        <v>0.1</v>
      </c>
      <c r="AN736" s="8">
        <v>1</v>
      </c>
      <c r="AO736" s="8">
        <v>3993</v>
      </c>
      <c r="AP736" s="8">
        <v>4461884.16</v>
      </c>
      <c r="AQ736" s="24">
        <v>4461884.16</v>
      </c>
      <c r="AR736" s="8">
        <v>11454268.560000001</v>
      </c>
      <c r="AS736" s="37">
        <v>11454268.560000001</v>
      </c>
      <c r="AT736" s="8" t="s">
        <v>343</v>
      </c>
      <c r="AU736" s="8" t="s">
        <v>330</v>
      </c>
      <c r="AV736" s="8">
        <v>63.1</v>
      </c>
      <c r="AW736" s="8">
        <v>24</v>
      </c>
      <c r="AX736" s="8" t="s">
        <v>332</v>
      </c>
      <c r="AY736" s="8" t="s">
        <v>186</v>
      </c>
      <c r="AZ736" s="8" t="s">
        <v>188</v>
      </c>
      <c r="BA736" s="21">
        <f>IF(OR(tblsales[[#This Row],[Invoice Value USD]]="",tblsales[[#This Row],[Collected Amount USD]]=""),"",tblsales[[#This Row],[Invoice Value USD]]-tblsales[[#This Row],[Collected Amount USD]])</f>
        <v>-1748344.870000001</v>
      </c>
      <c r="BB736" s="21">
        <f>IF(OR(tblsales[[#This Row],[Contract Value USD]]="",tblsales[[#This Row],[Cost Estimate USD]]=""),"",tblsales[[#This Row],[Contract Value USD]]-tblsales[[#This Row],[Cost Estimate USD]])</f>
        <v>7900015.1999999993</v>
      </c>
      <c r="BC736" s="21">
        <f>IF(OR(tblsales[[#This Row],[Contract Value USD]]="",tblsales[[#This Row],[Cost Estimate USD]]=""),"",tblsales[[#This Row],[Contract Value USD]]-tblsales[[#This Row],[Cost Estimate USD]])</f>
        <v>7900015.1999999993</v>
      </c>
      <c r="BD736" s="23">
        <f>IF(tblsales[[#This Row],[Invoice Value USD]]="","",tblsales[[#This Row],[Collected Amount USD]]/tblsales[[#This Row],[Invoice Value USD]])</f>
        <v>1.0799757224950595</v>
      </c>
      <c r="BE736" s="11">
        <f>IF(tblsales[[#This Row],[SalesStage]]="Won",1,0)</f>
        <v>0</v>
      </c>
      <c r="BF736" s="21" t="str">
        <f>IF(tblsales[[#This Row],[Win Flag]]=1,"Won","Lost")</f>
        <v>Lost</v>
      </c>
      <c r="BG736" s="8"/>
    </row>
    <row r="737" spans="1:59" x14ac:dyDescent="0.3">
      <c r="A737" s="10" t="s">
        <v>2510</v>
      </c>
      <c r="B737" s="9">
        <v>45793</v>
      </c>
      <c r="C737" s="10" t="s">
        <v>268</v>
      </c>
      <c r="D737" s="10" t="s">
        <v>250</v>
      </c>
      <c r="E737" s="10" t="s">
        <v>20</v>
      </c>
      <c r="F737" s="10" t="s">
        <v>196</v>
      </c>
      <c r="G737" s="10" t="s">
        <v>38</v>
      </c>
      <c r="H737" s="10" t="s">
        <v>332</v>
      </c>
      <c r="I737" s="10" t="s">
        <v>203</v>
      </c>
      <c r="J737" s="10" t="s">
        <v>136</v>
      </c>
      <c r="K737" s="10" t="s">
        <v>221</v>
      </c>
      <c r="L737" s="10" t="s">
        <v>2511</v>
      </c>
      <c r="M737" s="9">
        <v>45723</v>
      </c>
      <c r="N737" s="9"/>
      <c r="O737" s="9">
        <v>45666</v>
      </c>
      <c r="P737" s="11">
        <v>32</v>
      </c>
      <c r="Q737" s="12">
        <v>13521566</v>
      </c>
      <c r="R737">
        <v>13521566</v>
      </c>
      <c r="S737" s="22">
        <v>0.25</v>
      </c>
      <c r="T737" s="22">
        <v>0.01</v>
      </c>
      <c r="U737" s="12">
        <v>10242586.24</v>
      </c>
      <c r="V737" s="24">
        <v>10242586.24</v>
      </c>
      <c r="W737" s="8">
        <v>6658198.9500000002</v>
      </c>
      <c r="X737" s="24">
        <v>6658198.9500000002</v>
      </c>
      <c r="Y737" s="22">
        <v>0.28999999999999998</v>
      </c>
      <c r="Z737" s="22">
        <v>0.16</v>
      </c>
      <c r="AA737" s="8"/>
      <c r="AB737" s="8">
        <v>7371219.1100000003</v>
      </c>
      <c r="AC737" s="24">
        <v>7371219.1100000003</v>
      </c>
      <c r="AD737" s="8">
        <v>2750369.04</v>
      </c>
      <c r="AE737" s="24">
        <v>2750369.04</v>
      </c>
      <c r="AF737" s="8">
        <v>120</v>
      </c>
      <c r="AG737" s="8">
        <v>163</v>
      </c>
      <c r="AH737" s="8" t="s">
        <v>376</v>
      </c>
      <c r="AI737" s="8" t="s">
        <v>455</v>
      </c>
      <c r="AJ737" s="22">
        <v>0.05</v>
      </c>
      <c r="AK737" s="8" t="s">
        <v>152</v>
      </c>
      <c r="AL737" s="22">
        <v>0.05</v>
      </c>
      <c r="AM737" s="22">
        <v>0.04</v>
      </c>
      <c r="AN737" s="8">
        <v>10</v>
      </c>
      <c r="AO737" s="8">
        <v>2872</v>
      </c>
      <c r="AP737" s="8">
        <v>1341648.44</v>
      </c>
      <c r="AQ737" s="24">
        <v>1341648.44</v>
      </c>
      <c r="AR737" s="8">
        <v>2796025</v>
      </c>
      <c r="AS737" s="37">
        <v>2796025</v>
      </c>
      <c r="AT737" s="8" t="s">
        <v>385</v>
      </c>
      <c r="AU737" s="8" t="s">
        <v>322</v>
      </c>
      <c r="AV737" s="8">
        <v>62.6</v>
      </c>
      <c r="AW737" s="8">
        <v>24</v>
      </c>
      <c r="AX737" s="8" t="s">
        <v>392</v>
      </c>
      <c r="AY737" s="8" t="s">
        <v>192</v>
      </c>
      <c r="AZ737" s="8" t="s">
        <v>357</v>
      </c>
      <c r="BA737" s="21">
        <f>IF(OR(tblsales[[#This Row],[Invoice Value USD]]="",tblsales[[#This Row],[Collected Amount USD]]=""),"",tblsales[[#This Row],[Invoice Value USD]]-tblsales[[#This Row],[Collected Amount USD]])</f>
        <v>4620850.07</v>
      </c>
      <c r="BB737" s="21">
        <f>IF(OR(tblsales[[#This Row],[Contract Value USD]]="",tblsales[[#This Row],[Cost Estimate USD]]=""),"",tblsales[[#This Row],[Contract Value USD]]-tblsales[[#This Row],[Cost Estimate USD]])</f>
        <v>3584387.29</v>
      </c>
      <c r="BC737" s="21">
        <f>IF(OR(tblsales[[#This Row],[Contract Value USD]]="",tblsales[[#This Row],[Cost Estimate USD]]=""),"",tblsales[[#This Row],[Contract Value USD]]-tblsales[[#This Row],[Cost Estimate USD]])</f>
        <v>3584387.29</v>
      </c>
      <c r="BD737" s="23">
        <f>IF(tblsales[[#This Row],[Invoice Value USD]]="","",tblsales[[#This Row],[Collected Amount USD]]/tblsales[[#This Row],[Invoice Value USD]])</f>
        <v>0.37312268146645827</v>
      </c>
      <c r="BE737" s="11">
        <f>IF(tblsales[[#This Row],[SalesStage]]="Won",1,0)</f>
        <v>0</v>
      </c>
      <c r="BF737" s="21" t="str">
        <f>IF(tblsales[[#This Row],[Win Flag]]=1,"Won","Lost")</f>
        <v>Lost</v>
      </c>
      <c r="BG737" s="8"/>
    </row>
    <row r="738" spans="1:59" x14ac:dyDescent="0.3">
      <c r="A738" s="10" t="s">
        <v>2512</v>
      </c>
      <c r="B738" s="9">
        <v>45873</v>
      </c>
      <c r="C738" s="10" t="s">
        <v>258</v>
      </c>
      <c r="D738" s="10" t="s">
        <v>253</v>
      </c>
      <c r="E738" s="10" t="s">
        <v>36</v>
      </c>
      <c r="F738" s="10" t="s">
        <v>339</v>
      </c>
      <c r="G738" s="10" t="s">
        <v>66</v>
      </c>
      <c r="H738" s="10" t="s">
        <v>236</v>
      </c>
      <c r="I738" s="10" t="s">
        <v>191</v>
      </c>
      <c r="J738" s="10" t="s">
        <v>115</v>
      </c>
      <c r="K738" s="10" t="s">
        <v>326</v>
      </c>
      <c r="L738" s="10" t="s">
        <v>2513</v>
      </c>
      <c r="M738" s="9">
        <v>45843</v>
      </c>
      <c r="N738" s="9">
        <v>45726</v>
      </c>
      <c r="O738" s="9">
        <v>45951</v>
      </c>
      <c r="P738" s="11">
        <v>26</v>
      </c>
      <c r="Q738" s="12">
        <v>47810894</v>
      </c>
      <c r="R738">
        <v>13018906.436199998</v>
      </c>
      <c r="S738" s="22">
        <v>0.1</v>
      </c>
      <c r="T738" s="22">
        <v>0.12</v>
      </c>
      <c r="U738" s="12">
        <v>48193381.149999999</v>
      </c>
      <c r="V738" s="24">
        <v>13123057.687144998</v>
      </c>
      <c r="W738" s="8">
        <v>30838639.530000001</v>
      </c>
      <c r="X738" s="24">
        <v>8397361.5440190006</v>
      </c>
      <c r="Y738" s="22">
        <v>0.2</v>
      </c>
      <c r="Z738" s="22">
        <v>0.16</v>
      </c>
      <c r="AA738" s="8" t="s">
        <v>2514</v>
      </c>
      <c r="AB738" s="8">
        <v>34005369.450000003</v>
      </c>
      <c r="AC738" s="24">
        <v>9259662.1012350004</v>
      </c>
      <c r="AD738" s="8">
        <v>29800438.32</v>
      </c>
      <c r="AE738" s="24">
        <v>8114659.3545359997</v>
      </c>
      <c r="AF738" s="8">
        <v>30</v>
      </c>
      <c r="AG738" s="8">
        <v>79</v>
      </c>
      <c r="AH738" s="8" t="s">
        <v>353</v>
      </c>
      <c r="AI738" s="8" t="s">
        <v>226</v>
      </c>
      <c r="AJ738" s="22">
        <v>0.79</v>
      </c>
      <c r="AK738" s="8" t="s">
        <v>153</v>
      </c>
      <c r="AL738" s="22">
        <v>0.05</v>
      </c>
      <c r="AM738" s="22">
        <v>7.0000000000000007E-2</v>
      </c>
      <c r="AN738" s="8">
        <v>9</v>
      </c>
      <c r="AO738" s="8"/>
      <c r="AP738" s="8">
        <v>3158221.38</v>
      </c>
      <c r="AQ738" s="24">
        <v>859983.68177399994</v>
      </c>
      <c r="AR738" s="8">
        <v>22961759.030000001</v>
      </c>
      <c r="AS738" s="37">
        <v>6252486.9838690003</v>
      </c>
      <c r="AT738" s="8" t="s">
        <v>332</v>
      </c>
      <c r="AU738" s="8" t="s">
        <v>356</v>
      </c>
      <c r="AV738" s="8">
        <v>98.6</v>
      </c>
      <c r="AW738" s="8">
        <v>24</v>
      </c>
      <c r="AX738" s="8" t="s">
        <v>387</v>
      </c>
      <c r="AY738" s="8" t="s">
        <v>229</v>
      </c>
      <c r="AZ738" s="8" t="s">
        <v>377</v>
      </c>
      <c r="BA738" s="21">
        <f>IF(OR(tblsales[[#This Row],[Invoice Value USD]]="",tblsales[[#This Row],[Collected Amount USD]]=""),"",tblsales[[#This Row],[Invoice Value USD]]-tblsales[[#This Row],[Collected Amount USD]])</f>
        <v>1145002.7466990007</v>
      </c>
      <c r="BB738" s="21">
        <f>IF(OR(tblsales[[#This Row],[Contract Value USD]]="",tblsales[[#This Row],[Cost Estimate USD]]=""),"",tblsales[[#This Row],[Contract Value USD]]-tblsales[[#This Row],[Cost Estimate USD]])</f>
        <v>4725696.1431259979</v>
      </c>
      <c r="BC738" s="21">
        <f>IF(OR(tblsales[[#This Row],[Contract Value USD]]="",tblsales[[#This Row],[Cost Estimate USD]]=""),"",tblsales[[#This Row],[Contract Value USD]]-tblsales[[#This Row],[Cost Estimate USD]])</f>
        <v>4725696.1431259979</v>
      </c>
      <c r="BD738" s="23">
        <f>IF(tblsales[[#This Row],[Invoice Value USD]]="","",tblsales[[#This Row],[Collected Amount USD]]/tblsales[[#This Row],[Invoice Value USD]])</f>
        <v>0.87634508320273519</v>
      </c>
      <c r="BE738" s="11">
        <f>IF(tblsales[[#This Row],[SalesStage]]="Won",1,0)</f>
        <v>0</v>
      </c>
      <c r="BF738" s="21" t="str">
        <f>IF(tblsales[[#This Row],[Win Flag]]=1,"Won","Lost")</f>
        <v>Lost</v>
      </c>
      <c r="BG738" s="8"/>
    </row>
    <row r="739" spans="1:59" x14ac:dyDescent="0.3">
      <c r="A739" s="10" t="s">
        <v>2515</v>
      </c>
      <c r="B739" s="9">
        <v>46015</v>
      </c>
      <c r="C739" s="10" t="s">
        <v>269</v>
      </c>
      <c r="D739" s="10" t="s">
        <v>394</v>
      </c>
      <c r="E739" s="10" t="s">
        <v>20</v>
      </c>
      <c r="F739" s="10" t="s">
        <v>196</v>
      </c>
      <c r="G739" s="10" t="s">
        <v>332</v>
      </c>
      <c r="H739" s="10" t="s">
        <v>332</v>
      </c>
      <c r="I739" s="10" t="s">
        <v>183</v>
      </c>
      <c r="J739" s="10" t="s">
        <v>136</v>
      </c>
      <c r="K739" s="10" t="s">
        <v>221</v>
      </c>
      <c r="L739" s="10" t="s">
        <v>2516</v>
      </c>
      <c r="M739" s="9">
        <v>45927</v>
      </c>
      <c r="N739" s="9" t="s">
        <v>2517</v>
      </c>
      <c r="O739" s="9">
        <v>46091</v>
      </c>
      <c r="P739" s="11">
        <v>34</v>
      </c>
      <c r="Q739" s="12">
        <v>36762257</v>
      </c>
      <c r="R739">
        <v>10010362.5811</v>
      </c>
      <c r="S739" s="22">
        <v>0.18</v>
      </c>
      <c r="T739" s="22">
        <v>0.12</v>
      </c>
      <c r="U739" s="12">
        <v>33762456.829999998</v>
      </c>
      <c r="V739" s="24">
        <v>9193516.9948089998</v>
      </c>
      <c r="W739" s="8">
        <v>24196754.25</v>
      </c>
      <c r="X739" s="24">
        <v>6588776.182275</v>
      </c>
      <c r="Y739" s="22">
        <v>0.17</v>
      </c>
      <c r="Z739" s="22">
        <v>7.0000000000000007E-2</v>
      </c>
      <c r="AA739" s="8" t="s">
        <v>2518</v>
      </c>
      <c r="AB739" s="8">
        <v>7759030.9500000002</v>
      </c>
      <c r="AC739" s="24">
        <v>2112784.1276849997</v>
      </c>
      <c r="AD739" s="8">
        <v>5354064.28</v>
      </c>
      <c r="AE739" s="24">
        <v>1457911.7034440001</v>
      </c>
      <c r="AF739" s="8">
        <v>45</v>
      </c>
      <c r="AG739" s="8">
        <v>113</v>
      </c>
      <c r="AH739" s="8" t="s">
        <v>376</v>
      </c>
      <c r="AI739" s="8" t="s">
        <v>455</v>
      </c>
      <c r="AJ739" s="22">
        <v>0.98</v>
      </c>
      <c r="AK739" s="8" t="s">
        <v>153</v>
      </c>
      <c r="AL739" s="22">
        <v>0.15</v>
      </c>
      <c r="AM739" s="22">
        <v>0.06</v>
      </c>
      <c r="AN739" s="8">
        <v>0</v>
      </c>
      <c r="AO739" s="8">
        <v>1693</v>
      </c>
      <c r="AP739" s="8">
        <v>6667086.2000000002</v>
      </c>
      <c r="AQ739" s="24">
        <v>1815447.57226</v>
      </c>
      <c r="AR739" s="8">
        <v>12513814.449999999</v>
      </c>
      <c r="AS739" s="37">
        <v>3407511.6747349994</v>
      </c>
      <c r="AT739" s="8" t="s">
        <v>321</v>
      </c>
      <c r="AU739" s="8" t="s">
        <v>386</v>
      </c>
      <c r="AV739" s="8">
        <v>57.7</v>
      </c>
      <c r="AW739" s="8">
        <v>24</v>
      </c>
      <c r="AX739" s="8" t="s">
        <v>323</v>
      </c>
      <c r="AY739" s="8" t="s">
        <v>229</v>
      </c>
      <c r="AZ739" s="8" t="s">
        <v>357</v>
      </c>
      <c r="BA739" s="21">
        <f>IF(OR(tblsales[[#This Row],[Invoice Value USD]]="",tblsales[[#This Row],[Collected Amount USD]]=""),"",tblsales[[#This Row],[Invoice Value USD]]-tblsales[[#This Row],[Collected Amount USD]])</f>
        <v>654872.42424099962</v>
      </c>
      <c r="BB739" s="21">
        <f>IF(OR(tblsales[[#This Row],[Contract Value USD]]="",tblsales[[#This Row],[Cost Estimate USD]]=""),"",tblsales[[#This Row],[Contract Value USD]]-tblsales[[#This Row],[Cost Estimate USD]])</f>
        <v>2604740.8125339998</v>
      </c>
      <c r="BC739" s="21">
        <f>IF(OR(tblsales[[#This Row],[Contract Value USD]]="",tblsales[[#This Row],[Cost Estimate USD]]=""),"",tblsales[[#This Row],[Contract Value USD]]-tblsales[[#This Row],[Cost Estimate USD]])</f>
        <v>2604740.8125339998</v>
      </c>
      <c r="BD739" s="23">
        <f>IF(tblsales[[#This Row],[Invoice Value USD]]="","",tblsales[[#This Row],[Collected Amount USD]]/tblsales[[#This Row],[Invoice Value USD]])</f>
        <v>0.69004290799999979</v>
      </c>
      <c r="BE739" s="11">
        <f>IF(tblsales[[#This Row],[SalesStage]]="Won",1,0)</f>
        <v>0</v>
      </c>
      <c r="BF739" s="21" t="str">
        <f>IF(tblsales[[#This Row],[Win Flag]]=1,"Won","Lost")</f>
        <v>Lost</v>
      </c>
      <c r="BG739" s="8"/>
    </row>
    <row r="740" spans="1:59" x14ac:dyDescent="0.3">
      <c r="A740" s="10" t="s">
        <v>2519</v>
      </c>
      <c r="B740" s="9">
        <v>45871</v>
      </c>
      <c r="C740" s="10" t="s">
        <v>208</v>
      </c>
      <c r="D740" s="10" t="s">
        <v>281</v>
      </c>
      <c r="E740" s="10" t="s">
        <v>41</v>
      </c>
      <c r="F740" s="10" t="s">
        <v>350</v>
      </c>
      <c r="G740" s="10" t="s">
        <v>50</v>
      </c>
      <c r="H740" s="10" t="s">
        <v>216</v>
      </c>
      <c r="I740" s="10" t="s">
        <v>332</v>
      </c>
      <c r="J740" s="10" t="s">
        <v>130</v>
      </c>
      <c r="K740" s="10" t="s">
        <v>204</v>
      </c>
      <c r="L740" s="10" t="s">
        <v>2520</v>
      </c>
      <c r="M740" s="9">
        <v>45624</v>
      </c>
      <c r="N740" s="9">
        <v>45746</v>
      </c>
      <c r="O740" s="9">
        <v>45934</v>
      </c>
      <c r="P740" s="11">
        <v>43</v>
      </c>
      <c r="Q740" s="12">
        <v>37713915</v>
      </c>
      <c r="R740">
        <v>10269499.054499999</v>
      </c>
      <c r="S740" s="22">
        <v>0.24</v>
      </c>
      <c r="T740" s="22">
        <v>0.19</v>
      </c>
      <c r="U740" s="12">
        <v>34108464.729999997</v>
      </c>
      <c r="V740" s="24">
        <v>9287734.9459789991</v>
      </c>
      <c r="W740" s="8"/>
      <c r="X740" s="24"/>
      <c r="Y740" s="22">
        <v>0.17</v>
      </c>
      <c r="Z740" s="22">
        <v>0.19</v>
      </c>
      <c r="AA740" s="8" t="s">
        <v>2521</v>
      </c>
      <c r="AB740" s="8">
        <v>2991651.69</v>
      </c>
      <c r="AC740" s="24">
        <v>814626.75518699992</v>
      </c>
      <c r="AD740" s="8">
        <v>2641969.35</v>
      </c>
      <c r="AE740" s="24">
        <v>719408.254005</v>
      </c>
      <c r="AF740" s="8">
        <v>120</v>
      </c>
      <c r="AG740" s="8">
        <v>152</v>
      </c>
      <c r="AH740" s="8" t="s">
        <v>376</v>
      </c>
      <c r="AI740" s="8" t="s">
        <v>226</v>
      </c>
      <c r="AJ740" s="22"/>
      <c r="AK740" s="8" t="s">
        <v>153</v>
      </c>
      <c r="AL740" s="22">
        <v>0.05</v>
      </c>
      <c r="AM740" s="22">
        <v>0.06</v>
      </c>
      <c r="AN740" s="8">
        <v>8</v>
      </c>
      <c r="AO740" s="8">
        <v>2468</v>
      </c>
      <c r="AP740" s="8"/>
      <c r="AQ740" s="24"/>
      <c r="AR740" s="8">
        <v>5704453.5899999999</v>
      </c>
      <c r="AS740" s="37">
        <v>1553322.7125569999</v>
      </c>
      <c r="AT740" s="8" t="s">
        <v>385</v>
      </c>
      <c r="AU740" s="8" t="s">
        <v>332</v>
      </c>
      <c r="AV740" s="8">
        <v>58.8</v>
      </c>
      <c r="AW740" s="8">
        <v>60</v>
      </c>
      <c r="AX740" s="8" t="s">
        <v>332</v>
      </c>
      <c r="AY740" s="8" t="s">
        <v>206</v>
      </c>
      <c r="AZ740" s="8" t="s">
        <v>324</v>
      </c>
      <c r="BA740" s="21">
        <f>IF(OR(tblsales[[#This Row],[Invoice Value USD]]="",tblsales[[#This Row],[Collected Amount USD]]=""),"",tblsales[[#This Row],[Invoice Value USD]]-tblsales[[#This Row],[Collected Amount USD]])</f>
        <v>95218.50118199992</v>
      </c>
      <c r="BB740" s="21" t="str">
        <f>IF(OR(tblsales[[#This Row],[Contract Value USD]]="",tblsales[[#This Row],[Cost Estimate USD]]=""),"",tblsales[[#This Row],[Contract Value USD]]-tblsales[[#This Row],[Cost Estimate USD]])</f>
        <v/>
      </c>
      <c r="BC740" s="21" t="str">
        <f>IF(OR(tblsales[[#This Row],[Contract Value USD]]="",tblsales[[#This Row],[Cost Estimate USD]]=""),"",tblsales[[#This Row],[Contract Value USD]]-tblsales[[#This Row],[Cost Estimate USD]])</f>
        <v/>
      </c>
      <c r="BD740" s="23">
        <f>IF(tblsales[[#This Row],[Invoice Value USD]]="","",tblsales[[#This Row],[Collected Amount USD]]/tblsales[[#This Row],[Invoice Value USD]])</f>
        <v>0.88311395301503171</v>
      </c>
      <c r="BE740" s="11">
        <f>IF(tblsales[[#This Row],[SalesStage]]="Won",1,0)</f>
        <v>0</v>
      </c>
      <c r="BF740" s="21" t="str">
        <f>IF(tblsales[[#This Row],[Win Flag]]=1,"Won","Lost")</f>
        <v>Lost</v>
      </c>
      <c r="BG740" s="8"/>
    </row>
    <row r="741" spans="1:59" x14ac:dyDescent="0.3">
      <c r="A741" s="10" t="s">
        <v>2522</v>
      </c>
      <c r="B741" s="9">
        <v>45854</v>
      </c>
      <c r="C741" s="10" t="s">
        <v>237</v>
      </c>
      <c r="D741" s="10" t="s">
        <v>232</v>
      </c>
      <c r="E741" s="10" t="s">
        <v>113</v>
      </c>
      <c r="F741" s="10" t="s">
        <v>181</v>
      </c>
      <c r="G741" s="10" t="s">
        <v>50</v>
      </c>
      <c r="H741" s="10" t="s">
        <v>236</v>
      </c>
      <c r="I741" s="10" t="s">
        <v>198</v>
      </c>
      <c r="J741" s="10" t="s">
        <v>123</v>
      </c>
      <c r="K741" s="10" t="s">
        <v>221</v>
      </c>
      <c r="L741" s="10" t="s">
        <v>2523</v>
      </c>
      <c r="M741" s="9">
        <v>45822</v>
      </c>
      <c r="N741" s="9" t="s">
        <v>2490</v>
      </c>
      <c r="O741" s="9">
        <v>45937</v>
      </c>
      <c r="P741" s="11">
        <v>53</v>
      </c>
      <c r="Q741" s="12">
        <v>2283878</v>
      </c>
      <c r="R741">
        <v>621899.97939999995</v>
      </c>
      <c r="S741" s="22">
        <v>0.19</v>
      </c>
      <c r="T741" s="22">
        <v>-0.03</v>
      </c>
      <c r="U741" s="12">
        <v>1794442.94</v>
      </c>
      <c r="V741" s="24">
        <v>488626.81256199995</v>
      </c>
      <c r="W741" s="8">
        <v>1494291.91</v>
      </c>
      <c r="X741" s="24">
        <v>406895.68709299999</v>
      </c>
      <c r="Y741" s="22">
        <v>0.26</v>
      </c>
      <c r="Z741" s="22">
        <v>0.15</v>
      </c>
      <c r="AA741" s="8" t="s">
        <v>2524</v>
      </c>
      <c r="AB741" s="8">
        <v>1456170.96</v>
      </c>
      <c r="AC741" s="24">
        <v>396515.35240799998</v>
      </c>
      <c r="AD741" s="8">
        <v>973176.29</v>
      </c>
      <c r="AE741" s="24">
        <v>264995.90376700001</v>
      </c>
      <c r="AF741" s="8">
        <v>60</v>
      </c>
      <c r="AG741" s="8">
        <v>153</v>
      </c>
      <c r="AH741" s="8" t="s">
        <v>342</v>
      </c>
      <c r="AI741" s="8" t="s">
        <v>455</v>
      </c>
      <c r="AJ741" s="22">
        <v>0.75</v>
      </c>
      <c r="AK741" s="8" t="s">
        <v>153</v>
      </c>
      <c r="AL741" s="22">
        <v>0.05</v>
      </c>
      <c r="AM741" s="22">
        <v>7.0000000000000007E-2</v>
      </c>
      <c r="AN741" s="8">
        <v>0</v>
      </c>
      <c r="AO741" s="8">
        <v>1981</v>
      </c>
      <c r="AP741" s="8"/>
      <c r="AQ741" s="24"/>
      <c r="AR741" s="8">
        <v>516065.78</v>
      </c>
      <c r="AS741" s="37">
        <v>140524.71189400001</v>
      </c>
      <c r="AT741" s="8" t="s">
        <v>73</v>
      </c>
      <c r="AU741" s="8" t="s">
        <v>348</v>
      </c>
      <c r="AV741" s="8"/>
      <c r="AW741" s="8">
        <v>36</v>
      </c>
      <c r="AX741" s="8" t="s">
        <v>392</v>
      </c>
      <c r="AY741" s="8" t="s">
        <v>206</v>
      </c>
      <c r="AZ741" s="8" t="s">
        <v>332</v>
      </c>
      <c r="BA741" s="21">
        <f>IF(OR(tblsales[[#This Row],[Invoice Value USD]]="",tblsales[[#This Row],[Collected Amount USD]]=""),"",tblsales[[#This Row],[Invoice Value USD]]-tblsales[[#This Row],[Collected Amount USD]])</f>
        <v>131519.44864099997</v>
      </c>
      <c r="BB741" s="21">
        <f>IF(OR(tblsales[[#This Row],[Contract Value USD]]="",tblsales[[#This Row],[Cost Estimate USD]]=""),"",tblsales[[#This Row],[Contract Value USD]]-tblsales[[#This Row],[Cost Estimate USD]])</f>
        <v>81731.125468999962</v>
      </c>
      <c r="BC741" s="21">
        <f>IF(OR(tblsales[[#This Row],[Contract Value USD]]="",tblsales[[#This Row],[Cost Estimate USD]]=""),"",tblsales[[#This Row],[Contract Value USD]]-tblsales[[#This Row],[Cost Estimate USD]])</f>
        <v>81731.125468999962</v>
      </c>
      <c r="BD741" s="23">
        <f>IF(tblsales[[#This Row],[Invoice Value USD]]="","",tblsales[[#This Row],[Collected Amount USD]]/tblsales[[#This Row],[Invoice Value USD]])</f>
        <v>0.66831183750567313</v>
      </c>
      <c r="BE741" s="11">
        <f>IF(tblsales[[#This Row],[SalesStage]]="Won",1,0)</f>
        <v>0</v>
      </c>
      <c r="BF741" s="21" t="str">
        <f>IF(tblsales[[#This Row],[Win Flag]]=1,"Won","Lost")</f>
        <v>Lost</v>
      </c>
      <c r="BG741" s="8"/>
    </row>
    <row r="742" spans="1:59" x14ac:dyDescent="0.3">
      <c r="A742" s="10" t="s">
        <v>2525</v>
      </c>
      <c r="B742" s="9">
        <v>46046</v>
      </c>
      <c r="C742" s="10" t="s">
        <v>201</v>
      </c>
      <c r="D742" s="10" t="s">
        <v>332</v>
      </c>
      <c r="E742" s="10" t="s">
        <v>20</v>
      </c>
      <c r="F742" s="10" t="s">
        <v>196</v>
      </c>
      <c r="G742" s="10" t="s">
        <v>50</v>
      </c>
      <c r="H742" s="10" t="s">
        <v>197</v>
      </c>
      <c r="I742" s="10" t="s">
        <v>191</v>
      </c>
      <c r="J742" s="10" t="s">
        <v>136</v>
      </c>
      <c r="K742" s="10" t="s">
        <v>184</v>
      </c>
      <c r="L742" s="10" t="s">
        <v>2526</v>
      </c>
      <c r="M742" s="9">
        <v>45820</v>
      </c>
      <c r="N742" s="9">
        <v>46101</v>
      </c>
      <c r="O742" s="9">
        <v>46116</v>
      </c>
      <c r="P742" s="11">
        <v>37</v>
      </c>
      <c r="Q742" s="12">
        <v>2411046</v>
      </c>
      <c r="R742">
        <v>2411046</v>
      </c>
      <c r="S742" s="22">
        <v>0.03</v>
      </c>
      <c r="T742" s="22">
        <v>0.08</v>
      </c>
      <c r="U742" s="12">
        <v>2525811.79</v>
      </c>
      <c r="V742" s="24">
        <v>2525811.79</v>
      </c>
      <c r="W742" s="8">
        <v>2130706.5299999998</v>
      </c>
      <c r="X742" s="24">
        <v>2130706.5299999998</v>
      </c>
      <c r="Y742" s="22"/>
      <c r="Z742" s="22">
        <v>0.08</v>
      </c>
      <c r="AA742" s="8"/>
      <c r="AB742" s="8">
        <v>1729783.42</v>
      </c>
      <c r="AC742" s="24">
        <v>1729783.42</v>
      </c>
      <c r="AD742" s="8">
        <v>905401.18</v>
      </c>
      <c r="AE742" s="24">
        <v>905401.18</v>
      </c>
      <c r="AF742" s="8">
        <v>45</v>
      </c>
      <c r="AG742" s="8">
        <v>154</v>
      </c>
      <c r="AH742" s="8" t="s">
        <v>347</v>
      </c>
      <c r="AI742" s="8" t="s">
        <v>381</v>
      </c>
      <c r="AJ742" s="22">
        <v>0.14000000000000001</v>
      </c>
      <c r="AK742" s="8" t="s">
        <v>152</v>
      </c>
      <c r="AL742" s="22">
        <v>0.15</v>
      </c>
      <c r="AM742" s="22">
        <v>0.09</v>
      </c>
      <c r="AN742" s="8">
        <v>3</v>
      </c>
      <c r="AO742" s="8">
        <v>742</v>
      </c>
      <c r="AP742" s="8">
        <v>379575.37</v>
      </c>
      <c r="AQ742" s="24">
        <v>379575.37</v>
      </c>
      <c r="AR742" s="8"/>
      <c r="AS742" s="37"/>
      <c r="AT742" s="8" t="s">
        <v>343</v>
      </c>
      <c r="AU742" s="8" t="s">
        <v>332</v>
      </c>
      <c r="AV742" s="8">
        <v>69.099999999999994</v>
      </c>
      <c r="AW742" s="8">
        <v>12</v>
      </c>
      <c r="AX742" s="8" t="s">
        <v>323</v>
      </c>
      <c r="AY742" s="8" t="s">
        <v>224</v>
      </c>
      <c r="AZ742" s="8" t="s">
        <v>377</v>
      </c>
      <c r="BA742" s="21">
        <f>IF(OR(tblsales[[#This Row],[Invoice Value USD]]="",tblsales[[#This Row],[Collected Amount USD]]=""),"",tblsales[[#This Row],[Invoice Value USD]]-tblsales[[#This Row],[Collected Amount USD]])</f>
        <v>824382.23999999987</v>
      </c>
      <c r="BB742" s="21">
        <f>IF(OR(tblsales[[#This Row],[Contract Value USD]]="",tblsales[[#This Row],[Cost Estimate USD]]=""),"",tblsales[[#This Row],[Contract Value USD]]-tblsales[[#This Row],[Cost Estimate USD]])</f>
        <v>395105.26000000024</v>
      </c>
      <c r="BC742" s="21">
        <f>IF(OR(tblsales[[#This Row],[Contract Value USD]]="",tblsales[[#This Row],[Cost Estimate USD]]=""),"",tblsales[[#This Row],[Contract Value USD]]-tblsales[[#This Row],[Cost Estimate USD]])</f>
        <v>395105.26000000024</v>
      </c>
      <c r="BD742" s="23">
        <f>IF(tblsales[[#This Row],[Invoice Value USD]]="","",tblsales[[#This Row],[Collected Amount USD]]/tblsales[[#This Row],[Invoice Value USD]])</f>
        <v>0.52341881043119265</v>
      </c>
      <c r="BE742" s="11">
        <f>IF(tblsales[[#This Row],[SalesStage]]="Won",1,0)</f>
        <v>0</v>
      </c>
      <c r="BF742" s="21" t="str">
        <f>IF(tblsales[[#This Row],[Win Flag]]=1,"Won","Lost")</f>
        <v>Lost</v>
      </c>
      <c r="BG742" s="8"/>
    </row>
    <row r="743" spans="1:59" x14ac:dyDescent="0.3">
      <c r="A743" s="10" t="s">
        <v>2527</v>
      </c>
      <c r="B743" s="9">
        <v>46045</v>
      </c>
      <c r="C743" s="10" t="s">
        <v>284</v>
      </c>
      <c r="D743" s="10" t="s">
        <v>238</v>
      </c>
      <c r="E743" s="10" t="s">
        <v>36</v>
      </c>
      <c r="F743" s="10" t="s">
        <v>19</v>
      </c>
      <c r="G743" s="10" t="s">
        <v>332</v>
      </c>
      <c r="H743" s="10" t="s">
        <v>263</v>
      </c>
      <c r="I743" s="10" t="s">
        <v>203</v>
      </c>
      <c r="J743" s="10" t="s">
        <v>115</v>
      </c>
      <c r="K743" s="10" t="s">
        <v>184</v>
      </c>
      <c r="L743" s="10" t="s">
        <v>2528</v>
      </c>
      <c r="M743" s="9">
        <v>45976</v>
      </c>
      <c r="N743" s="9"/>
      <c r="O743" s="9">
        <v>46079</v>
      </c>
      <c r="P743" s="11">
        <v>47</v>
      </c>
      <c r="Q743" s="12">
        <v>21933478</v>
      </c>
      <c r="R743">
        <v>5972486.0593999997</v>
      </c>
      <c r="S743" s="22">
        <v>0.03</v>
      </c>
      <c r="T743" s="22">
        <v>0.05</v>
      </c>
      <c r="U743" s="12">
        <v>22339247.34</v>
      </c>
      <c r="V743" s="24">
        <v>6082977.0506819999</v>
      </c>
      <c r="W743" s="8">
        <v>19809937.91</v>
      </c>
      <c r="X743" s="24">
        <v>5394246.0928929998</v>
      </c>
      <c r="Y743" s="22"/>
      <c r="Z743" s="22">
        <v>0.16</v>
      </c>
      <c r="AA743" s="8"/>
      <c r="AB743" s="8">
        <v>13216973.92</v>
      </c>
      <c r="AC743" s="24">
        <v>3598981.9984159996</v>
      </c>
      <c r="AD743" s="8">
        <v>5615639.1299999999</v>
      </c>
      <c r="AE743" s="24">
        <v>1529138.535099</v>
      </c>
      <c r="AF743" s="8">
        <v>120</v>
      </c>
      <c r="AG743" s="8">
        <v>167</v>
      </c>
      <c r="AH743" s="8" t="s">
        <v>347</v>
      </c>
      <c r="AI743" s="8" t="s">
        <v>455</v>
      </c>
      <c r="AJ743" s="22">
        <v>7.0000000000000007E-2</v>
      </c>
      <c r="AK743" s="8" t="s">
        <v>153</v>
      </c>
      <c r="AL743" s="22">
        <v>0.05</v>
      </c>
      <c r="AM743" s="22">
        <v>7.0000000000000007E-2</v>
      </c>
      <c r="AN743" s="8">
        <v>1</v>
      </c>
      <c r="AO743" s="8">
        <v>2978</v>
      </c>
      <c r="AP743" s="8"/>
      <c r="AQ743" s="24"/>
      <c r="AR743" s="8">
        <v>8580567.2799999993</v>
      </c>
      <c r="AS743" s="37">
        <v>2336488.4703439996</v>
      </c>
      <c r="AT743" s="8" t="s">
        <v>343</v>
      </c>
      <c r="AU743" s="8" t="s">
        <v>322</v>
      </c>
      <c r="AV743" s="8">
        <v>94.4</v>
      </c>
      <c r="AW743" s="8">
        <v>36</v>
      </c>
      <c r="AX743" s="8" t="s">
        <v>332</v>
      </c>
      <c r="AY743" s="8" t="s">
        <v>229</v>
      </c>
      <c r="AZ743" s="8" t="s">
        <v>361</v>
      </c>
      <c r="BA743" s="21">
        <f>IF(OR(tblsales[[#This Row],[Invoice Value USD]]="",tblsales[[#This Row],[Collected Amount USD]]=""),"",tblsales[[#This Row],[Invoice Value USD]]-tblsales[[#This Row],[Collected Amount USD]])</f>
        <v>2069843.4633169996</v>
      </c>
      <c r="BB743" s="21">
        <f>IF(OR(tblsales[[#This Row],[Contract Value USD]]="",tblsales[[#This Row],[Cost Estimate USD]]=""),"",tblsales[[#This Row],[Contract Value USD]]-tblsales[[#This Row],[Cost Estimate USD]])</f>
        <v>688730.95778900012</v>
      </c>
      <c r="BC743" s="21">
        <f>IF(OR(tblsales[[#This Row],[Contract Value USD]]="",tblsales[[#This Row],[Cost Estimate USD]]=""),"",tblsales[[#This Row],[Contract Value USD]]-tblsales[[#This Row],[Cost Estimate USD]])</f>
        <v>688730.95778900012</v>
      </c>
      <c r="BD743" s="23">
        <f>IF(tblsales[[#This Row],[Invoice Value USD]]="","",tblsales[[#This Row],[Collected Amount USD]]/tblsales[[#This Row],[Invoice Value USD]])</f>
        <v>0.4248808512440494</v>
      </c>
      <c r="BE743" s="11">
        <f>IF(tblsales[[#This Row],[SalesStage]]="Won",1,0)</f>
        <v>0</v>
      </c>
      <c r="BF743" s="21" t="str">
        <f>IF(tblsales[[#This Row],[Win Flag]]=1,"Won","Lost")</f>
        <v>Lost</v>
      </c>
      <c r="BG743" s="8"/>
    </row>
    <row r="744" spans="1:59" x14ac:dyDescent="0.3">
      <c r="A744" s="10" t="s">
        <v>2529</v>
      </c>
      <c r="B744" s="9">
        <v>45783</v>
      </c>
      <c r="C744" s="10" t="s">
        <v>275</v>
      </c>
      <c r="D744" s="10" t="s">
        <v>238</v>
      </c>
      <c r="E744" s="10" t="s">
        <v>52</v>
      </c>
      <c r="F744" s="10" t="s">
        <v>75</v>
      </c>
      <c r="G744" s="10" t="s">
        <v>78</v>
      </c>
      <c r="H744" s="10" t="s">
        <v>212</v>
      </c>
      <c r="I744" s="10" t="s">
        <v>191</v>
      </c>
      <c r="J744" s="10" t="s">
        <v>133</v>
      </c>
      <c r="K744" s="10" t="s">
        <v>221</v>
      </c>
      <c r="L744" s="10" t="s">
        <v>2530</v>
      </c>
      <c r="M744" s="9">
        <v>45701</v>
      </c>
      <c r="N744" s="9"/>
      <c r="O744" s="9">
        <v>45897</v>
      </c>
      <c r="P744" s="11">
        <v>15</v>
      </c>
      <c r="Q744" s="12">
        <v>2582064</v>
      </c>
      <c r="R744">
        <v>2997776.304</v>
      </c>
      <c r="S744" s="22">
        <v>0.31</v>
      </c>
      <c r="T744" s="22">
        <v>0.04</v>
      </c>
      <c r="U744" s="12">
        <v>1852889.13</v>
      </c>
      <c r="V744" s="24">
        <v>2151204.2799299997</v>
      </c>
      <c r="W744" s="8">
        <v>1167975.6200000001</v>
      </c>
      <c r="X744" s="24">
        <v>1356019.6948200001</v>
      </c>
      <c r="Y744" s="22">
        <v>0.23</v>
      </c>
      <c r="Z744" s="22">
        <v>0.16</v>
      </c>
      <c r="AA744" s="8" t="s">
        <v>2531</v>
      </c>
      <c r="AB744" s="8">
        <v>210164.87</v>
      </c>
      <c r="AC744" s="24">
        <v>244001.41407</v>
      </c>
      <c r="AD744" s="8">
        <v>185655.05</v>
      </c>
      <c r="AE744" s="24">
        <v>215545.51304999998</v>
      </c>
      <c r="AF744" s="8">
        <v>60</v>
      </c>
      <c r="AG744" s="8">
        <v>26</v>
      </c>
      <c r="AH744" s="8" t="s">
        <v>353</v>
      </c>
      <c r="AI744" s="8" t="s">
        <v>406</v>
      </c>
      <c r="AJ744" s="22">
        <v>0.24</v>
      </c>
      <c r="AK744" s="8" t="s">
        <v>159</v>
      </c>
      <c r="AL744" s="22">
        <v>0.15</v>
      </c>
      <c r="AM744" s="22">
        <v>0.02</v>
      </c>
      <c r="AN744" s="8">
        <v>12</v>
      </c>
      <c r="AO744" s="8">
        <v>2963</v>
      </c>
      <c r="AP744" s="8"/>
      <c r="AQ744" s="24"/>
      <c r="AR744" s="8">
        <v>504374.67</v>
      </c>
      <c r="AS744" s="37">
        <v>585578.99187000003</v>
      </c>
      <c r="AT744" s="8" t="s">
        <v>385</v>
      </c>
      <c r="AU744" s="8" t="s">
        <v>321</v>
      </c>
      <c r="AV744" s="8">
        <v>64.900000000000006</v>
      </c>
      <c r="AW744" s="8">
        <v>12</v>
      </c>
      <c r="AX744" s="8" t="s">
        <v>323</v>
      </c>
      <c r="AY744" s="8" t="s">
        <v>186</v>
      </c>
      <c r="AZ744" s="8" t="s">
        <v>357</v>
      </c>
      <c r="BA744" s="21">
        <f>IF(OR(tblsales[[#This Row],[Invoice Value USD]]="",tblsales[[#This Row],[Collected Amount USD]]=""),"",tblsales[[#This Row],[Invoice Value USD]]-tblsales[[#This Row],[Collected Amount USD]])</f>
        <v>28455.901020000019</v>
      </c>
      <c r="BB744" s="21">
        <f>IF(OR(tblsales[[#This Row],[Contract Value USD]]="",tblsales[[#This Row],[Cost Estimate USD]]=""),"",tblsales[[#This Row],[Contract Value USD]]-tblsales[[#This Row],[Cost Estimate USD]])</f>
        <v>795184.58510999964</v>
      </c>
      <c r="BC744" s="21">
        <f>IF(OR(tblsales[[#This Row],[Contract Value USD]]="",tblsales[[#This Row],[Cost Estimate USD]]=""),"",tblsales[[#This Row],[Contract Value USD]]-tblsales[[#This Row],[Cost Estimate USD]])</f>
        <v>795184.58510999964</v>
      </c>
      <c r="BD744" s="23">
        <f>IF(tblsales[[#This Row],[Invoice Value USD]]="","",tblsales[[#This Row],[Collected Amount USD]]/tblsales[[#This Row],[Invoice Value USD]])</f>
        <v>0.88337813070281435</v>
      </c>
      <c r="BE744" s="11">
        <f>IF(tblsales[[#This Row],[SalesStage]]="Won",1,0)</f>
        <v>0</v>
      </c>
      <c r="BF744" s="21" t="str">
        <f>IF(tblsales[[#This Row],[Win Flag]]=1,"Won","Lost")</f>
        <v>Lost</v>
      </c>
      <c r="BG744" s="8"/>
    </row>
    <row r="745" spans="1:59" x14ac:dyDescent="0.3">
      <c r="A745" s="10" t="s">
        <v>2532</v>
      </c>
      <c r="B745" s="9">
        <v>45842</v>
      </c>
      <c r="C745" s="10" t="s">
        <v>179</v>
      </c>
      <c r="D745" s="10" t="s">
        <v>250</v>
      </c>
      <c r="E745" s="10" t="s">
        <v>41</v>
      </c>
      <c r="F745" s="10" t="s">
        <v>350</v>
      </c>
      <c r="G745" s="10" t="s">
        <v>16</v>
      </c>
      <c r="H745" s="10" t="s">
        <v>263</v>
      </c>
      <c r="I745" s="10" t="s">
        <v>233</v>
      </c>
      <c r="J745" s="10" t="s">
        <v>130</v>
      </c>
      <c r="K745" s="10" t="s">
        <v>184</v>
      </c>
      <c r="L745" s="10" t="s">
        <v>2533</v>
      </c>
      <c r="M745" s="9">
        <v>45774</v>
      </c>
      <c r="N745" s="9"/>
      <c r="O745" s="9">
        <v>45946</v>
      </c>
      <c r="P745" s="11">
        <v>60</v>
      </c>
      <c r="Q745" s="12">
        <v>34483988</v>
      </c>
      <c r="R745">
        <v>9389989.9323999994</v>
      </c>
      <c r="S745" s="22">
        <v>0.25</v>
      </c>
      <c r="T745" s="22">
        <v>0.13</v>
      </c>
      <c r="U745" s="12">
        <v>29225179.829999998</v>
      </c>
      <c r="V745" s="24">
        <v>7958016.4677089993</v>
      </c>
      <c r="W745" s="8">
        <v>23093716.510000002</v>
      </c>
      <c r="X745" s="24">
        <v>6288419.0056730006</v>
      </c>
      <c r="Y745" s="22">
        <v>0.15</v>
      </c>
      <c r="Z745" s="22">
        <v>0.06</v>
      </c>
      <c r="AA745" s="8" t="s">
        <v>2534</v>
      </c>
      <c r="AB745" s="8"/>
      <c r="AC745" s="24"/>
      <c r="AD745" s="8">
        <v>15316272.48</v>
      </c>
      <c r="AE745" s="24">
        <v>4170620.9963039998</v>
      </c>
      <c r="AF745" s="8">
        <v>60</v>
      </c>
      <c r="AG745" s="8">
        <v>165</v>
      </c>
      <c r="AH745" s="8" t="s">
        <v>332</v>
      </c>
      <c r="AI745" s="8" t="s">
        <v>406</v>
      </c>
      <c r="AJ745" s="22">
        <v>0.2</v>
      </c>
      <c r="AK745" s="8" t="s">
        <v>153</v>
      </c>
      <c r="AL745" s="22">
        <v>0.05</v>
      </c>
      <c r="AM745" s="22">
        <v>0.06</v>
      </c>
      <c r="AN745" s="8">
        <v>0</v>
      </c>
      <c r="AO745" s="8">
        <v>2334</v>
      </c>
      <c r="AP745" s="8">
        <v>5514054.0300000003</v>
      </c>
      <c r="AQ745" s="24">
        <v>1501476.912369</v>
      </c>
      <c r="AR745" s="8">
        <v>6964672.1600000001</v>
      </c>
      <c r="AS745" s="37">
        <v>1896480.2291679999</v>
      </c>
      <c r="AT745" s="8" t="s">
        <v>73</v>
      </c>
      <c r="AU745" s="8" t="s">
        <v>330</v>
      </c>
      <c r="AV745" s="8">
        <v>83.1</v>
      </c>
      <c r="AW745" s="8">
        <v>60</v>
      </c>
      <c r="AX745" s="8" t="s">
        <v>323</v>
      </c>
      <c r="AY745" s="8" t="s">
        <v>206</v>
      </c>
      <c r="AZ745" s="8" t="s">
        <v>357</v>
      </c>
      <c r="BA745" s="21" t="str">
        <f>IF(OR(tblsales[[#This Row],[Invoice Value USD]]="",tblsales[[#This Row],[Collected Amount USD]]=""),"",tblsales[[#This Row],[Invoice Value USD]]-tblsales[[#This Row],[Collected Amount USD]])</f>
        <v/>
      </c>
      <c r="BB745" s="21">
        <f>IF(OR(tblsales[[#This Row],[Contract Value USD]]="",tblsales[[#This Row],[Cost Estimate USD]]=""),"",tblsales[[#This Row],[Contract Value USD]]-tblsales[[#This Row],[Cost Estimate USD]])</f>
        <v>1669597.4620359987</v>
      </c>
      <c r="BC745" s="21">
        <f>IF(OR(tblsales[[#This Row],[Contract Value USD]]="",tblsales[[#This Row],[Cost Estimate USD]]=""),"",tblsales[[#This Row],[Contract Value USD]]-tblsales[[#This Row],[Cost Estimate USD]])</f>
        <v>1669597.4620359987</v>
      </c>
      <c r="BD745" s="23" t="str">
        <f>IF(tblsales[[#This Row],[Invoice Value USD]]="","",tblsales[[#This Row],[Collected Amount USD]]/tblsales[[#This Row],[Invoice Value USD]])</f>
        <v/>
      </c>
      <c r="BE745" s="11">
        <f>IF(tblsales[[#This Row],[SalesStage]]="Won",1,0)</f>
        <v>0</v>
      </c>
      <c r="BF745" s="21" t="str">
        <f>IF(tblsales[[#This Row],[Win Flag]]=1,"Won","Lost")</f>
        <v>Lost</v>
      </c>
      <c r="BG745" s="8"/>
    </row>
    <row r="746" spans="1:59" x14ac:dyDescent="0.3">
      <c r="A746" s="10" t="s">
        <v>2535</v>
      </c>
      <c r="B746" s="9">
        <v>45906</v>
      </c>
      <c r="C746" s="10" t="s">
        <v>241</v>
      </c>
      <c r="D746" s="10" t="s">
        <v>242</v>
      </c>
      <c r="E746" s="10" t="s">
        <v>332</v>
      </c>
      <c r="F746" s="10" t="s">
        <v>350</v>
      </c>
      <c r="G746" s="10" t="s">
        <v>70</v>
      </c>
      <c r="H746" s="10" t="s">
        <v>212</v>
      </c>
      <c r="I746" s="10" t="s">
        <v>183</v>
      </c>
      <c r="J746" s="10" t="s">
        <v>99</v>
      </c>
      <c r="K746" s="10" t="s">
        <v>184</v>
      </c>
      <c r="L746" s="10" t="s">
        <v>2536</v>
      </c>
      <c r="M746" s="9">
        <v>45890</v>
      </c>
      <c r="N746" s="9">
        <v>45699</v>
      </c>
      <c r="O746" s="9">
        <v>46010</v>
      </c>
      <c r="P746" s="11">
        <v>15</v>
      </c>
      <c r="Q746" s="12">
        <v>5591040</v>
      </c>
      <c r="R746">
        <v>6491197.4400000004</v>
      </c>
      <c r="S746" s="22">
        <v>0.31</v>
      </c>
      <c r="T746" s="22">
        <v>0.16</v>
      </c>
      <c r="U746" s="12">
        <v>4475068.42</v>
      </c>
      <c r="V746" s="24">
        <v>5195554.4356199997</v>
      </c>
      <c r="W746" s="8">
        <v>3255243.52</v>
      </c>
      <c r="X746" s="24">
        <v>3779337.7267200002</v>
      </c>
      <c r="Y746" s="22">
        <v>0.1</v>
      </c>
      <c r="Z746" s="22">
        <v>0.12</v>
      </c>
      <c r="AA746" s="8" t="s">
        <v>2537</v>
      </c>
      <c r="AB746" s="8">
        <v>1682337.18</v>
      </c>
      <c r="AC746" s="24">
        <v>1953193.4659799999</v>
      </c>
      <c r="AD746" s="8">
        <v>1411314.1</v>
      </c>
      <c r="AE746" s="24">
        <v>1638535.6701000002</v>
      </c>
      <c r="AF746" s="8">
        <v>45</v>
      </c>
      <c r="AG746" s="8">
        <v>73</v>
      </c>
      <c r="AH746" s="8" t="s">
        <v>332</v>
      </c>
      <c r="AI746" s="8" t="s">
        <v>226</v>
      </c>
      <c r="AJ746" s="22">
        <v>0.51</v>
      </c>
      <c r="AK746" s="8" t="s">
        <v>159</v>
      </c>
      <c r="AL746" s="22">
        <v>0.1</v>
      </c>
      <c r="AM746" s="22">
        <v>0.02</v>
      </c>
      <c r="AN746" s="8">
        <v>9</v>
      </c>
      <c r="AO746" s="8">
        <v>213</v>
      </c>
      <c r="AP746" s="8">
        <v>1057435.08</v>
      </c>
      <c r="AQ746" s="24">
        <v>1227682.12788</v>
      </c>
      <c r="AR746" s="8">
        <v>548977.26</v>
      </c>
      <c r="AS746" s="37">
        <v>637362.59886000003</v>
      </c>
      <c r="AT746" s="8" t="s">
        <v>321</v>
      </c>
      <c r="AU746" s="8" t="s">
        <v>322</v>
      </c>
      <c r="AV746" s="8">
        <v>60.2</v>
      </c>
      <c r="AW746" s="8">
        <v>36</v>
      </c>
      <c r="AX746" s="8" t="s">
        <v>387</v>
      </c>
      <c r="AY746" s="8" t="s">
        <v>224</v>
      </c>
      <c r="AZ746" s="8" t="s">
        <v>332</v>
      </c>
      <c r="BA746" s="21">
        <f>IF(OR(tblsales[[#This Row],[Invoice Value USD]]="",tblsales[[#This Row],[Collected Amount USD]]=""),"",tblsales[[#This Row],[Invoice Value USD]]-tblsales[[#This Row],[Collected Amount USD]])</f>
        <v>314657.79587999964</v>
      </c>
      <c r="BB746" s="21">
        <f>IF(OR(tblsales[[#This Row],[Contract Value USD]]="",tblsales[[#This Row],[Cost Estimate USD]]=""),"",tblsales[[#This Row],[Contract Value USD]]-tblsales[[#This Row],[Cost Estimate USD]])</f>
        <v>1416216.7088999995</v>
      </c>
      <c r="BC746" s="21">
        <f>IF(OR(tblsales[[#This Row],[Contract Value USD]]="",tblsales[[#This Row],[Cost Estimate USD]]=""),"",tblsales[[#This Row],[Contract Value USD]]-tblsales[[#This Row],[Cost Estimate USD]])</f>
        <v>1416216.7088999995</v>
      </c>
      <c r="BD746" s="23">
        <f>IF(tblsales[[#This Row],[Invoice Value USD]]="","",tblsales[[#This Row],[Collected Amount USD]]/tblsales[[#This Row],[Invoice Value USD]])</f>
        <v>0.83890085577256301</v>
      </c>
      <c r="BE746" s="11">
        <f>IF(tblsales[[#This Row],[SalesStage]]="Won",1,0)</f>
        <v>0</v>
      </c>
      <c r="BF746" s="21" t="str">
        <f>IF(tblsales[[#This Row],[Win Flag]]=1,"Won","Lost")</f>
        <v>Lost</v>
      </c>
      <c r="BG746" s="8"/>
    </row>
    <row r="747" spans="1:59" x14ac:dyDescent="0.3">
      <c r="A747" s="10" t="s">
        <v>2538</v>
      </c>
      <c r="B747" s="9">
        <v>45872</v>
      </c>
      <c r="C747" s="10" t="s">
        <v>189</v>
      </c>
      <c r="D747" s="10" t="s">
        <v>262</v>
      </c>
      <c r="E747" s="10" t="s">
        <v>113</v>
      </c>
      <c r="F747" s="10" t="s">
        <v>367</v>
      </c>
      <c r="G747" s="10" t="s">
        <v>33</v>
      </c>
      <c r="H747" s="10" t="s">
        <v>212</v>
      </c>
      <c r="I747" s="10" t="s">
        <v>183</v>
      </c>
      <c r="J747" s="10" t="s">
        <v>111</v>
      </c>
      <c r="K747" s="10" t="s">
        <v>184</v>
      </c>
      <c r="L747" s="10" t="s">
        <v>2539</v>
      </c>
      <c r="M747" s="9">
        <v>45998</v>
      </c>
      <c r="N747" s="9"/>
      <c r="O747" s="9">
        <v>45980</v>
      </c>
      <c r="P747" s="11">
        <v>38</v>
      </c>
      <c r="Q747" s="12">
        <v>604707</v>
      </c>
      <c r="R747">
        <v>604707</v>
      </c>
      <c r="S747" s="22">
        <v>0.16</v>
      </c>
      <c r="T747" s="22">
        <v>-0.02</v>
      </c>
      <c r="U747" s="12">
        <v>497794.8</v>
      </c>
      <c r="V747" s="24">
        <v>497794.8</v>
      </c>
      <c r="W747" s="8">
        <v>323276.39</v>
      </c>
      <c r="X747" s="24">
        <v>323276.39</v>
      </c>
      <c r="Y747" s="22">
        <v>0.12</v>
      </c>
      <c r="Z747" s="22">
        <v>0.08</v>
      </c>
      <c r="AA747" s="8" t="s">
        <v>2540</v>
      </c>
      <c r="AB747" s="8">
        <v>49959.33</v>
      </c>
      <c r="AC747" s="24">
        <v>49959.33</v>
      </c>
      <c r="AD747" s="8">
        <v>32089.56</v>
      </c>
      <c r="AE747" s="24">
        <v>32089.56</v>
      </c>
      <c r="AF747" s="8">
        <v>45</v>
      </c>
      <c r="AG747" s="8">
        <v>45</v>
      </c>
      <c r="AH747" s="8" t="s">
        <v>342</v>
      </c>
      <c r="AI747" s="8" t="s">
        <v>406</v>
      </c>
      <c r="AJ747" s="22">
        <v>0.39</v>
      </c>
      <c r="AK747" s="8" t="s">
        <v>152</v>
      </c>
      <c r="AL747" s="22">
        <v>0.1</v>
      </c>
      <c r="AM747" s="22">
        <v>0.04</v>
      </c>
      <c r="AN747" s="8">
        <v>6</v>
      </c>
      <c r="AO747" s="8"/>
      <c r="AP747" s="8">
        <v>97342.14</v>
      </c>
      <c r="AQ747" s="24">
        <v>97342.14</v>
      </c>
      <c r="AR747" s="8">
        <v>82362.02</v>
      </c>
      <c r="AS747" s="37">
        <v>82362.02</v>
      </c>
      <c r="AT747" s="8" t="s">
        <v>321</v>
      </c>
      <c r="AU747" s="8" t="s">
        <v>332</v>
      </c>
      <c r="AV747" s="8">
        <v>87.1</v>
      </c>
      <c r="AW747" s="8">
        <v>36</v>
      </c>
      <c r="AX747" s="8" t="s">
        <v>323</v>
      </c>
      <c r="AY747" s="8" t="s">
        <v>229</v>
      </c>
      <c r="AZ747" s="8" t="s">
        <v>332</v>
      </c>
      <c r="BA747" s="21">
        <f>IF(OR(tblsales[[#This Row],[Invoice Value USD]]="",tblsales[[#This Row],[Collected Amount USD]]=""),"",tblsales[[#This Row],[Invoice Value USD]]-tblsales[[#This Row],[Collected Amount USD]])</f>
        <v>17869.77</v>
      </c>
      <c r="BB747" s="21">
        <f>IF(OR(tblsales[[#This Row],[Contract Value USD]]="",tblsales[[#This Row],[Cost Estimate USD]]=""),"",tblsales[[#This Row],[Contract Value USD]]-tblsales[[#This Row],[Cost Estimate USD]])</f>
        <v>174518.40999999997</v>
      </c>
      <c r="BC747" s="21">
        <f>IF(OR(tblsales[[#This Row],[Contract Value USD]]="",tblsales[[#This Row],[Cost Estimate USD]]=""),"",tblsales[[#This Row],[Contract Value USD]]-tblsales[[#This Row],[Cost Estimate USD]])</f>
        <v>174518.40999999997</v>
      </c>
      <c r="BD747" s="23">
        <f>IF(tblsales[[#This Row],[Invoice Value USD]]="","",tblsales[[#This Row],[Collected Amount USD]]/tblsales[[#This Row],[Invoice Value USD]])</f>
        <v>0.64231365792935979</v>
      </c>
      <c r="BE747" s="11">
        <f>IF(tblsales[[#This Row],[SalesStage]]="Won",1,0)</f>
        <v>0</v>
      </c>
      <c r="BF747" s="21" t="str">
        <f>IF(tblsales[[#This Row],[Win Flag]]=1,"Won","Lost")</f>
        <v>Lost</v>
      </c>
      <c r="BG747" s="8"/>
    </row>
    <row r="748" spans="1:59" x14ac:dyDescent="0.3">
      <c r="A748" s="10" t="s">
        <v>2541</v>
      </c>
      <c r="B748" s="9">
        <v>45800</v>
      </c>
      <c r="C748" s="10" t="s">
        <v>271</v>
      </c>
      <c r="D748" s="10" t="s">
        <v>394</v>
      </c>
      <c r="E748" s="10" t="s">
        <v>20</v>
      </c>
      <c r="F748" s="10" t="s">
        <v>196</v>
      </c>
      <c r="G748" s="10" t="s">
        <v>66</v>
      </c>
      <c r="H748" s="10" t="s">
        <v>263</v>
      </c>
      <c r="I748" s="10" t="s">
        <v>203</v>
      </c>
      <c r="J748" s="10" t="s">
        <v>136</v>
      </c>
      <c r="K748" s="10" t="s">
        <v>204</v>
      </c>
      <c r="L748" s="10" t="s">
        <v>2542</v>
      </c>
      <c r="M748" s="9">
        <v>45903</v>
      </c>
      <c r="N748" s="9"/>
      <c r="O748" s="9"/>
      <c r="P748" s="11">
        <v>24</v>
      </c>
      <c r="Q748" s="12">
        <v>48575601</v>
      </c>
      <c r="R748">
        <v>13343717.594699999</v>
      </c>
      <c r="S748" s="22">
        <v>0.15</v>
      </c>
      <c r="T748" s="22">
        <v>0.19</v>
      </c>
      <c r="U748" s="12">
        <v>49134220.409999996</v>
      </c>
      <c r="V748" s="24">
        <v>13497170.346626999</v>
      </c>
      <c r="W748" s="8">
        <v>31058749.379999999</v>
      </c>
      <c r="X748" s="24">
        <v>8531838.4546859991</v>
      </c>
      <c r="Y748" s="22">
        <v>0.28999999999999998</v>
      </c>
      <c r="Z748" s="22">
        <v>7.0000000000000007E-2</v>
      </c>
      <c r="AA748" s="8"/>
      <c r="AB748" s="8">
        <v>22482986.02</v>
      </c>
      <c r="AC748" s="24">
        <v>6176076.2596939998</v>
      </c>
      <c r="AD748" s="8">
        <v>11416203.609999999</v>
      </c>
      <c r="AE748" s="24">
        <v>3136031.1316669998</v>
      </c>
      <c r="AF748" s="8">
        <v>120</v>
      </c>
      <c r="AG748" s="8">
        <v>92</v>
      </c>
      <c r="AH748" s="8" t="s">
        <v>376</v>
      </c>
      <c r="AI748" s="8" t="s">
        <v>226</v>
      </c>
      <c r="AJ748" s="22">
        <v>0.41</v>
      </c>
      <c r="AK748" s="8" t="s">
        <v>155</v>
      </c>
      <c r="AL748" s="22">
        <v>0.1</v>
      </c>
      <c r="AM748" s="22">
        <v>0.09</v>
      </c>
      <c r="AN748" s="8">
        <v>8</v>
      </c>
      <c r="AO748" s="8">
        <v>3363</v>
      </c>
      <c r="AP748" s="8">
        <v>7361112.1699999999</v>
      </c>
      <c r="AQ748" s="24">
        <v>2022097.5130990001</v>
      </c>
      <c r="AR748" s="8">
        <v>23869840.859999999</v>
      </c>
      <c r="AS748" s="37">
        <v>6557045.2842419995</v>
      </c>
      <c r="AT748" s="8" t="s">
        <v>332</v>
      </c>
      <c r="AU748" s="8" t="s">
        <v>356</v>
      </c>
      <c r="AV748" s="8">
        <v>50.6</v>
      </c>
      <c r="AW748" s="8">
        <v>60</v>
      </c>
      <c r="AX748" s="8" t="s">
        <v>337</v>
      </c>
      <c r="AY748" s="8" t="s">
        <v>224</v>
      </c>
      <c r="AZ748" s="8" t="s">
        <v>357</v>
      </c>
      <c r="BA748" s="21">
        <f>IF(OR(tblsales[[#This Row],[Invoice Value USD]]="",tblsales[[#This Row],[Collected Amount USD]]=""),"",tblsales[[#This Row],[Invoice Value USD]]-tblsales[[#This Row],[Collected Amount USD]])</f>
        <v>3040045.128027</v>
      </c>
      <c r="BB748" s="21">
        <f>IF(OR(tblsales[[#This Row],[Contract Value USD]]="",tblsales[[#This Row],[Cost Estimate USD]]=""),"",tblsales[[#This Row],[Contract Value USD]]-tblsales[[#This Row],[Cost Estimate USD]])</f>
        <v>4965331.8919409998</v>
      </c>
      <c r="BC748" s="21">
        <f>IF(OR(tblsales[[#This Row],[Contract Value USD]]="",tblsales[[#This Row],[Cost Estimate USD]]=""),"",tblsales[[#This Row],[Contract Value USD]]-tblsales[[#This Row],[Cost Estimate USD]])</f>
        <v>4965331.8919409998</v>
      </c>
      <c r="BD748" s="23">
        <f>IF(tblsales[[#This Row],[Invoice Value USD]]="","",tblsales[[#This Row],[Collected Amount USD]]/tblsales[[#This Row],[Invoice Value USD]])</f>
        <v>0.50777079164860861</v>
      </c>
      <c r="BE748" s="11">
        <f>IF(tblsales[[#This Row],[SalesStage]]="Won",1,0)</f>
        <v>0</v>
      </c>
      <c r="BF748" s="21" t="str">
        <f>IF(tblsales[[#This Row],[Win Flag]]=1,"Won","Lost")</f>
        <v>Lost</v>
      </c>
      <c r="BG748" s="8"/>
    </row>
    <row r="749" spans="1:59" x14ac:dyDescent="0.3">
      <c r="A749" s="10" t="s">
        <v>2543</v>
      </c>
      <c r="B749" s="9">
        <v>46072</v>
      </c>
      <c r="C749" s="10" t="s">
        <v>286</v>
      </c>
      <c r="D749" s="10" t="s">
        <v>242</v>
      </c>
      <c r="E749" s="10" t="s">
        <v>332</v>
      </c>
      <c r="F749" s="10" t="s">
        <v>367</v>
      </c>
      <c r="G749" s="10" t="s">
        <v>57</v>
      </c>
      <c r="H749" s="10" t="s">
        <v>236</v>
      </c>
      <c r="I749" s="10" t="s">
        <v>240</v>
      </c>
      <c r="J749" s="10" t="s">
        <v>99</v>
      </c>
      <c r="K749" s="10" t="s">
        <v>210</v>
      </c>
      <c r="L749" s="10" t="s">
        <v>2544</v>
      </c>
      <c r="M749" s="9">
        <v>46060</v>
      </c>
      <c r="N749" s="9"/>
      <c r="O749" s="9">
        <v>46057</v>
      </c>
      <c r="P749" s="11"/>
      <c r="Q749" s="12">
        <v>40782733</v>
      </c>
      <c r="R749">
        <v>11105138.195899999</v>
      </c>
      <c r="S749" s="22">
        <v>0.27</v>
      </c>
      <c r="T749" s="22">
        <v>0.17</v>
      </c>
      <c r="U749" s="12">
        <v>34832532.259999998</v>
      </c>
      <c r="V749" s="24">
        <v>9484898.5343979988</v>
      </c>
      <c r="W749" s="8">
        <v>25968028.859999999</v>
      </c>
      <c r="X749" s="24">
        <v>7071094.2585779997</v>
      </c>
      <c r="Y749" s="22">
        <v>0.32</v>
      </c>
      <c r="Z749" s="22">
        <v>0.1</v>
      </c>
      <c r="AA749" s="8" t="s">
        <v>2545</v>
      </c>
      <c r="AB749" s="8">
        <v>26914081.93</v>
      </c>
      <c r="AC749" s="24">
        <v>7328704.5095389998</v>
      </c>
      <c r="AD749" s="8">
        <v>15370358.449999999</v>
      </c>
      <c r="AE749" s="24">
        <v>4185348.6059349994</v>
      </c>
      <c r="AF749" s="8">
        <v>30</v>
      </c>
      <c r="AG749" s="8">
        <v>111</v>
      </c>
      <c r="AH749" s="8" t="s">
        <v>332</v>
      </c>
      <c r="AI749" s="8" t="s">
        <v>406</v>
      </c>
      <c r="AJ749" s="22">
        <v>0.51</v>
      </c>
      <c r="AK749" s="8" t="s">
        <v>153</v>
      </c>
      <c r="AL749" s="22">
        <v>0.05</v>
      </c>
      <c r="AM749" s="22">
        <v>0.08</v>
      </c>
      <c r="AN749" s="8">
        <v>7</v>
      </c>
      <c r="AO749" s="8">
        <v>3734</v>
      </c>
      <c r="AP749" s="8">
        <v>4468651.6900000004</v>
      </c>
      <c r="AQ749" s="24">
        <v>1216813.855187</v>
      </c>
      <c r="AR749" s="8">
        <v>7735449.6900000004</v>
      </c>
      <c r="AS749" s="37">
        <v>2106362.9505870002</v>
      </c>
      <c r="AT749" s="8" t="s">
        <v>355</v>
      </c>
      <c r="AU749" s="8" t="s">
        <v>356</v>
      </c>
      <c r="AV749" s="8">
        <v>92.5</v>
      </c>
      <c r="AW749" s="8">
        <v>36</v>
      </c>
      <c r="AX749" s="8" t="s">
        <v>387</v>
      </c>
      <c r="AY749" s="8" t="s">
        <v>206</v>
      </c>
      <c r="AZ749" s="8" t="s">
        <v>377</v>
      </c>
      <c r="BA749" s="21">
        <f>IF(OR(tblsales[[#This Row],[Invoice Value USD]]="",tblsales[[#This Row],[Collected Amount USD]]=""),"",tblsales[[#This Row],[Invoice Value USD]]-tblsales[[#This Row],[Collected Amount USD]])</f>
        <v>3143355.9036040003</v>
      </c>
      <c r="BB749" s="21">
        <f>IF(OR(tblsales[[#This Row],[Contract Value USD]]="",tblsales[[#This Row],[Cost Estimate USD]]=""),"",tblsales[[#This Row],[Contract Value USD]]-tblsales[[#This Row],[Cost Estimate USD]])</f>
        <v>2413804.2758199992</v>
      </c>
      <c r="BC749" s="21">
        <f>IF(OR(tblsales[[#This Row],[Contract Value USD]]="",tblsales[[#This Row],[Cost Estimate USD]]=""),"",tblsales[[#This Row],[Contract Value USD]]-tblsales[[#This Row],[Cost Estimate USD]])</f>
        <v>2413804.2758199992</v>
      </c>
      <c r="BD749" s="23">
        <f>IF(tblsales[[#This Row],[Invoice Value USD]]="","",tblsales[[#This Row],[Collected Amount USD]]/tblsales[[#This Row],[Invoice Value USD]])</f>
        <v>0.5710898291079104</v>
      </c>
      <c r="BE749" s="11">
        <f>IF(tblsales[[#This Row],[SalesStage]]="Won",1,0)</f>
        <v>0</v>
      </c>
      <c r="BF749" s="21" t="str">
        <f>IF(tblsales[[#This Row],[Win Flag]]=1,"Won","Lost")</f>
        <v>Lost</v>
      </c>
      <c r="BG749" s="8"/>
    </row>
    <row r="750" spans="1:59" x14ac:dyDescent="0.3">
      <c r="A750" s="10" t="s">
        <v>2546</v>
      </c>
      <c r="B750" s="9">
        <v>45894</v>
      </c>
      <c r="C750" s="10" t="s">
        <v>256</v>
      </c>
      <c r="D750" s="10" t="s">
        <v>215</v>
      </c>
      <c r="E750" s="10" t="s">
        <v>332</v>
      </c>
      <c r="F750" s="10" t="s">
        <v>332</v>
      </c>
      <c r="G750" s="10" t="s">
        <v>332</v>
      </c>
      <c r="H750" s="10" t="s">
        <v>216</v>
      </c>
      <c r="I750" s="10" t="s">
        <v>332</v>
      </c>
      <c r="J750" s="10" t="s">
        <v>99</v>
      </c>
      <c r="K750" s="10" t="s">
        <v>210</v>
      </c>
      <c r="L750" s="10" t="s">
        <v>2547</v>
      </c>
      <c r="M750" s="9">
        <v>45855</v>
      </c>
      <c r="N750" s="9"/>
      <c r="O750" s="9">
        <v>45974</v>
      </c>
      <c r="P750" s="11">
        <v>39</v>
      </c>
      <c r="Q750" s="12">
        <v>42138458</v>
      </c>
      <c r="R750">
        <v>42138458</v>
      </c>
      <c r="S750" s="22">
        <v>7.0000000000000007E-2</v>
      </c>
      <c r="T750" s="22">
        <v>0.04</v>
      </c>
      <c r="U750" s="12">
        <v>40756316.579999998</v>
      </c>
      <c r="V750" s="24">
        <v>40756316.579999998</v>
      </c>
      <c r="W750" s="8">
        <v>29882015.719999999</v>
      </c>
      <c r="X750" s="24">
        <v>29882015.719999999</v>
      </c>
      <c r="Y750" s="22">
        <v>0.24</v>
      </c>
      <c r="Z750" s="22">
        <v>0.15</v>
      </c>
      <c r="AA750" s="8" t="s">
        <v>2548</v>
      </c>
      <c r="AB750" s="8">
        <v>27564828.07</v>
      </c>
      <c r="AC750" s="24">
        <v>27564828.07</v>
      </c>
      <c r="AD750" s="8">
        <v>13265973.6</v>
      </c>
      <c r="AE750" s="24">
        <v>13265973.6</v>
      </c>
      <c r="AF750" s="8">
        <v>90</v>
      </c>
      <c r="AG750" s="8">
        <v>56</v>
      </c>
      <c r="AH750" s="8" t="s">
        <v>342</v>
      </c>
      <c r="AI750" s="8" t="s">
        <v>320</v>
      </c>
      <c r="AJ750" s="22">
        <v>0.21</v>
      </c>
      <c r="AK750" s="8" t="s">
        <v>152</v>
      </c>
      <c r="AL750" s="22">
        <v>0.1</v>
      </c>
      <c r="AM750" s="22">
        <v>0.1</v>
      </c>
      <c r="AN750" s="8">
        <v>15</v>
      </c>
      <c r="AO750" s="8">
        <v>3866</v>
      </c>
      <c r="AP750" s="8">
        <v>2316294.09</v>
      </c>
      <c r="AQ750" s="24">
        <v>2316294.09</v>
      </c>
      <c r="AR750" s="8">
        <v>18188696.670000002</v>
      </c>
      <c r="AS750" s="37">
        <v>18188696.670000002</v>
      </c>
      <c r="AT750" s="8" t="s">
        <v>321</v>
      </c>
      <c r="AU750" s="8" t="s">
        <v>356</v>
      </c>
      <c r="AV750" s="8">
        <v>96.6</v>
      </c>
      <c r="AW750" s="8">
        <v>24</v>
      </c>
      <c r="AX750" s="8" t="s">
        <v>392</v>
      </c>
      <c r="AY750" s="8" t="s">
        <v>192</v>
      </c>
      <c r="AZ750" s="8" t="s">
        <v>377</v>
      </c>
      <c r="BA750" s="21">
        <f>IF(OR(tblsales[[#This Row],[Invoice Value USD]]="",tblsales[[#This Row],[Collected Amount USD]]=""),"",tblsales[[#This Row],[Invoice Value USD]]-tblsales[[#This Row],[Collected Amount USD]])</f>
        <v>14298854.470000001</v>
      </c>
      <c r="BB750" s="21">
        <f>IF(OR(tblsales[[#This Row],[Contract Value USD]]="",tblsales[[#This Row],[Cost Estimate USD]]=""),"",tblsales[[#This Row],[Contract Value USD]]-tblsales[[#This Row],[Cost Estimate USD]])</f>
        <v>10874300.859999999</v>
      </c>
      <c r="BC750" s="21">
        <f>IF(OR(tblsales[[#This Row],[Contract Value USD]]="",tblsales[[#This Row],[Cost Estimate USD]]=""),"",tblsales[[#This Row],[Contract Value USD]]-tblsales[[#This Row],[Cost Estimate USD]])</f>
        <v>10874300.859999999</v>
      </c>
      <c r="BD750" s="23">
        <f>IF(tblsales[[#This Row],[Invoice Value USD]]="","",tblsales[[#This Row],[Collected Amount USD]]/tblsales[[#This Row],[Invoice Value USD]])</f>
        <v>0.48126451455860647</v>
      </c>
      <c r="BE750" s="11">
        <f>IF(tblsales[[#This Row],[SalesStage]]="Won",1,0)</f>
        <v>1</v>
      </c>
      <c r="BF750" s="21" t="str">
        <f>IF(tblsales[[#This Row],[Win Flag]]=1,"Won","Lost")</f>
        <v>Won</v>
      </c>
      <c r="BG750" s="8"/>
    </row>
    <row r="751" spans="1:59" x14ac:dyDescent="0.3">
      <c r="A751" s="10" t="s">
        <v>2549</v>
      </c>
      <c r="B751" s="9">
        <v>45692</v>
      </c>
      <c r="C751" s="10" t="s">
        <v>189</v>
      </c>
      <c r="D751" s="10" t="s">
        <v>209</v>
      </c>
      <c r="E751" s="10" t="s">
        <v>52</v>
      </c>
      <c r="F751" s="10" t="s">
        <v>75</v>
      </c>
      <c r="G751" s="10" t="s">
        <v>50</v>
      </c>
      <c r="H751" s="10" t="s">
        <v>263</v>
      </c>
      <c r="I751" s="10" t="s">
        <v>203</v>
      </c>
      <c r="J751" s="10" t="s">
        <v>133</v>
      </c>
      <c r="K751" s="10" t="s">
        <v>223</v>
      </c>
      <c r="L751" s="10" t="s">
        <v>2550</v>
      </c>
      <c r="M751" s="9">
        <v>45643</v>
      </c>
      <c r="N751" s="9"/>
      <c r="O751" s="9">
        <v>45766</v>
      </c>
      <c r="P751" s="11">
        <v>31</v>
      </c>
      <c r="Q751" s="12">
        <v>14819987</v>
      </c>
      <c r="R751">
        <v>14819987</v>
      </c>
      <c r="S751" s="22">
        <v>0.34</v>
      </c>
      <c r="T751" s="22">
        <v>0.08</v>
      </c>
      <c r="U751" s="12">
        <v>10563686.73</v>
      </c>
      <c r="V751" s="24">
        <v>10563686.73</v>
      </c>
      <c r="W751" s="8">
        <v>9475058.0800000001</v>
      </c>
      <c r="X751" s="24">
        <v>9475058.0800000001</v>
      </c>
      <c r="Y751" s="22">
        <v>0.08</v>
      </c>
      <c r="Z751" s="22">
        <v>0.11</v>
      </c>
      <c r="AA751" s="8" t="s">
        <v>2551</v>
      </c>
      <c r="AB751" s="8">
        <v>2887844.37</v>
      </c>
      <c r="AC751" s="24">
        <v>2887844.37</v>
      </c>
      <c r="AD751" s="8">
        <v>1529963.25</v>
      </c>
      <c r="AE751" s="24">
        <v>1529963.25</v>
      </c>
      <c r="AF751" s="8">
        <v>45</v>
      </c>
      <c r="AG751" s="8">
        <v>89</v>
      </c>
      <c r="AH751" s="8" t="s">
        <v>376</v>
      </c>
      <c r="AI751" s="8" t="s">
        <v>354</v>
      </c>
      <c r="AJ751" s="22">
        <v>0.86</v>
      </c>
      <c r="AK751" s="8" t="s">
        <v>152</v>
      </c>
      <c r="AL751" s="22">
        <v>0.1</v>
      </c>
      <c r="AM751" s="22">
        <v>7.0000000000000007E-2</v>
      </c>
      <c r="AN751" s="8">
        <v>13</v>
      </c>
      <c r="AO751" s="8">
        <v>164</v>
      </c>
      <c r="AP751" s="8"/>
      <c r="AQ751" s="24"/>
      <c r="AR751" s="8">
        <v>3264952.91</v>
      </c>
      <c r="AS751" s="37">
        <v>3264952.91</v>
      </c>
      <c r="AT751" s="8" t="s">
        <v>391</v>
      </c>
      <c r="AU751" s="8" t="s">
        <v>348</v>
      </c>
      <c r="AV751" s="8">
        <v>58.8</v>
      </c>
      <c r="AW751" s="8">
        <v>24</v>
      </c>
      <c r="AX751" s="8" t="s">
        <v>337</v>
      </c>
      <c r="AY751" s="8" t="s">
        <v>206</v>
      </c>
      <c r="AZ751" s="8" t="s">
        <v>324</v>
      </c>
      <c r="BA751" s="21">
        <f>IF(OR(tblsales[[#This Row],[Invoice Value USD]]="",tblsales[[#This Row],[Collected Amount USD]]=""),"",tblsales[[#This Row],[Invoice Value USD]]-tblsales[[#This Row],[Collected Amount USD]])</f>
        <v>1357881.12</v>
      </c>
      <c r="BB751" s="21">
        <f>IF(OR(tblsales[[#This Row],[Contract Value USD]]="",tblsales[[#This Row],[Cost Estimate USD]]=""),"",tblsales[[#This Row],[Contract Value USD]]-tblsales[[#This Row],[Cost Estimate USD]])</f>
        <v>1088628.6500000004</v>
      </c>
      <c r="BC751" s="21">
        <f>IF(OR(tblsales[[#This Row],[Contract Value USD]]="",tblsales[[#This Row],[Cost Estimate USD]]=""),"",tblsales[[#This Row],[Contract Value USD]]-tblsales[[#This Row],[Cost Estimate USD]])</f>
        <v>1088628.6500000004</v>
      </c>
      <c r="BD751" s="23">
        <f>IF(tblsales[[#This Row],[Invoice Value USD]]="","",tblsales[[#This Row],[Collected Amount USD]]/tblsales[[#This Row],[Invoice Value USD]])</f>
        <v>0.52979421810047189</v>
      </c>
      <c r="BE751" s="11">
        <f>IF(tblsales[[#This Row],[SalesStage]]="Won",1,0)</f>
        <v>0</v>
      </c>
      <c r="BF751" s="21" t="str">
        <f>IF(tblsales[[#This Row],[Win Flag]]=1,"Won","Lost")</f>
        <v>Lost</v>
      </c>
      <c r="BG751" s="8"/>
    </row>
    <row r="752" spans="1:59" x14ac:dyDescent="0.3">
      <c r="A752" s="10" t="s">
        <v>2552</v>
      </c>
      <c r="B752" s="9">
        <v>46034</v>
      </c>
      <c r="C752" s="10" t="s">
        <v>208</v>
      </c>
      <c r="D752" s="10" t="s">
        <v>248</v>
      </c>
      <c r="E752" s="10" t="s">
        <v>332</v>
      </c>
      <c r="F752" s="10" t="s">
        <v>228</v>
      </c>
      <c r="G752" s="10" t="s">
        <v>28</v>
      </c>
      <c r="H752" s="10" t="s">
        <v>212</v>
      </c>
      <c r="I752" s="10" t="s">
        <v>240</v>
      </c>
      <c r="J752" s="10" t="s">
        <v>99</v>
      </c>
      <c r="K752" s="10" t="s">
        <v>333</v>
      </c>
      <c r="L752" s="10" t="s">
        <v>2553</v>
      </c>
      <c r="M752" s="9">
        <v>45820</v>
      </c>
      <c r="N752" s="9">
        <v>46039</v>
      </c>
      <c r="O752" s="9">
        <v>46300</v>
      </c>
      <c r="P752" s="11">
        <v>15</v>
      </c>
      <c r="Q752" s="12">
        <v>7182617</v>
      </c>
      <c r="R752">
        <v>7182617</v>
      </c>
      <c r="S752" s="22">
        <v>0.15</v>
      </c>
      <c r="T752" s="22">
        <v>0.18</v>
      </c>
      <c r="U752" s="12">
        <v>7204164.8499999996</v>
      </c>
      <c r="V752" s="24">
        <v>7204164.8499999996</v>
      </c>
      <c r="W752" s="8">
        <v>4611450.2699999996</v>
      </c>
      <c r="X752" s="24">
        <v>4611450.2699999996</v>
      </c>
      <c r="Y752" s="22">
        <v>0.31</v>
      </c>
      <c r="Z752" s="22">
        <v>0.13</v>
      </c>
      <c r="AA752" s="8" t="s">
        <v>2554</v>
      </c>
      <c r="AB752" s="8">
        <v>420057.19</v>
      </c>
      <c r="AC752" s="24">
        <v>420057.19</v>
      </c>
      <c r="AD752" s="8">
        <v>303958.44</v>
      </c>
      <c r="AE752" s="24">
        <v>303958.44</v>
      </c>
      <c r="AF752" s="8">
        <v>30</v>
      </c>
      <c r="AG752" s="8">
        <v>174</v>
      </c>
      <c r="AH752" s="8" t="s">
        <v>342</v>
      </c>
      <c r="AI752" s="8" t="s">
        <v>320</v>
      </c>
      <c r="AJ752" s="22">
        <v>0.79</v>
      </c>
      <c r="AK752" s="8" t="s">
        <v>152</v>
      </c>
      <c r="AL752" s="22">
        <v>0.1</v>
      </c>
      <c r="AM752" s="22">
        <v>0.09</v>
      </c>
      <c r="AN752" s="8">
        <v>1</v>
      </c>
      <c r="AO752" s="8">
        <v>4307</v>
      </c>
      <c r="AP752" s="8">
        <v>524946.46</v>
      </c>
      <c r="AQ752" s="24">
        <v>524946.46</v>
      </c>
      <c r="AR752" s="8">
        <v>2606559.25</v>
      </c>
      <c r="AS752" s="37">
        <v>2606559.25</v>
      </c>
      <c r="AT752" s="8" t="s">
        <v>332</v>
      </c>
      <c r="AU752" s="8" t="s">
        <v>321</v>
      </c>
      <c r="AV752" s="8">
        <v>50.3</v>
      </c>
      <c r="AW752" s="8">
        <v>48</v>
      </c>
      <c r="AX752" s="8" t="s">
        <v>332</v>
      </c>
      <c r="AY752" s="8" t="s">
        <v>229</v>
      </c>
      <c r="AZ752" s="8" t="s">
        <v>377</v>
      </c>
      <c r="BA752" s="21">
        <f>IF(OR(tblsales[[#This Row],[Invoice Value USD]]="",tblsales[[#This Row],[Collected Amount USD]]=""),"",tblsales[[#This Row],[Invoice Value USD]]-tblsales[[#This Row],[Collected Amount USD]])</f>
        <v>116098.75</v>
      </c>
      <c r="BB752" s="21">
        <f>IF(OR(tblsales[[#This Row],[Contract Value USD]]="",tblsales[[#This Row],[Cost Estimate USD]]=""),"",tblsales[[#This Row],[Contract Value USD]]-tblsales[[#This Row],[Cost Estimate USD]])</f>
        <v>2592714.58</v>
      </c>
      <c r="BC752" s="21">
        <f>IF(OR(tblsales[[#This Row],[Contract Value USD]]="",tblsales[[#This Row],[Cost Estimate USD]]=""),"",tblsales[[#This Row],[Contract Value USD]]-tblsales[[#This Row],[Cost Estimate USD]])</f>
        <v>2592714.58</v>
      </c>
      <c r="BD752" s="23">
        <f>IF(tblsales[[#This Row],[Invoice Value USD]]="","",tblsales[[#This Row],[Collected Amount USD]]/tblsales[[#This Row],[Invoice Value USD]])</f>
        <v>0.72361203958918074</v>
      </c>
      <c r="BE752" s="11">
        <f>IF(tblsales[[#This Row],[SalesStage]]="Won",1,0)</f>
        <v>1</v>
      </c>
      <c r="BF752" s="21" t="str">
        <f>IF(tblsales[[#This Row],[Win Flag]]=1,"Won","Lost")</f>
        <v>Won</v>
      </c>
      <c r="BG752" s="8"/>
    </row>
    <row r="753" spans="1:59" x14ac:dyDescent="0.3">
      <c r="A753" s="10" t="s">
        <v>2555</v>
      </c>
      <c r="B753" s="9">
        <v>45942</v>
      </c>
      <c r="C753" s="10" t="s">
        <v>195</v>
      </c>
      <c r="D753" s="10" t="s">
        <v>274</v>
      </c>
      <c r="E753" s="10" t="s">
        <v>20</v>
      </c>
      <c r="F753" s="10" t="s">
        <v>35</v>
      </c>
      <c r="G753" s="10" t="s">
        <v>46</v>
      </c>
      <c r="H753" s="10" t="s">
        <v>216</v>
      </c>
      <c r="I753" s="10" t="s">
        <v>203</v>
      </c>
      <c r="J753" s="10" t="s">
        <v>136</v>
      </c>
      <c r="K753" s="10" t="s">
        <v>221</v>
      </c>
      <c r="L753" s="10" t="s">
        <v>2556</v>
      </c>
      <c r="M753" s="9">
        <v>45666</v>
      </c>
      <c r="N753" s="9"/>
      <c r="O753" s="9">
        <v>46038</v>
      </c>
      <c r="P753" s="11">
        <v>12</v>
      </c>
      <c r="Q753" s="12">
        <v>6626314</v>
      </c>
      <c r="R753">
        <v>1804345.3021999998</v>
      </c>
      <c r="S753" s="22">
        <v>0.08</v>
      </c>
      <c r="T753" s="22">
        <v>0.01</v>
      </c>
      <c r="U753" s="12">
        <v>6157170.9699999997</v>
      </c>
      <c r="V753" s="24">
        <v>1676597.6551309999</v>
      </c>
      <c r="W753" s="8">
        <v>4266496.67</v>
      </c>
      <c r="X753" s="24">
        <v>1161767.043241</v>
      </c>
      <c r="Y753" s="22">
        <v>0.22</v>
      </c>
      <c r="Z753" s="22">
        <v>0.11</v>
      </c>
      <c r="AA753" s="8" t="s">
        <v>2557</v>
      </c>
      <c r="AB753" s="8">
        <v>4118228.57</v>
      </c>
      <c r="AC753" s="24">
        <v>1121393.639611</v>
      </c>
      <c r="AD753" s="8">
        <v>3373571.76</v>
      </c>
      <c r="AE753" s="24">
        <v>918623.59024799988</v>
      </c>
      <c r="AF753" s="8">
        <v>45</v>
      </c>
      <c r="AG753" s="8">
        <v>163</v>
      </c>
      <c r="AH753" s="8" t="s">
        <v>342</v>
      </c>
      <c r="AI753" s="8" t="s">
        <v>406</v>
      </c>
      <c r="AJ753" s="22">
        <v>0.51</v>
      </c>
      <c r="AK753" s="8" t="s">
        <v>153</v>
      </c>
      <c r="AL753" s="22">
        <v>0.15</v>
      </c>
      <c r="AM753" s="22">
        <v>0.08</v>
      </c>
      <c r="AN753" s="8">
        <v>3</v>
      </c>
      <c r="AO753" s="8">
        <v>2043</v>
      </c>
      <c r="AP753" s="8">
        <v>714313.3</v>
      </c>
      <c r="AQ753" s="24">
        <v>194507.51159000001</v>
      </c>
      <c r="AR753" s="8">
        <v>1043354.83</v>
      </c>
      <c r="AS753" s="37">
        <v>284105.52020899998</v>
      </c>
      <c r="AT753" s="8" t="s">
        <v>355</v>
      </c>
      <c r="AU753" s="8" t="s">
        <v>356</v>
      </c>
      <c r="AV753" s="8">
        <v>76.5</v>
      </c>
      <c r="AW753" s="8">
        <v>24</v>
      </c>
      <c r="AX753" s="8" t="s">
        <v>332</v>
      </c>
      <c r="AY753" s="8" t="s">
        <v>206</v>
      </c>
      <c r="AZ753" s="8" t="s">
        <v>188</v>
      </c>
      <c r="BA753" s="21">
        <f>IF(OR(tblsales[[#This Row],[Invoice Value USD]]="",tblsales[[#This Row],[Collected Amount USD]]=""),"",tblsales[[#This Row],[Invoice Value USD]]-tblsales[[#This Row],[Collected Amount USD]])</f>
        <v>202770.04936300009</v>
      </c>
      <c r="BB753" s="21">
        <f>IF(OR(tblsales[[#This Row],[Contract Value USD]]="",tblsales[[#This Row],[Cost Estimate USD]]=""),"",tblsales[[#This Row],[Contract Value USD]]-tblsales[[#This Row],[Cost Estimate USD]])</f>
        <v>514830.61188999983</v>
      </c>
      <c r="BC753" s="21">
        <f>IF(OR(tblsales[[#This Row],[Contract Value USD]]="",tblsales[[#This Row],[Cost Estimate USD]]=""),"",tblsales[[#This Row],[Contract Value USD]]-tblsales[[#This Row],[Cost Estimate USD]])</f>
        <v>514830.61188999983</v>
      </c>
      <c r="BD753" s="23">
        <f>IF(tblsales[[#This Row],[Invoice Value USD]]="","",tblsales[[#This Row],[Collected Amount USD]]/tblsales[[#This Row],[Invoice Value USD]])</f>
        <v>0.81918031081990184</v>
      </c>
      <c r="BE753" s="11">
        <f>IF(tblsales[[#This Row],[SalesStage]]="Won",1,0)</f>
        <v>0</v>
      </c>
      <c r="BF753" s="21" t="str">
        <f>IF(tblsales[[#This Row],[Win Flag]]=1,"Won","Lost")</f>
        <v>Lost</v>
      </c>
      <c r="BG753" s="8"/>
    </row>
    <row r="754" spans="1:59" x14ac:dyDescent="0.3">
      <c r="A754" s="10" t="s">
        <v>2558</v>
      </c>
      <c r="B754" s="9">
        <v>45772</v>
      </c>
      <c r="C754" s="10" t="s">
        <v>195</v>
      </c>
      <c r="D754" s="10" t="s">
        <v>209</v>
      </c>
      <c r="E754" s="10" t="s">
        <v>41</v>
      </c>
      <c r="F754" s="10" t="s">
        <v>363</v>
      </c>
      <c r="G754" s="10" t="s">
        <v>33</v>
      </c>
      <c r="H754" s="10" t="s">
        <v>212</v>
      </c>
      <c r="I754" s="10" t="s">
        <v>240</v>
      </c>
      <c r="J754" s="10" t="s">
        <v>105</v>
      </c>
      <c r="K754" s="10" t="s">
        <v>210</v>
      </c>
      <c r="L754" s="10" t="s">
        <v>2559</v>
      </c>
      <c r="M754" s="9">
        <v>45719</v>
      </c>
      <c r="N754" s="9">
        <v>45844</v>
      </c>
      <c r="O754" s="9">
        <v>45808</v>
      </c>
      <c r="P754" s="11">
        <v>4</v>
      </c>
      <c r="Q754" s="12">
        <v>4083138</v>
      </c>
      <c r="R754">
        <v>4083138</v>
      </c>
      <c r="S754" s="22">
        <v>0.27</v>
      </c>
      <c r="T754" s="22">
        <v>0.17</v>
      </c>
      <c r="U754" s="12">
        <v>3487408.17</v>
      </c>
      <c r="V754" s="24">
        <v>3487408.17</v>
      </c>
      <c r="W754" s="8">
        <v>2695072.82</v>
      </c>
      <c r="X754" s="24">
        <v>2695072.82</v>
      </c>
      <c r="Y754" s="22">
        <v>0.06</v>
      </c>
      <c r="Z754" s="22">
        <v>0.06</v>
      </c>
      <c r="AA754" s="8" t="s">
        <v>2560</v>
      </c>
      <c r="AB754" s="8">
        <v>3036523.09</v>
      </c>
      <c r="AC754" s="24">
        <v>3036523.09</v>
      </c>
      <c r="AD754" s="8">
        <v>2836804.69</v>
      </c>
      <c r="AE754" s="24">
        <v>2836804.69</v>
      </c>
      <c r="AF754" s="8">
        <v>90</v>
      </c>
      <c r="AG754" s="8">
        <v>166</v>
      </c>
      <c r="AH754" s="8" t="s">
        <v>329</v>
      </c>
      <c r="AI754" s="8" t="s">
        <v>354</v>
      </c>
      <c r="AJ754" s="22">
        <v>0.95</v>
      </c>
      <c r="AK754" s="8" t="s">
        <v>152</v>
      </c>
      <c r="AL754" s="22">
        <v>0.05</v>
      </c>
      <c r="AM754" s="22">
        <v>0.03</v>
      </c>
      <c r="AN754" s="8">
        <v>11</v>
      </c>
      <c r="AO754" s="8">
        <v>871</v>
      </c>
      <c r="AP754" s="8">
        <v>781191.49</v>
      </c>
      <c r="AQ754" s="24">
        <v>781191.49</v>
      </c>
      <c r="AR754" s="8">
        <v>1725872.41</v>
      </c>
      <c r="AS754" s="37">
        <v>1725872.41</v>
      </c>
      <c r="AT754" s="8" t="s">
        <v>355</v>
      </c>
      <c r="AU754" s="8" t="s">
        <v>356</v>
      </c>
      <c r="AV754" s="8">
        <v>92.4</v>
      </c>
      <c r="AW754" s="8">
        <v>48</v>
      </c>
      <c r="AX754" s="8" t="s">
        <v>337</v>
      </c>
      <c r="AY754" s="8" t="s">
        <v>224</v>
      </c>
      <c r="AZ754" s="8" t="s">
        <v>324</v>
      </c>
      <c r="BA754" s="21">
        <f>IF(OR(tblsales[[#This Row],[Invoice Value USD]]="",tblsales[[#This Row],[Collected Amount USD]]=""),"",tblsales[[#This Row],[Invoice Value USD]]-tblsales[[#This Row],[Collected Amount USD]])</f>
        <v>199718.39999999991</v>
      </c>
      <c r="BB754" s="21">
        <f>IF(OR(tblsales[[#This Row],[Contract Value USD]]="",tblsales[[#This Row],[Cost Estimate USD]]=""),"",tblsales[[#This Row],[Contract Value USD]]-tblsales[[#This Row],[Cost Estimate USD]])</f>
        <v>792335.35000000009</v>
      </c>
      <c r="BC754" s="21">
        <f>IF(OR(tblsales[[#This Row],[Contract Value USD]]="",tblsales[[#This Row],[Cost Estimate USD]]=""),"",tblsales[[#This Row],[Contract Value USD]]-tblsales[[#This Row],[Cost Estimate USD]])</f>
        <v>792335.35000000009</v>
      </c>
      <c r="BD754" s="23">
        <f>IF(tblsales[[#This Row],[Invoice Value USD]]="","",tblsales[[#This Row],[Collected Amount USD]]/tblsales[[#This Row],[Invoice Value USD]])</f>
        <v>0.93422793304035112</v>
      </c>
      <c r="BE754" s="11">
        <f>IF(tblsales[[#This Row],[SalesStage]]="Won",1,0)</f>
        <v>0</v>
      </c>
      <c r="BF754" s="21" t="str">
        <f>IF(tblsales[[#This Row],[Win Flag]]=1,"Won","Lost")</f>
        <v>Lost</v>
      </c>
      <c r="BG754" s="8"/>
    </row>
    <row r="755" spans="1:59" x14ac:dyDescent="0.3">
      <c r="A755" s="10" t="s">
        <v>2561</v>
      </c>
      <c r="B755" s="9">
        <v>45767</v>
      </c>
      <c r="C755" s="10" t="s">
        <v>269</v>
      </c>
      <c r="D755" s="10" t="s">
        <v>248</v>
      </c>
      <c r="E755" s="10" t="s">
        <v>36</v>
      </c>
      <c r="F755" s="10" t="s">
        <v>339</v>
      </c>
      <c r="G755" s="10" t="s">
        <v>73</v>
      </c>
      <c r="H755" s="10" t="s">
        <v>216</v>
      </c>
      <c r="I755" s="10" t="s">
        <v>191</v>
      </c>
      <c r="J755" s="10" t="s">
        <v>115</v>
      </c>
      <c r="K755" s="10" t="s">
        <v>326</v>
      </c>
      <c r="L755" s="10" t="s">
        <v>2562</v>
      </c>
      <c r="M755" s="9">
        <v>45682</v>
      </c>
      <c r="N755" s="9">
        <v>45823</v>
      </c>
      <c r="O755" s="9">
        <v>45887</v>
      </c>
      <c r="P755" s="11">
        <v>33</v>
      </c>
      <c r="Q755" s="12">
        <v>30309994</v>
      </c>
      <c r="R755">
        <v>30309994</v>
      </c>
      <c r="S755" s="22">
        <v>0.2</v>
      </c>
      <c r="T755" s="22">
        <v>0.19</v>
      </c>
      <c r="U755" s="12">
        <v>28855114.289999999</v>
      </c>
      <c r="V755" s="24">
        <v>28855114.289999999</v>
      </c>
      <c r="W755" s="8">
        <v>24522161.030000001</v>
      </c>
      <c r="X755" s="24">
        <v>24522161.030000001</v>
      </c>
      <c r="Y755" s="22">
        <v>0.08</v>
      </c>
      <c r="Z755" s="22">
        <v>0.18</v>
      </c>
      <c r="AA755" s="8" t="s">
        <v>2563</v>
      </c>
      <c r="AB755" s="8">
        <v>11884533.689999999</v>
      </c>
      <c r="AC755" s="24">
        <v>11884533.689999999</v>
      </c>
      <c r="AD755" s="8">
        <v>4233024.46</v>
      </c>
      <c r="AE755" s="24">
        <v>4233024.46</v>
      </c>
      <c r="AF755" s="8">
        <v>45</v>
      </c>
      <c r="AG755" s="8">
        <v>34</v>
      </c>
      <c r="AH755" s="8" t="s">
        <v>347</v>
      </c>
      <c r="AI755" s="8" t="s">
        <v>354</v>
      </c>
      <c r="AJ755" s="22">
        <v>0.8</v>
      </c>
      <c r="AK755" s="8" t="s">
        <v>152</v>
      </c>
      <c r="AL755" s="22">
        <v>0.1</v>
      </c>
      <c r="AM755" s="22">
        <v>0.1</v>
      </c>
      <c r="AN755" s="8">
        <v>0</v>
      </c>
      <c r="AO755" s="8">
        <v>4307</v>
      </c>
      <c r="AP755" s="8">
        <v>1493601.49</v>
      </c>
      <c r="AQ755" s="24">
        <v>1493601.49</v>
      </c>
      <c r="AR755" s="8">
        <v>14018260.460000001</v>
      </c>
      <c r="AS755" s="37">
        <v>14018260.460000001</v>
      </c>
      <c r="AT755" s="8" t="s">
        <v>385</v>
      </c>
      <c r="AU755" s="8" t="s">
        <v>386</v>
      </c>
      <c r="AV755" s="8">
        <v>67.099999999999994</v>
      </c>
      <c r="AW755" s="8">
        <v>48</v>
      </c>
      <c r="AX755" s="8" t="s">
        <v>332</v>
      </c>
      <c r="AY755" s="8" t="s">
        <v>186</v>
      </c>
      <c r="AZ755" s="8" t="s">
        <v>188</v>
      </c>
      <c r="BA755" s="21">
        <f>IF(OR(tblsales[[#This Row],[Invoice Value USD]]="",tblsales[[#This Row],[Collected Amount USD]]=""),"",tblsales[[#This Row],[Invoice Value USD]]-tblsales[[#This Row],[Collected Amount USD]])</f>
        <v>7651509.2299999995</v>
      </c>
      <c r="BB755" s="21">
        <f>IF(OR(tblsales[[#This Row],[Contract Value USD]]="",tblsales[[#This Row],[Cost Estimate USD]]=""),"",tblsales[[#This Row],[Contract Value USD]]-tblsales[[#This Row],[Cost Estimate USD]])</f>
        <v>4332953.2599999979</v>
      </c>
      <c r="BC755" s="21">
        <f>IF(OR(tblsales[[#This Row],[Contract Value USD]]="",tblsales[[#This Row],[Cost Estimate USD]]=""),"",tblsales[[#This Row],[Contract Value USD]]-tblsales[[#This Row],[Cost Estimate USD]])</f>
        <v>4332953.2599999979</v>
      </c>
      <c r="BD755" s="23">
        <f>IF(tblsales[[#This Row],[Invoice Value USD]]="","",tblsales[[#This Row],[Collected Amount USD]]/tblsales[[#This Row],[Invoice Value USD]])</f>
        <v>0.35617926377387382</v>
      </c>
      <c r="BE755" s="11">
        <f>IF(tblsales[[#This Row],[SalesStage]]="Won",1,0)</f>
        <v>0</v>
      </c>
      <c r="BF755" s="21" t="str">
        <f>IF(tblsales[[#This Row],[Win Flag]]=1,"Won","Lost")</f>
        <v>Lost</v>
      </c>
      <c r="BG755" s="8"/>
    </row>
    <row r="756" spans="1:59" x14ac:dyDescent="0.3">
      <c r="A756" s="10" t="s">
        <v>2564</v>
      </c>
      <c r="B756" s="9">
        <v>45817</v>
      </c>
      <c r="C756" s="10" t="s">
        <v>227</v>
      </c>
      <c r="D756" s="10" t="s">
        <v>253</v>
      </c>
      <c r="E756" s="10" t="s">
        <v>52</v>
      </c>
      <c r="F756" s="10" t="s">
        <v>75</v>
      </c>
      <c r="G756" s="10" t="s">
        <v>78</v>
      </c>
      <c r="H756" s="10" t="s">
        <v>182</v>
      </c>
      <c r="I756" s="10" t="s">
        <v>246</v>
      </c>
      <c r="J756" s="10" t="s">
        <v>119</v>
      </c>
      <c r="K756" s="10" t="s">
        <v>326</v>
      </c>
      <c r="L756" s="10" t="s">
        <v>2565</v>
      </c>
      <c r="M756" s="9">
        <v>45794</v>
      </c>
      <c r="N756" s="9">
        <v>45845</v>
      </c>
      <c r="O756" s="9">
        <v>45867</v>
      </c>
      <c r="P756" s="11"/>
      <c r="Q756" s="12">
        <v>36527822</v>
      </c>
      <c r="R756">
        <v>36527822</v>
      </c>
      <c r="S756" s="22">
        <v>0.31</v>
      </c>
      <c r="T756" s="22">
        <v>0.18</v>
      </c>
      <c r="U756" s="12">
        <v>29740952.670000002</v>
      </c>
      <c r="V756" s="24">
        <v>29740952.670000002</v>
      </c>
      <c r="W756" s="8">
        <v>22376451.84</v>
      </c>
      <c r="X756" s="24">
        <v>22376451.84</v>
      </c>
      <c r="Y756" s="22">
        <v>0.38</v>
      </c>
      <c r="Z756" s="22">
        <v>0.1</v>
      </c>
      <c r="AA756" s="8" t="s">
        <v>2566</v>
      </c>
      <c r="AB756" s="8">
        <v>6292969.0099999998</v>
      </c>
      <c r="AC756" s="24">
        <v>6292969.0099999998</v>
      </c>
      <c r="AD756" s="8">
        <v>5006526</v>
      </c>
      <c r="AE756" s="24">
        <v>5006526</v>
      </c>
      <c r="AF756" s="8">
        <v>90</v>
      </c>
      <c r="AG756" s="8">
        <v>10</v>
      </c>
      <c r="AH756" s="8" t="s">
        <v>376</v>
      </c>
      <c r="AI756" s="8" t="s">
        <v>226</v>
      </c>
      <c r="AJ756" s="22">
        <v>0.32</v>
      </c>
      <c r="AK756" s="8" t="s">
        <v>152</v>
      </c>
      <c r="AL756" s="22">
        <v>0.1</v>
      </c>
      <c r="AM756" s="22">
        <v>0.03</v>
      </c>
      <c r="AN756" s="8">
        <v>0</v>
      </c>
      <c r="AO756" s="8">
        <v>88</v>
      </c>
      <c r="AP756" s="8">
        <v>3162183.74</v>
      </c>
      <c r="AQ756" s="24">
        <v>3162183.74</v>
      </c>
      <c r="AR756" s="8">
        <v>4403129.1100000003</v>
      </c>
      <c r="AS756" s="37">
        <v>4403129.1100000003</v>
      </c>
      <c r="AT756" s="8" t="s">
        <v>332</v>
      </c>
      <c r="AU756" s="8" t="s">
        <v>330</v>
      </c>
      <c r="AV756" s="8">
        <v>81.3</v>
      </c>
      <c r="AW756" s="8">
        <v>12</v>
      </c>
      <c r="AX756" s="8" t="s">
        <v>323</v>
      </c>
      <c r="AY756" s="8" t="s">
        <v>206</v>
      </c>
      <c r="AZ756" s="8" t="s">
        <v>332</v>
      </c>
      <c r="BA756" s="21">
        <f>IF(OR(tblsales[[#This Row],[Invoice Value USD]]="",tblsales[[#This Row],[Collected Amount USD]]=""),"",tblsales[[#This Row],[Invoice Value USD]]-tblsales[[#This Row],[Collected Amount USD]])</f>
        <v>1286443.0099999998</v>
      </c>
      <c r="BB756" s="21">
        <f>IF(OR(tblsales[[#This Row],[Contract Value USD]]="",tblsales[[#This Row],[Cost Estimate USD]]=""),"",tblsales[[#This Row],[Contract Value USD]]-tblsales[[#This Row],[Cost Estimate USD]])</f>
        <v>7364500.8300000019</v>
      </c>
      <c r="BC756" s="21">
        <f>IF(OR(tblsales[[#This Row],[Contract Value USD]]="",tblsales[[#This Row],[Cost Estimate USD]]=""),"",tblsales[[#This Row],[Contract Value USD]]-tblsales[[#This Row],[Cost Estimate USD]])</f>
        <v>7364500.8300000019</v>
      </c>
      <c r="BD756" s="23">
        <f>IF(tblsales[[#This Row],[Invoice Value USD]]="","",tblsales[[#This Row],[Collected Amount USD]]/tblsales[[#This Row],[Invoice Value USD]])</f>
        <v>0.79557455186006076</v>
      </c>
      <c r="BE756" s="11">
        <f>IF(tblsales[[#This Row],[SalesStage]]="Won",1,0)</f>
        <v>0</v>
      </c>
      <c r="BF756" s="21" t="str">
        <f>IF(tblsales[[#This Row],[Win Flag]]=1,"Won","Lost")</f>
        <v>Lost</v>
      </c>
      <c r="BG756" s="8"/>
    </row>
    <row r="757" spans="1:59" x14ac:dyDescent="0.3">
      <c r="A757" s="10" t="s">
        <v>2567</v>
      </c>
      <c r="B757" s="9">
        <v>45763</v>
      </c>
      <c r="C757" s="10" t="s">
        <v>252</v>
      </c>
      <c r="D757" s="10" t="s">
        <v>253</v>
      </c>
      <c r="E757" s="10" t="s">
        <v>20</v>
      </c>
      <c r="F757" s="10" t="s">
        <v>35</v>
      </c>
      <c r="G757" s="10" t="s">
        <v>23</v>
      </c>
      <c r="H757" s="10" t="s">
        <v>182</v>
      </c>
      <c r="I757" s="10" t="s">
        <v>213</v>
      </c>
      <c r="J757" s="10" t="s">
        <v>136</v>
      </c>
      <c r="K757" s="10" t="s">
        <v>333</v>
      </c>
      <c r="L757" s="10" t="s">
        <v>2568</v>
      </c>
      <c r="M757" s="9">
        <v>45753</v>
      </c>
      <c r="N757" s="9">
        <v>45818</v>
      </c>
      <c r="O757" s="9">
        <v>45854</v>
      </c>
      <c r="P757" s="11">
        <v>43</v>
      </c>
      <c r="Q757" s="12">
        <v>42119249</v>
      </c>
      <c r="R757">
        <v>48900448.089000002</v>
      </c>
      <c r="S757" s="22"/>
      <c r="T757" s="22">
        <v>0.12</v>
      </c>
      <c r="U757" s="12">
        <v>33964962.390000001</v>
      </c>
      <c r="V757" s="24">
        <v>39433321.334789999</v>
      </c>
      <c r="W757" s="8">
        <v>28918870.640000001</v>
      </c>
      <c r="X757" s="24">
        <v>33574808.813040003</v>
      </c>
      <c r="Y757" s="22">
        <v>0.25</v>
      </c>
      <c r="Z757" s="22">
        <v>0.05</v>
      </c>
      <c r="AA757" s="8" t="s">
        <v>2569</v>
      </c>
      <c r="AB757" s="8">
        <v>8480178.9199999999</v>
      </c>
      <c r="AC757" s="24">
        <v>9845487.7261200007</v>
      </c>
      <c r="AD757" s="8">
        <v>6767059.7300000004</v>
      </c>
      <c r="AE757" s="24">
        <v>7856556.3465300007</v>
      </c>
      <c r="AF757" s="8">
        <v>30</v>
      </c>
      <c r="AG757" s="8">
        <v>43</v>
      </c>
      <c r="AH757" s="8" t="s">
        <v>332</v>
      </c>
      <c r="AI757" s="8" t="s">
        <v>320</v>
      </c>
      <c r="AJ757" s="22">
        <v>0.69</v>
      </c>
      <c r="AK757" s="8" t="s">
        <v>159</v>
      </c>
      <c r="AL757" s="22">
        <v>0.1</v>
      </c>
      <c r="AM757" s="22">
        <v>0.06</v>
      </c>
      <c r="AN757" s="8">
        <v>5</v>
      </c>
      <c r="AO757" s="8">
        <v>557</v>
      </c>
      <c r="AP757" s="8">
        <v>2192305.71</v>
      </c>
      <c r="AQ757" s="24">
        <v>2545266.92931</v>
      </c>
      <c r="AR757" s="8"/>
      <c r="AS757" s="37"/>
      <c r="AT757" s="8" t="s">
        <v>332</v>
      </c>
      <c r="AU757" s="8" t="s">
        <v>321</v>
      </c>
      <c r="AV757" s="8">
        <v>96.4</v>
      </c>
      <c r="AW757" s="8">
        <v>12</v>
      </c>
      <c r="AX757" s="8" t="s">
        <v>332</v>
      </c>
      <c r="AY757" s="8" t="s">
        <v>229</v>
      </c>
      <c r="AZ757" s="8" t="s">
        <v>361</v>
      </c>
      <c r="BA757" s="21">
        <f>IF(OR(tblsales[[#This Row],[Invoice Value USD]]="",tblsales[[#This Row],[Collected Amount USD]]=""),"",tblsales[[#This Row],[Invoice Value USD]]-tblsales[[#This Row],[Collected Amount USD]])</f>
        <v>1988931.37959</v>
      </c>
      <c r="BB757" s="21">
        <f>IF(OR(tblsales[[#This Row],[Contract Value USD]]="",tblsales[[#This Row],[Cost Estimate USD]]=""),"",tblsales[[#This Row],[Contract Value USD]]-tblsales[[#This Row],[Cost Estimate USD]])</f>
        <v>5858512.5217499956</v>
      </c>
      <c r="BC757" s="21">
        <f>IF(OR(tblsales[[#This Row],[Contract Value USD]]="",tblsales[[#This Row],[Cost Estimate USD]]=""),"",tblsales[[#This Row],[Contract Value USD]]-tblsales[[#This Row],[Cost Estimate USD]])</f>
        <v>5858512.5217499956</v>
      </c>
      <c r="BD757" s="23">
        <f>IF(tblsales[[#This Row],[Invoice Value USD]]="","",tblsales[[#This Row],[Collected Amount USD]]/tblsales[[#This Row],[Invoice Value USD]])</f>
        <v>0.7979854899099228</v>
      </c>
      <c r="BE757" s="11">
        <f>IF(tblsales[[#This Row],[SalesStage]]="Won",1,0)</f>
        <v>1</v>
      </c>
      <c r="BF757" s="21" t="str">
        <f>IF(tblsales[[#This Row],[Win Flag]]=1,"Won","Lost")</f>
        <v>Won</v>
      </c>
      <c r="BG757" s="8"/>
    </row>
    <row r="758" spans="1:59" x14ac:dyDescent="0.3">
      <c r="A758" s="10" t="s">
        <v>2570</v>
      </c>
      <c r="B758" s="9">
        <v>46017</v>
      </c>
      <c r="C758" s="10" t="s">
        <v>251</v>
      </c>
      <c r="D758" s="10" t="s">
        <v>265</v>
      </c>
      <c r="E758" s="10" t="s">
        <v>20</v>
      </c>
      <c r="F758" s="10" t="s">
        <v>332</v>
      </c>
      <c r="G758" s="10" t="s">
        <v>16</v>
      </c>
      <c r="H758" s="10" t="s">
        <v>182</v>
      </c>
      <c r="I758" s="10" t="s">
        <v>198</v>
      </c>
      <c r="J758" s="10" t="s">
        <v>136</v>
      </c>
      <c r="K758" s="10" t="s">
        <v>326</v>
      </c>
      <c r="L758" s="10" t="s">
        <v>2571</v>
      </c>
      <c r="M758" s="9">
        <v>45698</v>
      </c>
      <c r="N758" s="9">
        <v>46020</v>
      </c>
      <c r="O758" s="9">
        <v>46176</v>
      </c>
      <c r="P758" s="11">
        <v>21</v>
      </c>
      <c r="Q758" s="12">
        <v>39785584</v>
      </c>
      <c r="R758">
        <v>10610815.252799999</v>
      </c>
      <c r="S758" s="22">
        <v>0.04</v>
      </c>
      <c r="T758" s="22">
        <v>-0.03</v>
      </c>
      <c r="U758" s="12">
        <v>37048335.82</v>
      </c>
      <c r="V758" s="24">
        <v>9880791.1631940007</v>
      </c>
      <c r="W758" s="8">
        <v>24373689.48</v>
      </c>
      <c r="X758" s="24">
        <v>6500462.9843159998</v>
      </c>
      <c r="Y758" s="22">
        <v>0.38</v>
      </c>
      <c r="Z758" s="22">
        <v>0.13</v>
      </c>
      <c r="AA758" s="8" t="s">
        <v>2572</v>
      </c>
      <c r="AB758" s="8">
        <v>8557567.3499999996</v>
      </c>
      <c r="AC758" s="24">
        <v>2282303.2122450001</v>
      </c>
      <c r="AD758" s="8">
        <v>7764432.96</v>
      </c>
      <c r="AE758" s="24">
        <v>2070774.270432</v>
      </c>
      <c r="AF758" s="8">
        <v>90</v>
      </c>
      <c r="AG758" s="8">
        <v>159</v>
      </c>
      <c r="AH758" s="8" t="s">
        <v>329</v>
      </c>
      <c r="AI758" s="8" t="s">
        <v>406</v>
      </c>
      <c r="AJ758" s="22">
        <v>0.97</v>
      </c>
      <c r="AK758" s="8" t="s">
        <v>162</v>
      </c>
      <c r="AL758" s="22">
        <v>0.1</v>
      </c>
      <c r="AM758" s="22">
        <v>0.05</v>
      </c>
      <c r="AN758" s="8">
        <v>11</v>
      </c>
      <c r="AO758" s="8">
        <v>1985</v>
      </c>
      <c r="AP758" s="8">
        <v>5959856.2300000004</v>
      </c>
      <c r="AQ758" s="24">
        <v>1589493.6565410001</v>
      </c>
      <c r="AR758" s="8">
        <v>6048742.1799999997</v>
      </c>
      <c r="AS758" s="37">
        <v>1613199.5394059999</v>
      </c>
      <c r="AT758" s="8" t="s">
        <v>321</v>
      </c>
      <c r="AU758" s="8" t="s">
        <v>386</v>
      </c>
      <c r="AV758" s="8">
        <v>56.9</v>
      </c>
      <c r="AW758" s="8">
        <v>60</v>
      </c>
      <c r="AX758" s="8" t="s">
        <v>332</v>
      </c>
      <c r="AY758" s="8" t="s">
        <v>224</v>
      </c>
      <c r="AZ758" s="8" t="s">
        <v>188</v>
      </c>
      <c r="BA758" s="21">
        <f>IF(OR(tblsales[[#This Row],[Invoice Value USD]]="",tblsales[[#This Row],[Collected Amount USD]]=""),"",tblsales[[#This Row],[Invoice Value USD]]-tblsales[[#This Row],[Collected Amount USD]])</f>
        <v>211528.94181300001</v>
      </c>
      <c r="BB758" s="21">
        <f>IF(OR(tblsales[[#This Row],[Contract Value USD]]="",tblsales[[#This Row],[Cost Estimate USD]]=""),"",tblsales[[#This Row],[Contract Value USD]]-tblsales[[#This Row],[Cost Estimate USD]])</f>
        <v>3380328.1788780009</v>
      </c>
      <c r="BC758" s="21">
        <f>IF(OR(tblsales[[#This Row],[Contract Value USD]]="",tblsales[[#This Row],[Cost Estimate USD]]=""),"",tblsales[[#This Row],[Contract Value USD]]-tblsales[[#This Row],[Cost Estimate USD]])</f>
        <v>3380328.1788780009</v>
      </c>
      <c r="BD758" s="23">
        <f>IF(tblsales[[#This Row],[Invoice Value USD]]="","",tblsales[[#This Row],[Collected Amount USD]]/tblsales[[#This Row],[Invoice Value USD]])</f>
        <v>0.90731777413355674</v>
      </c>
      <c r="BE758" s="11">
        <f>IF(tblsales[[#This Row],[SalesStage]]="Won",1,0)</f>
        <v>0</v>
      </c>
      <c r="BF758" s="21" t="str">
        <f>IF(tblsales[[#This Row],[Win Flag]]=1,"Won","Lost")</f>
        <v>Lost</v>
      </c>
      <c r="BG758" s="8"/>
    </row>
    <row r="759" spans="1:59" x14ac:dyDescent="0.3">
      <c r="A759" s="10" t="s">
        <v>2573</v>
      </c>
      <c r="B759" s="9">
        <v>45693</v>
      </c>
      <c r="C759" s="10" t="s">
        <v>276</v>
      </c>
      <c r="D759" s="10" t="s">
        <v>245</v>
      </c>
      <c r="E759" s="10" t="s">
        <v>20</v>
      </c>
      <c r="F759" s="10" t="s">
        <v>332</v>
      </c>
      <c r="G759" s="10" t="s">
        <v>46</v>
      </c>
      <c r="H759" s="10" t="s">
        <v>182</v>
      </c>
      <c r="I759" s="10" t="s">
        <v>233</v>
      </c>
      <c r="J759" s="10" t="s">
        <v>99</v>
      </c>
      <c r="K759" s="10" t="s">
        <v>210</v>
      </c>
      <c r="L759" s="10" t="s">
        <v>2574</v>
      </c>
      <c r="M759" s="9">
        <v>45577</v>
      </c>
      <c r="N759" s="9">
        <v>45871</v>
      </c>
      <c r="O759" s="9"/>
      <c r="P759" s="11">
        <v>32</v>
      </c>
      <c r="Q759" s="12">
        <v>46270731</v>
      </c>
      <c r="R759">
        <v>12599520.051299999</v>
      </c>
      <c r="S759" s="22">
        <v>7.0000000000000007E-2</v>
      </c>
      <c r="T759" s="22">
        <v>0.15</v>
      </c>
      <c r="U759" s="12">
        <v>49486546.799999997</v>
      </c>
      <c r="V759" s="24">
        <v>13475186.693639999</v>
      </c>
      <c r="W759" s="8">
        <v>35328132.579999998</v>
      </c>
      <c r="X759" s="24">
        <v>9619850.5015339982</v>
      </c>
      <c r="Y759" s="22">
        <v>0.18</v>
      </c>
      <c r="Z759" s="22">
        <v>0.14000000000000001</v>
      </c>
      <c r="AA759" s="8" t="s">
        <v>2575</v>
      </c>
      <c r="AB759" s="8">
        <v>14028261.59</v>
      </c>
      <c r="AC759" s="24">
        <v>3819895.630957</v>
      </c>
      <c r="AD759" s="8">
        <v>13746154.99</v>
      </c>
      <c r="AE759" s="24">
        <v>3743078.0037769997</v>
      </c>
      <c r="AF759" s="8">
        <v>60</v>
      </c>
      <c r="AG759" s="8">
        <v>85</v>
      </c>
      <c r="AH759" s="8" t="s">
        <v>376</v>
      </c>
      <c r="AI759" s="8" t="s">
        <v>406</v>
      </c>
      <c r="AJ759" s="22">
        <v>0.83</v>
      </c>
      <c r="AK759" s="8" t="s">
        <v>153</v>
      </c>
      <c r="AL759" s="22">
        <v>0.15</v>
      </c>
      <c r="AM759" s="22">
        <v>0.06</v>
      </c>
      <c r="AN759" s="8">
        <v>0</v>
      </c>
      <c r="AO759" s="8">
        <v>3147</v>
      </c>
      <c r="AP759" s="8">
        <v>6315490.2699999996</v>
      </c>
      <c r="AQ759" s="24">
        <v>1719708.0005209998</v>
      </c>
      <c r="AR759" s="8">
        <v>14284840.27</v>
      </c>
      <c r="AS759" s="37">
        <v>3889762.0055209999</v>
      </c>
      <c r="AT759" s="8" t="s">
        <v>355</v>
      </c>
      <c r="AU759" s="8" t="s">
        <v>356</v>
      </c>
      <c r="AV759" s="8">
        <v>87.2</v>
      </c>
      <c r="AW759" s="8">
        <v>48</v>
      </c>
      <c r="AX759" s="8" t="s">
        <v>323</v>
      </c>
      <c r="AY759" s="8" t="s">
        <v>186</v>
      </c>
      <c r="AZ759" s="8" t="s">
        <v>332</v>
      </c>
      <c r="BA759" s="21">
        <f>IF(OR(tblsales[[#This Row],[Invoice Value USD]]="",tblsales[[#This Row],[Collected Amount USD]]=""),"",tblsales[[#This Row],[Invoice Value USD]]-tblsales[[#This Row],[Collected Amount USD]])</f>
        <v>76817.627180000301</v>
      </c>
      <c r="BB759" s="21">
        <f>IF(OR(tblsales[[#This Row],[Contract Value USD]]="",tblsales[[#This Row],[Cost Estimate USD]]=""),"",tblsales[[#This Row],[Contract Value USD]]-tblsales[[#This Row],[Cost Estimate USD]])</f>
        <v>3855336.1921060011</v>
      </c>
      <c r="BC759" s="21">
        <f>IF(OR(tblsales[[#This Row],[Contract Value USD]]="",tblsales[[#This Row],[Cost Estimate USD]]=""),"",tblsales[[#This Row],[Contract Value USD]]-tblsales[[#This Row],[Cost Estimate USD]])</f>
        <v>3855336.1921060011</v>
      </c>
      <c r="BD759" s="23">
        <f>IF(tblsales[[#This Row],[Invoice Value USD]]="","",tblsales[[#This Row],[Collected Amount USD]]/tblsales[[#This Row],[Invoice Value USD]])</f>
        <v>0.97989012407630749</v>
      </c>
      <c r="BE759" s="11">
        <f>IF(tblsales[[#This Row],[SalesStage]]="Won",1,0)</f>
        <v>0</v>
      </c>
      <c r="BF759" s="21" t="str">
        <f>IF(tblsales[[#This Row],[Win Flag]]=1,"Won","Lost")</f>
        <v>Lost</v>
      </c>
      <c r="BG759" s="8"/>
    </row>
    <row r="760" spans="1:59" x14ac:dyDescent="0.3">
      <c r="A760" s="10" t="s">
        <v>2576</v>
      </c>
      <c r="B760" s="9">
        <v>45793</v>
      </c>
      <c r="C760" s="10" t="s">
        <v>285</v>
      </c>
      <c r="D760" s="10" t="s">
        <v>180</v>
      </c>
      <c r="E760" s="10" t="s">
        <v>332</v>
      </c>
      <c r="F760" s="10" t="s">
        <v>339</v>
      </c>
      <c r="G760" s="10" t="s">
        <v>50</v>
      </c>
      <c r="H760" s="10" t="s">
        <v>263</v>
      </c>
      <c r="I760" s="10" t="s">
        <v>240</v>
      </c>
      <c r="J760" s="10" t="s">
        <v>99</v>
      </c>
      <c r="K760" s="10" t="s">
        <v>184</v>
      </c>
      <c r="L760" s="10" t="s">
        <v>2577</v>
      </c>
      <c r="M760" s="9">
        <v>45660</v>
      </c>
      <c r="N760" s="9">
        <v>45807</v>
      </c>
      <c r="O760" s="9">
        <v>45861</v>
      </c>
      <c r="P760" s="11">
        <v>18</v>
      </c>
      <c r="Q760" s="12">
        <v>45164011</v>
      </c>
      <c r="R760">
        <v>45164011</v>
      </c>
      <c r="S760" s="22">
        <v>0.02</v>
      </c>
      <c r="T760" s="22">
        <v>-0.01</v>
      </c>
      <c r="U760" s="12">
        <v>43818123.469999999</v>
      </c>
      <c r="V760" s="24">
        <v>43818123.469999999</v>
      </c>
      <c r="W760" s="8">
        <v>26792645.120000001</v>
      </c>
      <c r="X760" s="24">
        <v>26792645.120000001</v>
      </c>
      <c r="Y760" s="22">
        <v>0.27</v>
      </c>
      <c r="Z760" s="22">
        <v>0.14000000000000001</v>
      </c>
      <c r="AA760" s="8" t="s">
        <v>2578</v>
      </c>
      <c r="AB760" s="8">
        <v>28443817.989999998</v>
      </c>
      <c r="AC760" s="24">
        <v>28443817.989999998</v>
      </c>
      <c r="AD760" s="8">
        <v>28634991.260000002</v>
      </c>
      <c r="AE760" s="24">
        <v>28634991.260000002</v>
      </c>
      <c r="AF760" s="8">
        <v>60</v>
      </c>
      <c r="AG760" s="8">
        <v>77</v>
      </c>
      <c r="AH760" s="8" t="s">
        <v>347</v>
      </c>
      <c r="AI760" s="8" t="s">
        <v>320</v>
      </c>
      <c r="AJ760" s="22">
        <v>0.24</v>
      </c>
      <c r="AK760" s="8" t="s">
        <v>152</v>
      </c>
      <c r="AL760" s="22">
        <v>0.15</v>
      </c>
      <c r="AM760" s="22">
        <v>0.06</v>
      </c>
      <c r="AN760" s="8">
        <v>12</v>
      </c>
      <c r="AO760" s="8">
        <v>3718</v>
      </c>
      <c r="AP760" s="8">
        <v>3901394.79</v>
      </c>
      <c r="AQ760" s="24">
        <v>3901394.79</v>
      </c>
      <c r="AR760" s="8">
        <v>7020742.2199999997</v>
      </c>
      <c r="AS760" s="37">
        <v>7020742.2199999997</v>
      </c>
      <c r="AT760" s="8" t="s">
        <v>343</v>
      </c>
      <c r="AU760" s="8" t="s">
        <v>356</v>
      </c>
      <c r="AV760" s="8">
        <v>64.599999999999994</v>
      </c>
      <c r="AW760" s="8">
        <v>12</v>
      </c>
      <c r="AX760" s="8" t="s">
        <v>387</v>
      </c>
      <c r="AY760" s="8" t="s">
        <v>229</v>
      </c>
      <c r="AZ760" s="8" t="s">
        <v>332</v>
      </c>
      <c r="BA760" s="21">
        <f>IF(OR(tblsales[[#This Row],[Invoice Value USD]]="",tblsales[[#This Row],[Collected Amount USD]]=""),"",tblsales[[#This Row],[Invoice Value USD]]-tblsales[[#This Row],[Collected Amount USD]])</f>
        <v>-191173.27000000328</v>
      </c>
      <c r="BB760" s="21">
        <f>IF(OR(tblsales[[#This Row],[Contract Value USD]]="",tblsales[[#This Row],[Cost Estimate USD]]=""),"",tblsales[[#This Row],[Contract Value USD]]-tblsales[[#This Row],[Cost Estimate USD]])</f>
        <v>17025478.349999998</v>
      </c>
      <c r="BC760" s="21">
        <f>IF(OR(tblsales[[#This Row],[Contract Value USD]]="",tblsales[[#This Row],[Cost Estimate USD]]=""),"",tblsales[[#This Row],[Contract Value USD]]-tblsales[[#This Row],[Cost Estimate USD]])</f>
        <v>17025478.349999998</v>
      </c>
      <c r="BD760" s="23">
        <f>IF(tblsales[[#This Row],[Invoice Value USD]]="","",tblsales[[#This Row],[Collected Amount USD]]/tblsales[[#This Row],[Invoice Value USD]])</f>
        <v>1.0067210832971585</v>
      </c>
      <c r="BE760" s="11">
        <f>IF(tblsales[[#This Row],[SalesStage]]="Won",1,0)</f>
        <v>1</v>
      </c>
      <c r="BF760" s="21" t="str">
        <f>IF(tblsales[[#This Row],[Win Flag]]=1,"Won","Lost")</f>
        <v>Won</v>
      </c>
      <c r="BG760" s="8"/>
    </row>
    <row r="761" spans="1:59" x14ac:dyDescent="0.3">
      <c r="A761" s="10" t="s">
        <v>2579</v>
      </c>
      <c r="B761" s="9">
        <v>45799</v>
      </c>
      <c r="C761" s="10" t="s">
        <v>276</v>
      </c>
      <c r="D761" s="10" t="s">
        <v>332</v>
      </c>
      <c r="E761" s="10" t="s">
        <v>41</v>
      </c>
      <c r="F761" s="10" t="s">
        <v>350</v>
      </c>
      <c r="G761" s="10" t="s">
        <v>16</v>
      </c>
      <c r="H761" s="10" t="s">
        <v>216</v>
      </c>
      <c r="I761" s="10" t="s">
        <v>213</v>
      </c>
      <c r="J761" s="10" t="s">
        <v>130</v>
      </c>
      <c r="K761" s="10" t="s">
        <v>223</v>
      </c>
      <c r="L761" s="10" t="s">
        <v>2580</v>
      </c>
      <c r="M761" s="9">
        <v>45905</v>
      </c>
      <c r="N761" s="9"/>
      <c r="O761" s="9">
        <v>45908</v>
      </c>
      <c r="P761" s="11">
        <v>41</v>
      </c>
      <c r="Q761" s="12">
        <v>3878442</v>
      </c>
      <c r="R761">
        <v>3878442</v>
      </c>
      <c r="S761" s="22"/>
      <c r="T761" s="22">
        <v>0.2</v>
      </c>
      <c r="U761" s="12">
        <v>3862928.23</v>
      </c>
      <c r="V761" s="24">
        <v>3862928.23</v>
      </c>
      <c r="W761" s="8">
        <v>3459400.93</v>
      </c>
      <c r="X761" s="24">
        <v>3459400.93</v>
      </c>
      <c r="Y761" s="22">
        <v>0.38</v>
      </c>
      <c r="Z761" s="22">
        <v>0.18</v>
      </c>
      <c r="AA761" s="8" t="s">
        <v>2581</v>
      </c>
      <c r="AB761" s="8">
        <v>3056624.42</v>
      </c>
      <c r="AC761" s="24">
        <v>3056624.42</v>
      </c>
      <c r="AD761" s="8">
        <v>1517768.32</v>
      </c>
      <c r="AE761" s="24">
        <v>1517768.32</v>
      </c>
      <c r="AF761" s="8">
        <v>30</v>
      </c>
      <c r="AG761" s="8">
        <v>65</v>
      </c>
      <c r="AH761" s="8" t="s">
        <v>342</v>
      </c>
      <c r="AI761" s="8" t="s">
        <v>354</v>
      </c>
      <c r="AJ761" s="22">
        <v>0.41</v>
      </c>
      <c r="AK761" s="8" t="s">
        <v>152</v>
      </c>
      <c r="AL761" s="22">
        <v>0.05</v>
      </c>
      <c r="AM761" s="22">
        <v>0.03</v>
      </c>
      <c r="AN761" s="8">
        <v>5</v>
      </c>
      <c r="AO761" s="8">
        <v>3935</v>
      </c>
      <c r="AP761" s="8">
        <v>136829.53</v>
      </c>
      <c r="AQ761" s="24">
        <v>136829.53</v>
      </c>
      <c r="AR761" s="8">
        <v>1014144.55</v>
      </c>
      <c r="AS761" s="37">
        <v>1014144.55</v>
      </c>
      <c r="AT761" s="8" t="s">
        <v>332</v>
      </c>
      <c r="AU761" s="8" t="s">
        <v>330</v>
      </c>
      <c r="AV761" s="8">
        <v>65.2</v>
      </c>
      <c r="AW761" s="8">
        <v>60</v>
      </c>
      <c r="AX761" s="8" t="s">
        <v>392</v>
      </c>
      <c r="AY761" s="8" t="s">
        <v>224</v>
      </c>
      <c r="AZ761" s="8" t="s">
        <v>332</v>
      </c>
      <c r="BA761" s="21">
        <f>IF(OR(tblsales[[#This Row],[Invoice Value USD]]="",tblsales[[#This Row],[Collected Amount USD]]=""),"",tblsales[[#This Row],[Invoice Value USD]]-tblsales[[#This Row],[Collected Amount USD]])</f>
        <v>1538856.0999999999</v>
      </c>
      <c r="BB761" s="21">
        <f>IF(OR(tblsales[[#This Row],[Contract Value USD]]="",tblsales[[#This Row],[Cost Estimate USD]]=""),"",tblsales[[#This Row],[Contract Value USD]]-tblsales[[#This Row],[Cost Estimate USD]])</f>
        <v>403527.29999999981</v>
      </c>
      <c r="BC761" s="21">
        <f>IF(OR(tblsales[[#This Row],[Contract Value USD]]="",tblsales[[#This Row],[Cost Estimate USD]]=""),"",tblsales[[#This Row],[Contract Value USD]]-tblsales[[#This Row],[Cost Estimate USD]])</f>
        <v>403527.29999999981</v>
      </c>
      <c r="BD761" s="23">
        <f>IF(tblsales[[#This Row],[Invoice Value USD]]="","",tblsales[[#This Row],[Collected Amount USD]]/tblsales[[#This Row],[Invoice Value USD]])</f>
        <v>0.49655047904119021</v>
      </c>
      <c r="BE761" s="11">
        <f>IF(tblsales[[#This Row],[SalesStage]]="Won",1,0)</f>
        <v>0</v>
      </c>
      <c r="BF761" s="21" t="str">
        <f>IF(tblsales[[#This Row],[Win Flag]]=1,"Won","Lost")</f>
        <v>Lost</v>
      </c>
      <c r="BG761" s="8"/>
    </row>
    <row r="762" spans="1:59" x14ac:dyDescent="0.3">
      <c r="A762" s="10" t="s">
        <v>2582</v>
      </c>
      <c r="B762" s="9">
        <v>46063</v>
      </c>
      <c r="C762" s="10" t="s">
        <v>254</v>
      </c>
      <c r="D762" s="10" t="s">
        <v>274</v>
      </c>
      <c r="E762" s="10" t="s">
        <v>20</v>
      </c>
      <c r="F762" s="10" t="s">
        <v>196</v>
      </c>
      <c r="G762" s="10" t="s">
        <v>50</v>
      </c>
      <c r="H762" s="10" t="s">
        <v>182</v>
      </c>
      <c r="I762" s="10" t="s">
        <v>213</v>
      </c>
      <c r="J762" s="10" t="s">
        <v>136</v>
      </c>
      <c r="K762" s="10" t="s">
        <v>223</v>
      </c>
      <c r="L762" s="10" t="s">
        <v>2583</v>
      </c>
      <c r="M762" s="9">
        <v>46017</v>
      </c>
      <c r="N762" s="9"/>
      <c r="O762" s="9">
        <v>46141</v>
      </c>
      <c r="P762" s="11"/>
      <c r="Q762" s="12">
        <v>36045548</v>
      </c>
      <c r="R762">
        <v>9901712.0355999991</v>
      </c>
      <c r="S762" s="22">
        <v>0.05</v>
      </c>
      <c r="T762" s="22">
        <v>-0.05</v>
      </c>
      <c r="U762" s="12">
        <v>32531107.07</v>
      </c>
      <c r="V762" s="24">
        <v>8936295.1121290009</v>
      </c>
      <c r="W762" s="8">
        <v>19825149.379999999</v>
      </c>
      <c r="X762" s="24">
        <v>5445968.5346860001</v>
      </c>
      <c r="Y762" s="22">
        <v>0.11</v>
      </c>
      <c r="Z762" s="22">
        <v>0.13</v>
      </c>
      <c r="AA762" s="8" t="s">
        <v>2584</v>
      </c>
      <c r="AB762" s="8">
        <v>7098306.9900000002</v>
      </c>
      <c r="AC762" s="24">
        <v>1949904.9301530002</v>
      </c>
      <c r="AD762" s="8">
        <v>6355668.3700000001</v>
      </c>
      <c r="AE762" s="24">
        <v>1745902.101239</v>
      </c>
      <c r="AF762" s="8">
        <v>90</v>
      </c>
      <c r="AG762" s="8">
        <v>34</v>
      </c>
      <c r="AH762" s="8" t="s">
        <v>332</v>
      </c>
      <c r="AI762" s="8" t="s">
        <v>320</v>
      </c>
      <c r="AJ762" s="22">
        <v>0.33</v>
      </c>
      <c r="AK762" s="8" t="s">
        <v>155</v>
      </c>
      <c r="AL762" s="22">
        <v>0.15</v>
      </c>
      <c r="AM762" s="22">
        <v>0.06</v>
      </c>
      <c r="AN762" s="8">
        <v>9</v>
      </c>
      <c r="AO762" s="8">
        <v>4836</v>
      </c>
      <c r="AP762" s="8">
        <v>791132.01</v>
      </c>
      <c r="AQ762" s="24">
        <v>217323.963147</v>
      </c>
      <c r="AR762" s="8">
        <v>8267080.2400000002</v>
      </c>
      <c r="AS762" s="37">
        <v>2270966.9419280002</v>
      </c>
      <c r="AT762" s="8" t="s">
        <v>321</v>
      </c>
      <c r="AU762" s="8" t="s">
        <v>322</v>
      </c>
      <c r="AV762" s="8">
        <v>95.9</v>
      </c>
      <c r="AW762" s="8"/>
      <c r="AX762" s="8" t="s">
        <v>387</v>
      </c>
      <c r="AY762" s="8" t="s">
        <v>192</v>
      </c>
      <c r="AZ762" s="8" t="s">
        <v>324</v>
      </c>
      <c r="BA762" s="21">
        <f>IF(OR(tblsales[[#This Row],[Invoice Value USD]]="",tblsales[[#This Row],[Collected Amount USD]]=""),"",tblsales[[#This Row],[Invoice Value USD]]-tblsales[[#This Row],[Collected Amount USD]])</f>
        <v>204002.82891400019</v>
      </c>
      <c r="BB762" s="21">
        <f>IF(OR(tblsales[[#This Row],[Contract Value USD]]="",tblsales[[#This Row],[Cost Estimate USD]]=""),"",tblsales[[#This Row],[Contract Value USD]]-tblsales[[#This Row],[Cost Estimate USD]])</f>
        <v>3490326.5774430009</v>
      </c>
      <c r="BC762" s="21">
        <f>IF(OR(tblsales[[#This Row],[Contract Value USD]]="",tblsales[[#This Row],[Cost Estimate USD]]=""),"",tblsales[[#This Row],[Contract Value USD]]-tblsales[[#This Row],[Cost Estimate USD]])</f>
        <v>3490326.5774430009</v>
      </c>
      <c r="BD762" s="23">
        <f>IF(tblsales[[#This Row],[Invoice Value USD]]="","",tblsales[[#This Row],[Collected Amount USD]]/tblsales[[#This Row],[Invoice Value USD]])</f>
        <v>0.89537806394592123</v>
      </c>
      <c r="BE762" s="11">
        <f>IF(tblsales[[#This Row],[SalesStage]]="Won",1,0)</f>
        <v>1</v>
      </c>
      <c r="BF762" s="21" t="str">
        <f>IF(tblsales[[#This Row],[Win Flag]]=1,"Won","Lost")</f>
        <v>Won</v>
      </c>
      <c r="BG762" s="8"/>
    </row>
    <row r="763" spans="1:59" x14ac:dyDescent="0.3">
      <c r="A763" s="10" t="s">
        <v>2585</v>
      </c>
      <c r="B763" s="9">
        <v>45677</v>
      </c>
      <c r="C763" s="10" t="s">
        <v>276</v>
      </c>
      <c r="D763" s="10" t="s">
        <v>238</v>
      </c>
      <c r="E763" s="10" t="s">
        <v>41</v>
      </c>
      <c r="F763" s="10" t="s">
        <v>350</v>
      </c>
      <c r="G763" s="10" t="s">
        <v>46</v>
      </c>
      <c r="H763" s="10" t="s">
        <v>236</v>
      </c>
      <c r="I763" s="10" t="s">
        <v>183</v>
      </c>
      <c r="J763" s="10" t="s">
        <v>105</v>
      </c>
      <c r="K763" s="10" t="s">
        <v>221</v>
      </c>
      <c r="L763" s="10" t="s">
        <v>2586</v>
      </c>
      <c r="M763" s="9">
        <v>45637</v>
      </c>
      <c r="N763" s="9"/>
      <c r="O763" s="9">
        <v>45874</v>
      </c>
      <c r="P763" s="11">
        <v>4</v>
      </c>
      <c r="Q763" s="12">
        <v>5543954</v>
      </c>
      <c r="R763">
        <v>1522924.1638</v>
      </c>
      <c r="S763" s="22">
        <v>0.21</v>
      </c>
      <c r="T763" s="22">
        <v>0.17</v>
      </c>
      <c r="U763" s="12">
        <v>5124276.68</v>
      </c>
      <c r="V763" s="24">
        <v>1407638.803996</v>
      </c>
      <c r="W763" s="8">
        <v>3486174.98</v>
      </c>
      <c r="X763" s="24">
        <v>957652.26700600004</v>
      </c>
      <c r="Y763" s="22">
        <v>0.21</v>
      </c>
      <c r="Z763" s="22">
        <v>0.19</v>
      </c>
      <c r="AA763" s="8" t="s">
        <v>2587</v>
      </c>
      <c r="AB763" s="8">
        <v>1075699.22</v>
      </c>
      <c r="AC763" s="24">
        <v>295494.57573400001</v>
      </c>
      <c r="AD763" s="8">
        <v>998794.68</v>
      </c>
      <c r="AE763" s="24">
        <v>274368.89859600004</v>
      </c>
      <c r="AF763" s="8">
        <v>60</v>
      </c>
      <c r="AG763" s="8">
        <v>35</v>
      </c>
      <c r="AH763" s="8" t="s">
        <v>353</v>
      </c>
      <c r="AI763" s="8" t="s">
        <v>381</v>
      </c>
      <c r="AJ763" s="22">
        <v>0.81</v>
      </c>
      <c r="AK763" s="8" t="s">
        <v>155</v>
      </c>
      <c r="AL763" s="22">
        <v>0.05</v>
      </c>
      <c r="AM763" s="22">
        <v>0.1</v>
      </c>
      <c r="AN763" s="8">
        <v>3</v>
      </c>
      <c r="AO763" s="8">
        <v>2991</v>
      </c>
      <c r="AP763" s="8"/>
      <c r="AQ763" s="24"/>
      <c r="AR763" s="8">
        <v>646333.44999999995</v>
      </c>
      <c r="AS763" s="37">
        <v>177547.79871499998</v>
      </c>
      <c r="AT763" s="8" t="s">
        <v>73</v>
      </c>
      <c r="AU763" s="8" t="s">
        <v>321</v>
      </c>
      <c r="AV763" s="8">
        <v>91.3</v>
      </c>
      <c r="AW763" s="8">
        <v>60</v>
      </c>
      <c r="AX763" s="8" t="s">
        <v>387</v>
      </c>
      <c r="AY763" s="8" t="s">
        <v>229</v>
      </c>
      <c r="AZ763" s="8" t="s">
        <v>357</v>
      </c>
      <c r="BA763" s="21">
        <f>IF(OR(tblsales[[#This Row],[Invoice Value USD]]="",tblsales[[#This Row],[Collected Amount USD]]=""),"",tblsales[[#This Row],[Invoice Value USD]]-tblsales[[#This Row],[Collected Amount USD]])</f>
        <v>21125.67713799997</v>
      </c>
      <c r="BB763" s="21">
        <f>IF(OR(tblsales[[#This Row],[Contract Value USD]]="",tblsales[[#This Row],[Cost Estimate USD]]=""),"",tblsales[[#This Row],[Contract Value USD]]-tblsales[[#This Row],[Cost Estimate USD]])</f>
        <v>449986.53698999994</v>
      </c>
      <c r="BC763" s="21">
        <f>IF(OR(tblsales[[#This Row],[Contract Value USD]]="",tblsales[[#This Row],[Cost Estimate USD]]=""),"",tblsales[[#This Row],[Contract Value USD]]-tblsales[[#This Row],[Cost Estimate USD]])</f>
        <v>449986.53698999994</v>
      </c>
      <c r="BD763" s="23">
        <f>IF(tblsales[[#This Row],[Invoice Value USD]]="","",tblsales[[#This Row],[Collected Amount USD]]/tblsales[[#This Row],[Invoice Value USD]])</f>
        <v>0.92850739447407993</v>
      </c>
      <c r="BE763" s="11">
        <f>IF(tblsales[[#This Row],[SalesStage]]="Won",1,0)</f>
        <v>0</v>
      </c>
      <c r="BF763" s="21" t="str">
        <f>IF(tblsales[[#This Row],[Win Flag]]=1,"Won","Lost")</f>
        <v>Lost</v>
      </c>
      <c r="BG763" s="8"/>
    </row>
    <row r="764" spans="1:59" x14ac:dyDescent="0.3">
      <c r="A764" s="10" t="s">
        <v>2588</v>
      </c>
      <c r="B764" s="9">
        <v>45846</v>
      </c>
      <c r="C764" s="10" t="s">
        <v>278</v>
      </c>
      <c r="D764" s="10" t="s">
        <v>232</v>
      </c>
      <c r="E764" s="10" t="s">
        <v>20</v>
      </c>
      <c r="F764" s="10" t="s">
        <v>31</v>
      </c>
      <c r="G764" s="10" t="s">
        <v>57</v>
      </c>
      <c r="H764" s="10" t="s">
        <v>212</v>
      </c>
      <c r="I764" s="10" t="s">
        <v>183</v>
      </c>
      <c r="J764" s="10" t="s">
        <v>136</v>
      </c>
      <c r="K764" s="10" t="s">
        <v>210</v>
      </c>
      <c r="L764" s="10" t="s">
        <v>2589</v>
      </c>
      <c r="M764" s="9">
        <v>45798</v>
      </c>
      <c r="N764" s="9">
        <v>45859</v>
      </c>
      <c r="O764" s="9">
        <v>45957</v>
      </c>
      <c r="P764" s="11">
        <v>24</v>
      </c>
      <c r="Q764" s="12">
        <v>9632387</v>
      </c>
      <c r="R764">
        <v>9632387</v>
      </c>
      <c r="S764" s="22">
        <v>0.08</v>
      </c>
      <c r="T764" s="22">
        <v>0.11</v>
      </c>
      <c r="U764" s="12">
        <v>9836593.5999999996</v>
      </c>
      <c r="V764" s="24">
        <v>9836593.5999999996</v>
      </c>
      <c r="W764" s="8">
        <v>8746701.4000000004</v>
      </c>
      <c r="X764" s="24">
        <v>8746701.4000000004</v>
      </c>
      <c r="Y764" s="22">
        <v>0.34</v>
      </c>
      <c r="Z764" s="22">
        <v>0.13</v>
      </c>
      <c r="AA764" s="8" t="s">
        <v>2590</v>
      </c>
      <c r="AB764" s="8">
        <v>4070604.94</v>
      </c>
      <c r="AC764" s="24">
        <v>4070604.94</v>
      </c>
      <c r="AD764" s="8">
        <v>3504433.08</v>
      </c>
      <c r="AE764" s="24">
        <v>3504433.08</v>
      </c>
      <c r="AF764" s="8">
        <v>60</v>
      </c>
      <c r="AG764" s="8">
        <v>73</v>
      </c>
      <c r="AH764" s="8" t="s">
        <v>353</v>
      </c>
      <c r="AI764" s="8" t="s">
        <v>226</v>
      </c>
      <c r="AJ764" s="22">
        <v>0.45</v>
      </c>
      <c r="AK764" s="8" t="s">
        <v>152</v>
      </c>
      <c r="AL764" s="22">
        <v>0.05</v>
      </c>
      <c r="AM764" s="22">
        <v>0.02</v>
      </c>
      <c r="AN764" s="8">
        <v>1</v>
      </c>
      <c r="AO764" s="8">
        <v>703</v>
      </c>
      <c r="AP764" s="8">
        <v>757946.08</v>
      </c>
      <c r="AQ764" s="24">
        <v>757946.08</v>
      </c>
      <c r="AR764" s="8">
        <v>2977669.41</v>
      </c>
      <c r="AS764" s="37">
        <v>2977669.41</v>
      </c>
      <c r="AT764" s="8" t="s">
        <v>385</v>
      </c>
      <c r="AU764" s="8" t="s">
        <v>332</v>
      </c>
      <c r="AV764" s="8">
        <v>87.4</v>
      </c>
      <c r="AW764" s="8">
        <v>48</v>
      </c>
      <c r="AX764" s="8" t="s">
        <v>332</v>
      </c>
      <c r="AY764" s="8" t="s">
        <v>192</v>
      </c>
      <c r="AZ764" s="8" t="s">
        <v>332</v>
      </c>
      <c r="BA764" s="21">
        <f>IF(OR(tblsales[[#This Row],[Invoice Value USD]]="",tblsales[[#This Row],[Collected Amount USD]]=""),"",tblsales[[#This Row],[Invoice Value USD]]-tblsales[[#This Row],[Collected Amount USD]])</f>
        <v>566171.85999999987</v>
      </c>
      <c r="BB764" s="21">
        <f>IF(OR(tblsales[[#This Row],[Contract Value USD]]="",tblsales[[#This Row],[Cost Estimate USD]]=""),"",tblsales[[#This Row],[Contract Value USD]]-tblsales[[#This Row],[Cost Estimate USD]])</f>
        <v>1089892.1999999993</v>
      </c>
      <c r="BC764" s="21">
        <f>IF(OR(tblsales[[#This Row],[Contract Value USD]]="",tblsales[[#This Row],[Cost Estimate USD]]=""),"",tblsales[[#This Row],[Contract Value USD]]-tblsales[[#This Row],[Cost Estimate USD]])</f>
        <v>1089892.1999999993</v>
      </c>
      <c r="BD764" s="23">
        <f>IF(tblsales[[#This Row],[Invoice Value USD]]="","",tblsales[[#This Row],[Collected Amount USD]]/tblsales[[#This Row],[Invoice Value USD]])</f>
        <v>0.86091210806617857</v>
      </c>
      <c r="BE764" s="11">
        <f>IF(tblsales[[#This Row],[SalesStage]]="Won",1,0)</f>
        <v>0</v>
      </c>
      <c r="BF764" s="21" t="str">
        <f>IF(tblsales[[#This Row],[Win Flag]]=1,"Won","Lost")</f>
        <v>Lost</v>
      </c>
      <c r="BG764" s="8"/>
    </row>
    <row r="765" spans="1:59" x14ac:dyDescent="0.3">
      <c r="A765" s="10" t="s">
        <v>2591</v>
      </c>
      <c r="B765" s="9">
        <v>45895</v>
      </c>
      <c r="C765" s="10" t="s">
        <v>254</v>
      </c>
      <c r="D765" s="10" t="s">
        <v>562</v>
      </c>
      <c r="E765" s="10" t="s">
        <v>332</v>
      </c>
      <c r="F765" s="10" t="s">
        <v>196</v>
      </c>
      <c r="G765" s="10" t="s">
        <v>80</v>
      </c>
      <c r="H765" s="10" t="s">
        <v>197</v>
      </c>
      <c r="I765" s="10" t="s">
        <v>240</v>
      </c>
      <c r="J765" s="10" t="s">
        <v>99</v>
      </c>
      <c r="K765" s="10" t="s">
        <v>223</v>
      </c>
      <c r="L765" s="10" t="s">
        <v>2592</v>
      </c>
      <c r="M765" s="9">
        <v>45694</v>
      </c>
      <c r="N765" s="9"/>
      <c r="O765" s="9">
        <v>45967</v>
      </c>
      <c r="P765" s="11">
        <v>17</v>
      </c>
      <c r="Q765" s="12">
        <v>45341465</v>
      </c>
      <c r="R765">
        <v>12455300.4355</v>
      </c>
      <c r="S765" s="22">
        <v>0.1</v>
      </c>
      <c r="T765" s="22">
        <v>-0.03</v>
      </c>
      <c r="U765" s="12">
        <v>39583098.950000003</v>
      </c>
      <c r="V765" s="24">
        <v>10873477.281565001</v>
      </c>
      <c r="W765" s="8">
        <v>30104667.489999998</v>
      </c>
      <c r="X765" s="24">
        <v>8269752.1595029999</v>
      </c>
      <c r="Y765" s="22">
        <v>0.13</v>
      </c>
      <c r="Z765" s="22">
        <v>0.16</v>
      </c>
      <c r="AA765" s="8" t="s">
        <v>2593</v>
      </c>
      <c r="AB765" s="8">
        <v>31232122.68</v>
      </c>
      <c r="AC765" s="24">
        <v>8579464.1001960002</v>
      </c>
      <c r="AD765" s="8">
        <v>17297396.27</v>
      </c>
      <c r="AE765" s="24">
        <v>4751594.7553690001</v>
      </c>
      <c r="AF765" s="8">
        <v>60</v>
      </c>
      <c r="AG765" s="8">
        <v>179</v>
      </c>
      <c r="AH765" s="8" t="s">
        <v>347</v>
      </c>
      <c r="AI765" s="8" t="s">
        <v>336</v>
      </c>
      <c r="AJ765" s="22">
        <v>0.87</v>
      </c>
      <c r="AK765" s="8" t="s">
        <v>155</v>
      </c>
      <c r="AL765" s="22">
        <v>0.05</v>
      </c>
      <c r="AM765" s="22">
        <v>7.0000000000000007E-2</v>
      </c>
      <c r="AN765" s="8">
        <v>1</v>
      </c>
      <c r="AO765" s="8">
        <v>2092</v>
      </c>
      <c r="AP765" s="8">
        <v>1348664.35</v>
      </c>
      <c r="AQ765" s="24">
        <v>370478.096945</v>
      </c>
      <c r="AR765" s="8">
        <v>16302329.939999999</v>
      </c>
      <c r="AS765" s="37">
        <v>4478250.0345179997</v>
      </c>
      <c r="AT765" s="8" t="s">
        <v>321</v>
      </c>
      <c r="AU765" s="8" t="s">
        <v>332</v>
      </c>
      <c r="AV765" s="8">
        <v>94.6</v>
      </c>
      <c r="AW765" s="8">
        <v>24</v>
      </c>
      <c r="AX765" s="8" t="s">
        <v>387</v>
      </c>
      <c r="AY765" s="8" t="s">
        <v>192</v>
      </c>
      <c r="AZ765" s="8" t="s">
        <v>324</v>
      </c>
      <c r="BA765" s="21">
        <f>IF(OR(tblsales[[#This Row],[Invoice Value USD]]="",tblsales[[#This Row],[Collected Amount USD]]=""),"",tblsales[[#This Row],[Invoice Value USD]]-tblsales[[#This Row],[Collected Amount USD]])</f>
        <v>3827869.3448270001</v>
      </c>
      <c r="BB765" s="21">
        <f>IF(OR(tblsales[[#This Row],[Contract Value USD]]="",tblsales[[#This Row],[Cost Estimate USD]]=""),"",tblsales[[#This Row],[Contract Value USD]]-tblsales[[#This Row],[Cost Estimate USD]])</f>
        <v>2603725.1220620014</v>
      </c>
      <c r="BC765" s="21">
        <f>IF(OR(tblsales[[#This Row],[Contract Value USD]]="",tblsales[[#This Row],[Cost Estimate USD]]=""),"",tblsales[[#This Row],[Contract Value USD]]-tblsales[[#This Row],[Cost Estimate USD]])</f>
        <v>2603725.1220620014</v>
      </c>
      <c r="BD765" s="23">
        <f>IF(tblsales[[#This Row],[Invoice Value USD]]="","",tblsales[[#This Row],[Collected Amount USD]]/tblsales[[#This Row],[Invoice Value USD]])</f>
        <v>0.55383351452690954</v>
      </c>
      <c r="BE765" s="11">
        <f>IF(tblsales[[#This Row],[SalesStage]]="Won",1,0)</f>
        <v>0</v>
      </c>
      <c r="BF765" s="21" t="str">
        <f>IF(tblsales[[#This Row],[Win Flag]]=1,"Won","Lost")</f>
        <v>Lost</v>
      </c>
      <c r="BG765" s="8"/>
    </row>
    <row r="766" spans="1:59" x14ac:dyDescent="0.3">
      <c r="A766" s="10" t="s">
        <v>2594</v>
      </c>
      <c r="B766" s="9">
        <v>45833</v>
      </c>
      <c r="C766" s="10" t="s">
        <v>222</v>
      </c>
      <c r="D766" s="10" t="s">
        <v>245</v>
      </c>
      <c r="E766" s="10" t="s">
        <v>20</v>
      </c>
      <c r="F766" s="10" t="s">
        <v>196</v>
      </c>
      <c r="G766" s="10" t="s">
        <v>66</v>
      </c>
      <c r="H766" s="10" t="s">
        <v>197</v>
      </c>
      <c r="I766" s="10" t="s">
        <v>240</v>
      </c>
      <c r="J766" s="10" t="s">
        <v>136</v>
      </c>
      <c r="K766" s="10" t="s">
        <v>333</v>
      </c>
      <c r="L766" s="10" t="s">
        <v>2595</v>
      </c>
      <c r="M766" s="9">
        <v>45754</v>
      </c>
      <c r="N766" s="9">
        <v>45884</v>
      </c>
      <c r="O766" s="9">
        <v>45940</v>
      </c>
      <c r="P766" s="11">
        <v>4</v>
      </c>
      <c r="Q766" s="12">
        <v>46138724</v>
      </c>
      <c r="R766">
        <v>46138724</v>
      </c>
      <c r="S766" s="22">
        <v>7.0000000000000007E-2</v>
      </c>
      <c r="T766" s="22">
        <v>-0.04</v>
      </c>
      <c r="U766" s="12">
        <v>41192652.789999999</v>
      </c>
      <c r="V766" s="24">
        <v>41192652.789999999</v>
      </c>
      <c r="W766" s="8">
        <v>29054457.510000002</v>
      </c>
      <c r="X766" s="24">
        <v>29054457.510000002</v>
      </c>
      <c r="Y766" s="22">
        <v>0.23</v>
      </c>
      <c r="Z766" s="22">
        <v>0.1</v>
      </c>
      <c r="AA766" s="8" t="s">
        <v>2596</v>
      </c>
      <c r="AB766" s="8">
        <v>3388253.45</v>
      </c>
      <c r="AC766" s="24">
        <v>3388253.45</v>
      </c>
      <c r="AD766" s="8">
        <v>3073839.96</v>
      </c>
      <c r="AE766" s="24">
        <v>3073839.96</v>
      </c>
      <c r="AF766" s="8">
        <v>45</v>
      </c>
      <c r="AG766" s="8">
        <v>48</v>
      </c>
      <c r="AH766" s="8" t="s">
        <v>342</v>
      </c>
      <c r="AI766" s="8" t="s">
        <v>320</v>
      </c>
      <c r="AJ766" s="22">
        <v>0.75</v>
      </c>
      <c r="AK766" s="8" t="s">
        <v>152</v>
      </c>
      <c r="AL766" s="22">
        <v>0.05</v>
      </c>
      <c r="AM766" s="22">
        <v>0.09</v>
      </c>
      <c r="AN766" s="8">
        <v>4</v>
      </c>
      <c r="AO766" s="8"/>
      <c r="AP766" s="8">
        <v>4046119.74</v>
      </c>
      <c r="AQ766" s="24">
        <v>4046119.74</v>
      </c>
      <c r="AR766" s="8">
        <v>18438896.390000001</v>
      </c>
      <c r="AS766" s="37">
        <v>18438896.390000001</v>
      </c>
      <c r="AT766" s="8" t="s">
        <v>332</v>
      </c>
      <c r="AU766" s="8" t="s">
        <v>330</v>
      </c>
      <c r="AV766" s="8">
        <v>76.5</v>
      </c>
      <c r="AW766" s="8">
        <v>60</v>
      </c>
      <c r="AX766" s="8" t="s">
        <v>332</v>
      </c>
      <c r="AY766" s="8" t="s">
        <v>206</v>
      </c>
      <c r="AZ766" s="8" t="s">
        <v>332</v>
      </c>
      <c r="BA766" s="21">
        <f>IF(OR(tblsales[[#This Row],[Invoice Value USD]]="",tblsales[[#This Row],[Collected Amount USD]]=""),"",tblsales[[#This Row],[Invoice Value USD]]-tblsales[[#This Row],[Collected Amount USD]])</f>
        <v>314413.49000000022</v>
      </c>
      <c r="BB766" s="21">
        <f>IF(OR(tblsales[[#This Row],[Contract Value USD]]="",tblsales[[#This Row],[Cost Estimate USD]]=""),"",tblsales[[#This Row],[Contract Value USD]]-tblsales[[#This Row],[Cost Estimate USD]])</f>
        <v>12138195.279999997</v>
      </c>
      <c r="BC766" s="21">
        <f>IF(OR(tblsales[[#This Row],[Contract Value USD]]="",tblsales[[#This Row],[Cost Estimate USD]]=""),"",tblsales[[#This Row],[Contract Value USD]]-tblsales[[#This Row],[Cost Estimate USD]])</f>
        <v>12138195.279999997</v>
      </c>
      <c r="BD766" s="23">
        <f>IF(tblsales[[#This Row],[Invoice Value USD]]="","",tblsales[[#This Row],[Collected Amount USD]]/tblsales[[#This Row],[Invoice Value USD]])</f>
        <v>0.90720484915318234</v>
      </c>
      <c r="BE766" s="11">
        <f>IF(tblsales[[#This Row],[SalesStage]]="Won",1,0)</f>
        <v>1</v>
      </c>
      <c r="BF766" s="21" t="str">
        <f>IF(tblsales[[#This Row],[Win Flag]]=1,"Won","Lost")</f>
        <v>Won</v>
      </c>
      <c r="BG766" s="8"/>
    </row>
    <row r="767" spans="1:59" x14ac:dyDescent="0.3">
      <c r="A767" s="10" t="s">
        <v>2597</v>
      </c>
      <c r="B767" s="9">
        <v>45945</v>
      </c>
      <c r="C767" s="10" t="s">
        <v>275</v>
      </c>
      <c r="D767" s="10" t="s">
        <v>245</v>
      </c>
      <c r="E767" s="10" t="s">
        <v>332</v>
      </c>
      <c r="F767" s="10" t="s">
        <v>31</v>
      </c>
      <c r="G767" s="10" t="s">
        <v>38</v>
      </c>
      <c r="H767" s="10" t="s">
        <v>197</v>
      </c>
      <c r="I767" s="10" t="s">
        <v>332</v>
      </c>
      <c r="J767" s="10" t="s">
        <v>99</v>
      </c>
      <c r="K767" s="10" t="s">
        <v>333</v>
      </c>
      <c r="L767" s="10" t="s">
        <v>2598</v>
      </c>
      <c r="M767" s="9">
        <v>45890</v>
      </c>
      <c r="N767" s="9">
        <v>45948</v>
      </c>
      <c r="O767" s="9">
        <v>45979</v>
      </c>
      <c r="P767" s="11">
        <v>45</v>
      </c>
      <c r="Q767" s="12">
        <v>29202087</v>
      </c>
      <c r="R767">
        <v>29202087</v>
      </c>
      <c r="S767" s="22">
        <v>0.28999999999999998</v>
      </c>
      <c r="T767" s="22">
        <v>0.11</v>
      </c>
      <c r="U767" s="12">
        <v>23014164.760000002</v>
      </c>
      <c r="V767" s="24">
        <v>23014164.760000002</v>
      </c>
      <c r="W767" s="8">
        <v>14123648.109999999</v>
      </c>
      <c r="X767" s="24">
        <v>14123648.109999999</v>
      </c>
      <c r="Y767" s="22">
        <v>0.36</v>
      </c>
      <c r="Z767" s="22">
        <v>0.19</v>
      </c>
      <c r="AA767" s="8"/>
      <c r="AB767" s="8">
        <v>12663227.789999999</v>
      </c>
      <c r="AC767" s="24">
        <v>12663227.789999999</v>
      </c>
      <c r="AD767" s="8">
        <v>11567864.810000001</v>
      </c>
      <c r="AE767" s="24">
        <v>11567864.810000001</v>
      </c>
      <c r="AF767" s="8">
        <v>120</v>
      </c>
      <c r="AG767" s="8">
        <v>75</v>
      </c>
      <c r="AH767" s="8" t="s">
        <v>353</v>
      </c>
      <c r="AI767" s="8" t="s">
        <v>320</v>
      </c>
      <c r="AJ767" s="22">
        <v>0.43</v>
      </c>
      <c r="AK767" s="8" t="s">
        <v>152</v>
      </c>
      <c r="AL767" s="22">
        <v>0.15</v>
      </c>
      <c r="AM767" s="22">
        <v>7.0000000000000007E-2</v>
      </c>
      <c r="AN767" s="8">
        <v>0</v>
      </c>
      <c r="AO767" s="8">
        <v>4376</v>
      </c>
      <c r="AP767" s="8">
        <v>5730310.3899999997</v>
      </c>
      <c r="AQ767" s="24">
        <v>5730310.3899999997</v>
      </c>
      <c r="AR767" s="8">
        <v>3845637.66</v>
      </c>
      <c r="AS767" s="37">
        <v>3845637.66</v>
      </c>
      <c r="AT767" s="8" t="s">
        <v>391</v>
      </c>
      <c r="AU767" s="8" t="s">
        <v>330</v>
      </c>
      <c r="AV767" s="8">
        <v>60.4</v>
      </c>
      <c r="AW767" s="8">
        <v>36</v>
      </c>
      <c r="AX767" s="8" t="s">
        <v>387</v>
      </c>
      <c r="AY767" s="8" t="s">
        <v>229</v>
      </c>
      <c r="AZ767" s="8" t="s">
        <v>357</v>
      </c>
      <c r="BA767" s="21">
        <f>IF(OR(tblsales[[#This Row],[Invoice Value USD]]="",tblsales[[#This Row],[Collected Amount USD]]=""),"",tblsales[[#This Row],[Invoice Value USD]]-tblsales[[#This Row],[Collected Amount USD]])</f>
        <v>1095362.9799999986</v>
      </c>
      <c r="BB767" s="21">
        <f>IF(OR(tblsales[[#This Row],[Contract Value USD]]="",tblsales[[#This Row],[Cost Estimate USD]]=""),"",tblsales[[#This Row],[Contract Value USD]]-tblsales[[#This Row],[Cost Estimate USD]])</f>
        <v>8890516.6500000022</v>
      </c>
      <c r="BC767" s="21">
        <f>IF(OR(tblsales[[#This Row],[Contract Value USD]]="",tblsales[[#This Row],[Cost Estimate USD]]=""),"",tblsales[[#This Row],[Contract Value USD]]-tblsales[[#This Row],[Cost Estimate USD]])</f>
        <v>8890516.6500000022</v>
      </c>
      <c r="BD767" s="23">
        <f>IF(tblsales[[#This Row],[Invoice Value USD]]="","",tblsales[[#This Row],[Collected Amount USD]]/tblsales[[#This Row],[Invoice Value USD]])</f>
        <v>0.91350049148882928</v>
      </c>
      <c r="BE767" s="11">
        <f>IF(tblsales[[#This Row],[SalesStage]]="Won",1,0)</f>
        <v>1</v>
      </c>
      <c r="BF767" s="21" t="str">
        <f>IF(tblsales[[#This Row],[Win Flag]]=1,"Won","Lost")</f>
        <v>Won</v>
      </c>
      <c r="BG767" s="8"/>
    </row>
    <row r="768" spans="1:59" x14ac:dyDescent="0.3">
      <c r="A768" s="10" t="s">
        <v>2599</v>
      </c>
      <c r="B768" s="9">
        <v>45699</v>
      </c>
      <c r="C768" s="10" t="s">
        <v>256</v>
      </c>
      <c r="D768" s="10" t="s">
        <v>245</v>
      </c>
      <c r="E768" s="10" t="s">
        <v>52</v>
      </c>
      <c r="F768" s="10" t="s">
        <v>75</v>
      </c>
      <c r="G768" s="10" t="s">
        <v>73</v>
      </c>
      <c r="H768" s="10" t="s">
        <v>216</v>
      </c>
      <c r="I768" s="10" t="s">
        <v>240</v>
      </c>
      <c r="J768" s="10" t="s">
        <v>133</v>
      </c>
      <c r="K768" s="10" t="s">
        <v>221</v>
      </c>
      <c r="L768" s="10" t="s">
        <v>2600</v>
      </c>
      <c r="M768" s="9">
        <v>45645</v>
      </c>
      <c r="N768" s="9">
        <v>45725</v>
      </c>
      <c r="O768" s="9"/>
      <c r="P768" s="11">
        <v>4</v>
      </c>
      <c r="Q768" s="12">
        <v>36534060</v>
      </c>
      <c r="R768">
        <v>42416043.660000004</v>
      </c>
      <c r="S768" s="22">
        <v>0.23</v>
      </c>
      <c r="T768" s="22">
        <v>0.14000000000000001</v>
      </c>
      <c r="U768" s="12">
        <v>32069597.870000001</v>
      </c>
      <c r="V768" s="24">
        <v>37232803.127070002</v>
      </c>
      <c r="W768" s="8">
        <v>20265390.010000002</v>
      </c>
      <c r="X768" s="24">
        <v>23528117.801610004</v>
      </c>
      <c r="Y768" s="22">
        <v>0.36</v>
      </c>
      <c r="Z768" s="22">
        <v>0.16</v>
      </c>
      <c r="AA768" s="8" t="s">
        <v>2601</v>
      </c>
      <c r="AB768" s="8">
        <v>1614827.53</v>
      </c>
      <c r="AC768" s="24">
        <v>1874814.7623300001</v>
      </c>
      <c r="AD768" s="8">
        <v>571736.1</v>
      </c>
      <c r="AE768" s="24">
        <v>663785.61210000003</v>
      </c>
      <c r="AF768" s="8">
        <v>30</v>
      </c>
      <c r="AG768" s="8">
        <v>51</v>
      </c>
      <c r="AH768" s="8" t="s">
        <v>342</v>
      </c>
      <c r="AI768" s="8" t="s">
        <v>336</v>
      </c>
      <c r="AJ768" s="22">
        <v>0.76</v>
      </c>
      <c r="AK768" s="8" t="s">
        <v>159</v>
      </c>
      <c r="AL768" s="22">
        <v>0.1</v>
      </c>
      <c r="AM768" s="22">
        <v>0.09</v>
      </c>
      <c r="AN768" s="8">
        <v>2</v>
      </c>
      <c r="AO768" s="8">
        <v>1822</v>
      </c>
      <c r="AP768" s="8">
        <v>3079383.14</v>
      </c>
      <c r="AQ768" s="24">
        <v>3575163.8255400001</v>
      </c>
      <c r="AR768" s="8">
        <v>15199659.5</v>
      </c>
      <c r="AS768" s="37">
        <v>17646804.679499999</v>
      </c>
      <c r="AT768" s="8" t="s">
        <v>385</v>
      </c>
      <c r="AU768" s="8" t="s">
        <v>321</v>
      </c>
      <c r="AV768" s="8">
        <v>53.8</v>
      </c>
      <c r="AW768" s="8"/>
      <c r="AX768" s="8" t="s">
        <v>387</v>
      </c>
      <c r="AY768" s="8" t="s">
        <v>192</v>
      </c>
      <c r="AZ768" s="8" t="s">
        <v>188</v>
      </c>
      <c r="BA768" s="21">
        <f>IF(OR(tblsales[[#This Row],[Invoice Value USD]]="",tblsales[[#This Row],[Collected Amount USD]]=""),"",tblsales[[#This Row],[Invoice Value USD]]-tblsales[[#This Row],[Collected Amount USD]])</f>
        <v>1211029.15023</v>
      </c>
      <c r="BB768" s="21">
        <f>IF(OR(tblsales[[#This Row],[Contract Value USD]]="",tblsales[[#This Row],[Cost Estimate USD]]=""),"",tblsales[[#This Row],[Contract Value USD]]-tblsales[[#This Row],[Cost Estimate USD]])</f>
        <v>13704685.325459998</v>
      </c>
      <c r="BC768" s="21">
        <f>IF(OR(tblsales[[#This Row],[Contract Value USD]]="",tblsales[[#This Row],[Cost Estimate USD]]=""),"",tblsales[[#This Row],[Contract Value USD]]-tblsales[[#This Row],[Cost Estimate USD]])</f>
        <v>13704685.325459998</v>
      </c>
      <c r="BD768" s="23">
        <f>IF(tblsales[[#This Row],[Invoice Value USD]]="","",tblsales[[#This Row],[Collected Amount USD]]/tblsales[[#This Row],[Invoice Value USD]])</f>
        <v>0.35405397132410793</v>
      </c>
      <c r="BE768" s="11">
        <f>IF(tblsales[[#This Row],[SalesStage]]="Won",1,0)</f>
        <v>0</v>
      </c>
      <c r="BF768" s="21" t="str">
        <f>IF(tblsales[[#This Row],[Win Flag]]=1,"Won","Lost")</f>
        <v>Lost</v>
      </c>
      <c r="BG768" s="8"/>
    </row>
    <row r="769" spans="1:59" x14ac:dyDescent="0.3">
      <c r="A769" s="10" t="s">
        <v>2602</v>
      </c>
      <c r="B769" s="9">
        <v>45939</v>
      </c>
      <c r="C769" s="10" t="s">
        <v>257</v>
      </c>
      <c r="D769" s="10" t="s">
        <v>562</v>
      </c>
      <c r="E769" s="10" t="s">
        <v>20</v>
      </c>
      <c r="F769" s="10" t="s">
        <v>35</v>
      </c>
      <c r="G769" s="10" t="s">
        <v>38</v>
      </c>
      <c r="H769" s="10" t="s">
        <v>212</v>
      </c>
      <c r="I769" s="10" t="s">
        <v>246</v>
      </c>
      <c r="J769" s="10" t="s">
        <v>136</v>
      </c>
      <c r="K769" s="10" t="s">
        <v>204</v>
      </c>
      <c r="L769" s="10" t="s">
        <v>2603</v>
      </c>
      <c r="M769" s="9">
        <v>45920</v>
      </c>
      <c r="N769" s="9"/>
      <c r="O769" s="9"/>
      <c r="P769" s="11"/>
      <c r="Q769" s="12">
        <v>25552969</v>
      </c>
      <c r="R769">
        <v>25552969</v>
      </c>
      <c r="S769" s="22">
        <v>0.02</v>
      </c>
      <c r="T769" s="22">
        <v>0.02</v>
      </c>
      <c r="U769" s="12">
        <v>25542747.809999999</v>
      </c>
      <c r="V769" s="24">
        <v>25542747.809999999</v>
      </c>
      <c r="W769" s="8">
        <v>19985230.82</v>
      </c>
      <c r="X769" s="24">
        <v>19985230.82</v>
      </c>
      <c r="Y769" s="22">
        <v>0.14000000000000001</v>
      </c>
      <c r="Z769" s="22">
        <v>0.14000000000000001</v>
      </c>
      <c r="AA769" s="8" t="s">
        <v>2604</v>
      </c>
      <c r="AB769" s="8">
        <v>13353404.07</v>
      </c>
      <c r="AC769" s="24">
        <v>13353404.07</v>
      </c>
      <c r="AD769" s="8">
        <v>11093388.93</v>
      </c>
      <c r="AE769" s="24">
        <v>11093388.93</v>
      </c>
      <c r="AF769" s="8">
        <v>30</v>
      </c>
      <c r="AG769" s="8">
        <v>102</v>
      </c>
      <c r="AH769" s="8" t="s">
        <v>332</v>
      </c>
      <c r="AI769" s="8" t="s">
        <v>336</v>
      </c>
      <c r="AJ769" s="22">
        <v>0.51</v>
      </c>
      <c r="AK769" s="8" t="s">
        <v>152</v>
      </c>
      <c r="AL769" s="22">
        <v>0.05</v>
      </c>
      <c r="AM769" s="22">
        <v>0.02</v>
      </c>
      <c r="AN769" s="8">
        <v>9</v>
      </c>
      <c r="AO769" s="8">
        <v>2834</v>
      </c>
      <c r="AP769" s="8">
        <v>2105424.08</v>
      </c>
      <c r="AQ769" s="24">
        <v>2105424.08</v>
      </c>
      <c r="AR769" s="8">
        <v>9481537.25</v>
      </c>
      <c r="AS769" s="37">
        <v>9481537.25</v>
      </c>
      <c r="AT769" s="8" t="s">
        <v>321</v>
      </c>
      <c r="AU769" s="8" t="s">
        <v>332</v>
      </c>
      <c r="AV769" s="8">
        <v>52.3</v>
      </c>
      <c r="AW769" s="8">
        <v>60</v>
      </c>
      <c r="AX769" s="8" t="s">
        <v>387</v>
      </c>
      <c r="AY769" s="8" t="s">
        <v>224</v>
      </c>
      <c r="AZ769" s="8" t="s">
        <v>324</v>
      </c>
      <c r="BA769" s="21">
        <f>IF(OR(tblsales[[#This Row],[Invoice Value USD]]="",tblsales[[#This Row],[Collected Amount USD]]=""),"",tblsales[[#This Row],[Invoice Value USD]]-tblsales[[#This Row],[Collected Amount USD]])</f>
        <v>2260015.1400000006</v>
      </c>
      <c r="BB769" s="21">
        <f>IF(OR(tblsales[[#This Row],[Contract Value USD]]="",tblsales[[#This Row],[Cost Estimate USD]]=""),"",tblsales[[#This Row],[Contract Value USD]]-tblsales[[#This Row],[Cost Estimate USD]])</f>
        <v>5557516.9899999984</v>
      </c>
      <c r="BC769" s="21">
        <f>IF(OR(tblsales[[#This Row],[Contract Value USD]]="",tblsales[[#This Row],[Cost Estimate USD]]=""),"",tblsales[[#This Row],[Contract Value USD]]-tblsales[[#This Row],[Cost Estimate USD]])</f>
        <v>5557516.9899999984</v>
      </c>
      <c r="BD769" s="23">
        <f>IF(tblsales[[#This Row],[Invoice Value USD]]="","",tblsales[[#This Row],[Collected Amount USD]]/tblsales[[#This Row],[Invoice Value USD]])</f>
        <v>0.83075363194637453</v>
      </c>
      <c r="BE769" s="11">
        <f>IF(tblsales[[#This Row],[SalesStage]]="Won",1,0)</f>
        <v>0</v>
      </c>
      <c r="BF769" s="21" t="str">
        <f>IF(tblsales[[#This Row],[Win Flag]]=1,"Won","Lost")</f>
        <v>Lost</v>
      </c>
      <c r="BG769" s="8"/>
    </row>
    <row r="770" spans="1:59" x14ac:dyDescent="0.3">
      <c r="A770" s="10" t="s">
        <v>2605</v>
      </c>
      <c r="B770" s="9">
        <v>45862</v>
      </c>
      <c r="C770" s="10" t="s">
        <v>241</v>
      </c>
      <c r="D770" s="10" t="s">
        <v>253</v>
      </c>
      <c r="E770" s="10" t="s">
        <v>332</v>
      </c>
      <c r="F770" s="10" t="s">
        <v>339</v>
      </c>
      <c r="G770" s="10" t="s">
        <v>62</v>
      </c>
      <c r="H770" s="10" t="s">
        <v>332</v>
      </c>
      <c r="I770" s="10" t="s">
        <v>191</v>
      </c>
      <c r="J770" s="10" t="s">
        <v>99</v>
      </c>
      <c r="K770" s="10" t="s">
        <v>184</v>
      </c>
      <c r="L770" s="10" t="s">
        <v>2606</v>
      </c>
      <c r="M770" s="9">
        <v>45816</v>
      </c>
      <c r="N770" s="9">
        <v>45785</v>
      </c>
      <c r="O770" s="9">
        <v>45895</v>
      </c>
      <c r="P770" s="11">
        <v>37</v>
      </c>
      <c r="Q770" s="12">
        <v>42373355</v>
      </c>
      <c r="R770">
        <v>11538264.566499999</v>
      </c>
      <c r="S770" s="22">
        <v>0.17</v>
      </c>
      <c r="T770" s="22">
        <v>0.13</v>
      </c>
      <c r="U770" s="12">
        <v>39741969.649999999</v>
      </c>
      <c r="V770" s="24">
        <v>10821738.335694999</v>
      </c>
      <c r="W770" s="8">
        <v>33234540.370000001</v>
      </c>
      <c r="X770" s="24">
        <v>9049765.3427510001</v>
      </c>
      <c r="Y770" s="22">
        <v>0.05</v>
      </c>
      <c r="Z770" s="22">
        <v>7.0000000000000007E-2</v>
      </c>
      <c r="AA770" s="8" t="s">
        <v>2607</v>
      </c>
      <c r="AB770" s="8">
        <v>23378053.859999999</v>
      </c>
      <c r="AC770" s="24">
        <v>6365844.0660779998</v>
      </c>
      <c r="AD770" s="8">
        <v>21046922.32</v>
      </c>
      <c r="AE770" s="24">
        <v>5731076.9477359997</v>
      </c>
      <c r="AF770" s="8">
        <v>60</v>
      </c>
      <c r="AG770" s="8">
        <v>126</v>
      </c>
      <c r="AH770" s="8" t="s">
        <v>347</v>
      </c>
      <c r="AI770" s="8" t="s">
        <v>336</v>
      </c>
      <c r="AJ770" s="22">
        <v>0.93</v>
      </c>
      <c r="AK770" s="8" t="s">
        <v>153</v>
      </c>
      <c r="AL770" s="22">
        <v>0.05</v>
      </c>
      <c r="AM770" s="22">
        <v>0.09</v>
      </c>
      <c r="AN770" s="8">
        <v>0</v>
      </c>
      <c r="AO770" s="8">
        <v>3566</v>
      </c>
      <c r="AP770" s="8">
        <v>8015061.0599999996</v>
      </c>
      <c r="AQ770" s="24">
        <v>2182501.1266379999</v>
      </c>
      <c r="AR770" s="8">
        <v>10720588.529999999</v>
      </c>
      <c r="AS770" s="37">
        <v>2919216.2567189997</v>
      </c>
      <c r="AT770" s="8" t="s">
        <v>343</v>
      </c>
      <c r="AU770" s="8" t="s">
        <v>332</v>
      </c>
      <c r="AV770" s="8">
        <v>66.900000000000006</v>
      </c>
      <c r="AW770" s="8">
        <v>36</v>
      </c>
      <c r="AX770" s="8" t="s">
        <v>332</v>
      </c>
      <c r="AY770" s="8" t="s">
        <v>186</v>
      </c>
      <c r="AZ770" s="8" t="s">
        <v>357</v>
      </c>
      <c r="BA770" s="21">
        <f>IF(OR(tblsales[[#This Row],[Invoice Value USD]]="",tblsales[[#This Row],[Collected Amount USD]]=""),"",tblsales[[#This Row],[Invoice Value USD]]-tblsales[[#This Row],[Collected Amount USD]])</f>
        <v>634767.11834200006</v>
      </c>
      <c r="BB770" s="21">
        <f>IF(OR(tblsales[[#This Row],[Contract Value USD]]="",tblsales[[#This Row],[Cost Estimate USD]]=""),"",tblsales[[#This Row],[Contract Value USD]]-tblsales[[#This Row],[Cost Estimate USD]])</f>
        <v>1771972.9929439984</v>
      </c>
      <c r="BC770" s="21">
        <f>IF(OR(tblsales[[#This Row],[Contract Value USD]]="",tblsales[[#This Row],[Cost Estimate USD]]=""),"",tblsales[[#This Row],[Contract Value USD]]-tblsales[[#This Row],[Cost Estimate USD]])</f>
        <v>1771972.9929439984</v>
      </c>
      <c r="BD770" s="23">
        <f>IF(tblsales[[#This Row],[Invoice Value USD]]="","",tblsales[[#This Row],[Collected Amount USD]]/tblsales[[#This Row],[Invoice Value USD]])</f>
        <v>0.90028547483207821</v>
      </c>
      <c r="BE770" s="11">
        <f>IF(tblsales[[#This Row],[SalesStage]]="Won",1,0)</f>
        <v>0</v>
      </c>
      <c r="BF770" s="21" t="str">
        <f>IF(tblsales[[#This Row],[Win Flag]]=1,"Won","Lost")</f>
        <v>Lost</v>
      </c>
      <c r="BG770" s="8"/>
    </row>
    <row r="771" spans="1:59" x14ac:dyDescent="0.3">
      <c r="A771" s="10" t="s">
        <v>2608</v>
      </c>
      <c r="B771" s="9">
        <v>45917</v>
      </c>
      <c r="C771" s="10" t="s">
        <v>279</v>
      </c>
      <c r="D771" s="10" t="s">
        <v>248</v>
      </c>
      <c r="E771" s="10" t="s">
        <v>332</v>
      </c>
      <c r="F771" s="10" t="s">
        <v>339</v>
      </c>
      <c r="G771" s="10" t="s">
        <v>80</v>
      </c>
      <c r="H771" s="10" t="s">
        <v>212</v>
      </c>
      <c r="I771" s="10" t="s">
        <v>198</v>
      </c>
      <c r="J771" s="10" t="s">
        <v>99</v>
      </c>
      <c r="K771" s="10" t="s">
        <v>221</v>
      </c>
      <c r="L771" s="10" t="s">
        <v>2609</v>
      </c>
      <c r="M771" s="9">
        <v>45900</v>
      </c>
      <c r="N771" s="9" t="s">
        <v>2610</v>
      </c>
      <c r="O771" s="9">
        <v>45699</v>
      </c>
      <c r="P771" s="11"/>
      <c r="Q771" s="12">
        <v>11196053</v>
      </c>
      <c r="R771">
        <v>11196053</v>
      </c>
      <c r="S771" s="22">
        <v>0.04</v>
      </c>
      <c r="T771" s="22">
        <v>0.15</v>
      </c>
      <c r="U771" s="12">
        <v>12360442.51</v>
      </c>
      <c r="V771" s="24">
        <v>12360442.51</v>
      </c>
      <c r="W771" s="8">
        <v>10020738.859999999</v>
      </c>
      <c r="X771" s="24">
        <v>10020738.859999999</v>
      </c>
      <c r="Y771" s="22">
        <v>0.05</v>
      </c>
      <c r="Z771" s="22">
        <v>0.13</v>
      </c>
      <c r="AA771" s="8" t="s">
        <v>2611</v>
      </c>
      <c r="AB771" s="8">
        <v>2459563.0299999998</v>
      </c>
      <c r="AC771" s="24">
        <v>2459563.0299999998</v>
      </c>
      <c r="AD771" s="8">
        <v>1501887.41</v>
      </c>
      <c r="AE771" s="24">
        <v>1501887.41</v>
      </c>
      <c r="AF771" s="8">
        <v>45</v>
      </c>
      <c r="AG771" s="8">
        <v>176</v>
      </c>
      <c r="AH771" s="8" t="s">
        <v>347</v>
      </c>
      <c r="AI771" s="8" t="s">
        <v>354</v>
      </c>
      <c r="AJ771" s="22">
        <v>0.28000000000000003</v>
      </c>
      <c r="AK771" s="8" t="s">
        <v>152</v>
      </c>
      <c r="AL771" s="22">
        <v>0.05</v>
      </c>
      <c r="AM771" s="22">
        <v>0.06</v>
      </c>
      <c r="AN771" s="8">
        <v>1</v>
      </c>
      <c r="AO771" s="8">
        <v>3020</v>
      </c>
      <c r="AP771" s="8">
        <v>1196242.78</v>
      </c>
      <c r="AQ771" s="24">
        <v>1196242.78</v>
      </c>
      <c r="AR771" s="8">
        <v>3628997.18</v>
      </c>
      <c r="AS771" s="37">
        <v>3628997.18</v>
      </c>
      <c r="AT771" s="8" t="s">
        <v>391</v>
      </c>
      <c r="AU771" s="8" t="s">
        <v>321</v>
      </c>
      <c r="AV771" s="8">
        <v>92.6</v>
      </c>
      <c r="AW771" s="8">
        <v>48</v>
      </c>
      <c r="AX771" s="8" t="s">
        <v>323</v>
      </c>
      <c r="AY771" s="8" t="s">
        <v>206</v>
      </c>
      <c r="AZ771" s="8" t="s">
        <v>377</v>
      </c>
      <c r="BA771" s="21">
        <f>IF(OR(tblsales[[#This Row],[Invoice Value USD]]="",tblsales[[#This Row],[Collected Amount USD]]=""),"",tblsales[[#This Row],[Invoice Value USD]]-tblsales[[#This Row],[Collected Amount USD]])</f>
        <v>957675.61999999988</v>
      </c>
      <c r="BB771" s="21">
        <f>IF(OR(tblsales[[#This Row],[Contract Value USD]]="",tblsales[[#This Row],[Cost Estimate USD]]=""),"",tblsales[[#This Row],[Contract Value USD]]-tblsales[[#This Row],[Cost Estimate USD]])</f>
        <v>2339703.6500000004</v>
      </c>
      <c r="BC771" s="21">
        <f>IF(OR(tblsales[[#This Row],[Contract Value USD]]="",tblsales[[#This Row],[Cost Estimate USD]]=""),"",tblsales[[#This Row],[Contract Value USD]]-tblsales[[#This Row],[Cost Estimate USD]])</f>
        <v>2339703.6500000004</v>
      </c>
      <c r="BD771" s="23">
        <f>IF(tblsales[[#This Row],[Invoice Value USD]]="","",tblsales[[#This Row],[Collected Amount USD]]/tblsales[[#This Row],[Invoice Value USD]])</f>
        <v>0.61063180397535899</v>
      </c>
      <c r="BE771" s="11">
        <f>IF(tblsales[[#This Row],[SalesStage]]="Won",1,0)</f>
        <v>0</v>
      </c>
      <c r="BF771" s="21" t="str">
        <f>IF(tblsales[[#This Row],[Win Flag]]=1,"Won","Lost")</f>
        <v>Lost</v>
      </c>
      <c r="BG771" s="8"/>
    </row>
    <row r="772" spans="1:59" x14ac:dyDescent="0.3">
      <c r="A772" s="10" t="s">
        <v>2612</v>
      </c>
      <c r="B772" s="9">
        <v>45988</v>
      </c>
      <c r="C772" s="10" t="s">
        <v>252</v>
      </c>
      <c r="D772" s="10" t="s">
        <v>242</v>
      </c>
      <c r="E772" s="10" t="s">
        <v>113</v>
      </c>
      <c r="F772" s="10" t="s">
        <v>367</v>
      </c>
      <c r="G772" s="10" t="s">
        <v>33</v>
      </c>
      <c r="H772" s="10" t="s">
        <v>216</v>
      </c>
      <c r="I772" s="10" t="s">
        <v>246</v>
      </c>
      <c r="J772" s="10" t="s">
        <v>111</v>
      </c>
      <c r="K772" s="10" t="s">
        <v>221</v>
      </c>
      <c r="L772" s="10" t="s">
        <v>2613</v>
      </c>
      <c r="M772" s="9">
        <v>45905</v>
      </c>
      <c r="N772" s="9"/>
      <c r="O772" s="9">
        <v>46067</v>
      </c>
      <c r="P772" s="11">
        <v>13</v>
      </c>
      <c r="Q772" s="12">
        <v>29267801</v>
      </c>
      <c r="R772">
        <v>8039864.9347000001</v>
      </c>
      <c r="S772" s="22">
        <v>0.1</v>
      </c>
      <c r="T772" s="22">
        <v>0.2</v>
      </c>
      <c r="U772" s="12">
        <v>31609225.079999998</v>
      </c>
      <c r="V772" s="24">
        <v>8683054.1294759996</v>
      </c>
      <c r="W772" s="8">
        <v>25137047.32</v>
      </c>
      <c r="X772" s="24">
        <v>6905146.8988039996</v>
      </c>
      <c r="Y772" s="22">
        <v>0.31</v>
      </c>
      <c r="Z772" s="22">
        <v>0.05</v>
      </c>
      <c r="AA772" s="8" t="s">
        <v>2614</v>
      </c>
      <c r="AB772" s="8">
        <v>23920211.829999998</v>
      </c>
      <c r="AC772" s="24">
        <v>6570882.1897009993</v>
      </c>
      <c r="AD772" s="8">
        <v>9105943.5899999999</v>
      </c>
      <c r="AE772" s="24">
        <v>2501402.7041730001</v>
      </c>
      <c r="AF772" s="8">
        <v>90</v>
      </c>
      <c r="AG772" s="8">
        <v>61</v>
      </c>
      <c r="AH772" s="8" t="s">
        <v>376</v>
      </c>
      <c r="AI772" s="8" t="s">
        <v>336</v>
      </c>
      <c r="AJ772" s="22">
        <v>0.38</v>
      </c>
      <c r="AK772" s="8" t="s">
        <v>155</v>
      </c>
      <c r="AL772" s="22">
        <v>0.15</v>
      </c>
      <c r="AM772" s="22">
        <v>0.09</v>
      </c>
      <c r="AN772" s="8">
        <v>13</v>
      </c>
      <c r="AO772" s="8">
        <v>516</v>
      </c>
      <c r="AP772" s="8">
        <v>6419359.8200000003</v>
      </c>
      <c r="AQ772" s="24">
        <v>1763398.142554</v>
      </c>
      <c r="AR772" s="8">
        <v>7600715.8700000001</v>
      </c>
      <c r="AS772" s="37">
        <v>2087916.649489</v>
      </c>
      <c r="AT772" s="8" t="s">
        <v>385</v>
      </c>
      <c r="AU772" s="8" t="s">
        <v>386</v>
      </c>
      <c r="AV772" s="8">
        <v>50.8</v>
      </c>
      <c r="AW772" s="8">
        <v>12</v>
      </c>
      <c r="AX772" s="8" t="s">
        <v>332</v>
      </c>
      <c r="AY772" s="8" t="s">
        <v>224</v>
      </c>
      <c r="AZ772" s="8" t="s">
        <v>188</v>
      </c>
      <c r="BA772" s="21">
        <f>IF(OR(tblsales[[#This Row],[Invoice Value USD]]="",tblsales[[#This Row],[Collected Amount USD]]=""),"",tblsales[[#This Row],[Invoice Value USD]]-tblsales[[#This Row],[Collected Amount USD]])</f>
        <v>4069479.4855279992</v>
      </c>
      <c r="BB772" s="21">
        <f>IF(OR(tblsales[[#This Row],[Contract Value USD]]="",tblsales[[#This Row],[Cost Estimate USD]]=""),"",tblsales[[#This Row],[Contract Value USD]]-tblsales[[#This Row],[Cost Estimate USD]])</f>
        <v>1777907.230672</v>
      </c>
      <c r="BC772" s="21">
        <f>IF(OR(tblsales[[#This Row],[Contract Value USD]]="",tblsales[[#This Row],[Cost Estimate USD]]=""),"",tblsales[[#This Row],[Contract Value USD]]-tblsales[[#This Row],[Cost Estimate USD]])</f>
        <v>1777907.230672</v>
      </c>
      <c r="BD772" s="23">
        <f>IF(tblsales[[#This Row],[Invoice Value USD]]="","",tblsales[[#This Row],[Collected Amount USD]]/tblsales[[#This Row],[Invoice Value USD]])</f>
        <v>0.38067988923825519</v>
      </c>
      <c r="BE772" s="11">
        <f>IF(tblsales[[#This Row],[SalesStage]]="Won",1,0)</f>
        <v>0</v>
      </c>
      <c r="BF772" s="21" t="str">
        <f>IF(tblsales[[#This Row],[Win Flag]]=1,"Won","Lost")</f>
        <v>Lost</v>
      </c>
      <c r="BG772" s="8"/>
    </row>
    <row r="773" spans="1:59" x14ac:dyDescent="0.3">
      <c r="A773" s="10" t="s">
        <v>2615</v>
      </c>
      <c r="B773" s="9">
        <v>45687</v>
      </c>
      <c r="C773" s="10" t="s">
        <v>278</v>
      </c>
      <c r="D773" s="10" t="s">
        <v>394</v>
      </c>
      <c r="E773" s="10" t="s">
        <v>41</v>
      </c>
      <c r="F773" s="10" t="s">
        <v>228</v>
      </c>
      <c r="G773" s="10" t="s">
        <v>78</v>
      </c>
      <c r="H773" s="10" t="s">
        <v>216</v>
      </c>
      <c r="I773" s="10" t="s">
        <v>183</v>
      </c>
      <c r="J773" s="10" t="s">
        <v>105</v>
      </c>
      <c r="K773" s="10" t="s">
        <v>210</v>
      </c>
      <c r="L773" s="10" t="s">
        <v>2616</v>
      </c>
      <c r="M773" s="9">
        <v>45577</v>
      </c>
      <c r="N773" s="9">
        <v>45729</v>
      </c>
      <c r="O773" s="9"/>
      <c r="P773" s="11">
        <v>37</v>
      </c>
      <c r="Q773" s="12">
        <v>43854322</v>
      </c>
      <c r="R773">
        <v>11941531.8806</v>
      </c>
      <c r="S773" s="22">
        <v>0.11</v>
      </c>
      <c r="T773" s="22">
        <v>0.18</v>
      </c>
      <c r="U773" s="12">
        <v>46055808.960000001</v>
      </c>
      <c r="V773" s="24">
        <v>12540996.779808</v>
      </c>
      <c r="W773" s="8">
        <v>40643974.140000001</v>
      </c>
      <c r="X773" s="24">
        <v>11067354.158321999</v>
      </c>
      <c r="Y773" s="22">
        <v>0.13</v>
      </c>
      <c r="Z773" s="22">
        <v>0.19</v>
      </c>
      <c r="AA773" s="8" t="s">
        <v>2617</v>
      </c>
      <c r="AB773" s="8">
        <v>8211987.7400000002</v>
      </c>
      <c r="AC773" s="24">
        <v>2236124.2616019999</v>
      </c>
      <c r="AD773" s="8"/>
      <c r="AE773" s="24"/>
      <c r="AF773" s="8">
        <v>90</v>
      </c>
      <c r="AG773" s="8">
        <v>20</v>
      </c>
      <c r="AH773" s="8" t="s">
        <v>329</v>
      </c>
      <c r="AI773" s="8" t="s">
        <v>354</v>
      </c>
      <c r="AJ773" s="22">
        <v>0.71</v>
      </c>
      <c r="AK773" s="8" t="s">
        <v>153</v>
      </c>
      <c r="AL773" s="22">
        <v>0.1</v>
      </c>
      <c r="AM773" s="22">
        <v>7.0000000000000007E-2</v>
      </c>
      <c r="AN773" s="8">
        <v>11</v>
      </c>
      <c r="AO773" s="8">
        <v>4288</v>
      </c>
      <c r="AP773" s="8">
        <v>7441442.5099999998</v>
      </c>
      <c r="AQ773" s="24">
        <v>2026304.7954729998</v>
      </c>
      <c r="AR773" s="8">
        <v>22400713.379999999</v>
      </c>
      <c r="AS773" s="37">
        <v>6099714.2533739991</v>
      </c>
      <c r="AT773" s="8" t="s">
        <v>391</v>
      </c>
      <c r="AU773" s="8" t="s">
        <v>386</v>
      </c>
      <c r="AV773" s="8">
        <v>60.2</v>
      </c>
      <c r="AW773" s="8">
        <v>48</v>
      </c>
      <c r="AX773" s="8" t="s">
        <v>323</v>
      </c>
      <c r="AY773" s="8" t="s">
        <v>229</v>
      </c>
      <c r="AZ773" s="8" t="s">
        <v>188</v>
      </c>
      <c r="BA773" s="21" t="str">
        <f>IF(OR(tblsales[[#This Row],[Invoice Value USD]]="",tblsales[[#This Row],[Collected Amount USD]]=""),"",tblsales[[#This Row],[Invoice Value USD]]-tblsales[[#This Row],[Collected Amount USD]])</f>
        <v/>
      </c>
      <c r="BB773" s="21">
        <f>IF(OR(tblsales[[#This Row],[Contract Value USD]]="",tblsales[[#This Row],[Cost Estimate USD]]=""),"",tblsales[[#This Row],[Contract Value USD]]-tblsales[[#This Row],[Cost Estimate USD]])</f>
        <v>1473642.6214860007</v>
      </c>
      <c r="BC773" s="21">
        <f>IF(OR(tblsales[[#This Row],[Contract Value USD]]="",tblsales[[#This Row],[Cost Estimate USD]]=""),"",tblsales[[#This Row],[Contract Value USD]]-tblsales[[#This Row],[Cost Estimate USD]])</f>
        <v>1473642.6214860007</v>
      </c>
      <c r="BD773" s="23">
        <f>IF(tblsales[[#This Row],[Invoice Value USD]]="","",tblsales[[#This Row],[Collected Amount USD]]/tblsales[[#This Row],[Invoice Value USD]])</f>
        <v>0</v>
      </c>
      <c r="BE773" s="11">
        <f>IF(tblsales[[#This Row],[SalesStage]]="Won",1,0)</f>
        <v>0</v>
      </c>
      <c r="BF773" s="21" t="str">
        <f>IF(tblsales[[#This Row],[Win Flag]]=1,"Won","Lost")</f>
        <v>Lost</v>
      </c>
      <c r="BG773" s="8"/>
    </row>
    <row r="774" spans="1:59" x14ac:dyDescent="0.3">
      <c r="A774" s="10" t="s">
        <v>5793</v>
      </c>
      <c r="B774" s="9">
        <v>45731</v>
      </c>
      <c r="C774" s="10" t="s">
        <v>271</v>
      </c>
      <c r="D774" s="10" t="s">
        <v>209</v>
      </c>
      <c r="E774" s="10" t="s">
        <v>36</v>
      </c>
      <c r="F774" s="10" t="s">
        <v>339</v>
      </c>
      <c r="G774" s="10" t="s">
        <v>33</v>
      </c>
      <c r="H774" s="10" t="s">
        <v>332</v>
      </c>
      <c r="I774" s="10" t="s">
        <v>240</v>
      </c>
      <c r="J774" s="10" t="s">
        <v>115</v>
      </c>
      <c r="K774" s="10" t="s">
        <v>199</v>
      </c>
      <c r="L774" s="10" t="s">
        <v>4163</v>
      </c>
      <c r="M774" s="9">
        <v>45677</v>
      </c>
      <c r="N774" s="9">
        <v>45740</v>
      </c>
      <c r="O774" s="9"/>
      <c r="P774" s="11">
        <v>16</v>
      </c>
      <c r="Q774" s="12">
        <v>6530935</v>
      </c>
      <c r="R774">
        <v>1778373.6004999999</v>
      </c>
      <c r="S774" s="22">
        <v>0.28000000000000003</v>
      </c>
      <c r="T774" s="22">
        <v>7.0000000000000007E-2</v>
      </c>
      <c r="U774" s="12">
        <v>5031432.32</v>
      </c>
      <c r="V774" s="24">
        <v>1370059.020736</v>
      </c>
      <c r="W774" s="8">
        <v>4319310.45</v>
      </c>
      <c r="X774" s="24">
        <v>1176148.235535</v>
      </c>
      <c r="Y774" s="22">
        <v>0.23</v>
      </c>
      <c r="Z774" s="22">
        <v>7.0000000000000007E-2</v>
      </c>
      <c r="AA774" s="8" t="s">
        <v>4165</v>
      </c>
      <c r="AB774" s="8">
        <v>1492805.11</v>
      </c>
      <c r="AC774" s="24">
        <v>406490.83145300002</v>
      </c>
      <c r="AD774" s="8">
        <v>472431.75</v>
      </c>
      <c r="AE774" s="24">
        <v>128643.16552499999</v>
      </c>
      <c r="AF774" s="8">
        <v>90</v>
      </c>
      <c r="AG774" s="8">
        <v>74</v>
      </c>
      <c r="AH774" s="8" t="s">
        <v>342</v>
      </c>
      <c r="AI774" s="8" t="s">
        <v>226</v>
      </c>
      <c r="AJ774" s="22">
        <v>0.52</v>
      </c>
      <c r="AK774" s="8" t="s">
        <v>153</v>
      </c>
      <c r="AL774" s="22">
        <v>0.05</v>
      </c>
      <c r="AM774" s="22">
        <v>0.06</v>
      </c>
      <c r="AN774" s="8">
        <v>6</v>
      </c>
      <c r="AO774" s="8">
        <v>67</v>
      </c>
      <c r="AP774" s="8">
        <v>221311.31</v>
      </c>
      <c r="AQ774" s="24">
        <v>60263.069712999997</v>
      </c>
      <c r="AR774" s="8">
        <v>2248317.56</v>
      </c>
      <c r="AS774" s="37">
        <v>612216.87158799998</v>
      </c>
      <c r="AT774" s="8" t="s">
        <v>391</v>
      </c>
      <c r="AU774" s="8" t="s">
        <v>332</v>
      </c>
      <c r="AV774" s="8">
        <v>78</v>
      </c>
      <c r="AW774" s="8">
        <v>48</v>
      </c>
      <c r="AX774" s="8" t="s">
        <v>392</v>
      </c>
      <c r="AY774" s="8" t="s">
        <v>206</v>
      </c>
      <c r="AZ774" s="8" t="s">
        <v>361</v>
      </c>
      <c r="BA774" s="21">
        <f>IF(OR(tblsales[[#This Row],[Invoice Value USD]]="",tblsales[[#This Row],[Collected Amount USD]]=""),"",tblsales[[#This Row],[Invoice Value USD]]-tblsales[[#This Row],[Collected Amount USD]])</f>
        <v>277847.665928</v>
      </c>
      <c r="BB774" s="21">
        <f>IF(OR(tblsales[[#This Row],[Contract Value USD]]="",tblsales[[#This Row],[Cost Estimate USD]]=""),"",tblsales[[#This Row],[Contract Value USD]]-tblsales[[#This Row],[Cost Estimate USD]])</f>
        <v>193910.78520100005</v>
      </c>
      <c r="BC774" s="21">
        <f>IF(OR(tblsales[[#This Row],[Contract Value USD]]="",tblsales[[#This Row],[Cost Estimate USD]]=""),"",tblsales[[#This Row],[Contract Value USD]]-tblsales[[#This Row],[Cost Estimate USD]])</f>
        <v>193910.78520100005</v>
      </c>
      <c r="BD774" s="23">
        <f>IF(tblsales[[#This Row],[Invoice Value USD]]="","",tblsales[[#This Row],[Collected Amount USD]]/tblsales[[#This Row],[Invoice Value USD]])</f>
        <v>0.31647248983492554</v>
      </c>
      <c r="BE774" s="11">
        <f>IF(tblsales[[#This Row],[SalesStage]]="Won",1,0)</f>
        <v>0</v>
      </c>
      <c r="BF774" s="21" t="str">
        <f>IF(tblsales[[#This Row],[Win Flag]]=1,"Won","Lost")</f>
        <v>Lost</v>
      </c>
      <c r="BG774" s="8"/>
    </row>
    <row r="775" spans="1:59" x14ac:dyDescent="0.3">
      <c r="A775" s="10" t="s">
        <v>2618</v>
      </c>
      <c r="B775" s="9">
        <v>45863</v>
      </c>
      <c r="C775" s="10" t="s">
        <v>275</v>
      </c>
      <c r="D775" s="10" t="s">
        <v>332</v>
      </c>
      <c r="E775" s="10" t="s">
        <v>41</v>
      </c>
      <c r="F775" s="10" t="s">
        <v>363</v>
      </c>
      <c r="G775" s="10" t="s">
        <v>66</v>
      </c>
      <c r="H775" s="10" t="s">
        <v>236</v>
      </c>
      <c r="I775" s="10" t="s">
        <v>240</v>
      </c>
      <c r="J775" s="10" t="s">
        <v>105</v>
      </c>
      <c r="K775" s="10" t="s">
        <v>223</v>
      </c>
      <c r="L775" s="10" t="s">
        <v>2619</v>
      </c>
      <c r="M775" s="9">
        <v>45905</v>
      </c>
      <c r="N775" s="9">
        <v>45889</v>
      </c>
      <c r="O775" s="9">
        <v>45959</v>
      </c>
      <c r="P775" s="11">
        <v>37</v>
      </c>
      <c r="Q775" s="12">
        <v>34831123</v>
      </c>
      <c r="R775">
        <v>9484514.7928999998</v>
      </c>
      <c r="S775" s="22">
        <v>0.28000000000000003</v>
      </c>
      <c r="T775" s="22">
        <v>0.19</v>
      </c>
      <c r="U775" s="12">
        <v>29843306.190000001</v>
      </c>
      <c r="V775" s="24">
        <v>8126332.275537</v>
      </c>
      <c r="W775" s="8">
        <v>18970881.960000001</v>
      </c>
      <c r="X775" s="24">
        <v>5165771.1577080004</v>
      </c>
      <c r="Y775" s="22">
        <v>7.0000000000000007E-2</v>
      </c>
      <c r="Z775" s="22">
        <v>0.13</v>
      </c>
      <c r="AA775" s="8" t="s">
        <v>2620</v>
      </c>
      <c r="AB775" s="8"/>
      <c r="AC775" s="24"/>
      <c r="AD775" s="8">
        <v>3410147.95</v>
      </c>
      <c r="AE775" s="24">
        <v>928583.286785</v>
      </c>
      <c r="AF775" s="8">
        <v>30</v>
      </c>
      <c r="AG775" s="8">
        <v>123</v>
      </c>
      <c r="AH775" s="8" t="s">
        <v>347</v>
      </c>
      <c r="AI775" s="8" t="s">
        <v>226</v>
      </c>
      <c r="AJ775" s="22">
        <v>0.4</v>
      </c>
      <c r="AK775" s="8" t="s">
        <v>153</v>
      </c>
      <c r="AL775" s="22">
        <v>0.1</v>
      </c>
      <c r="AM775" s="22">
        <v>0.02</v>
      </c>
      <c r="AN775" s="8">
        <v>11</v>
      </c>
      <c r="AO775" s="8">
        <v>1054</v>
      </c>
      <c r="AP775" s="8">
        <v>3083733</v>
      </c>
      <c r="AQ775" s="24">
        <v>839700.49589999998</v>
      </c>
      <c r="AR775" s="8">
        <v>14366243.25</v>
      </c>
      <c r="AS775" s="37">
        <v>3911928.0369749996</v>
      </c>
      <c r="AT775" s="8" t="s">
        <v>385</v>
      </c>
      <c r="AU775" s="8" t="s">
        <v>322</v>
      </c>
      <c r="AV775" s="8">
        <v>80.3</v>
      </c>
      <c r="AW775" s="8">
        <v>60</v>
      </c>
      <c r="AX775" s="8" t="s">
        <v>332</v>
      </c>
      <c r="AY775" s="8" t="s">
        <v>224</v>
      </c>
      <c r="AZ775" s="8" t="s">
        <v>357</v>
      </c>
      <c r="BA775" s="21" t="str">
        <f>IF(OR(tblsales[[#This Row],[Invoice Value USD]]="",tblsales[[#This Row],[Collected Amount USD]]=""),"",tblsales[[#This Row],[Invoice Value USD]]-tblsales[[#This Row],[Collected Amount USD]])</f>
        <v/>
      </c>
      <c r="BB775" s="21">
        <f>IF(OR(tblsales[[#This Row],[Contract Value USD]]="",tblsales[[#This Row],[Cost Estimate USD]]=""),"",tblsales[[#This Row],[Contract Value USD]]-tblsales[[#This Row],[Cost Estimate USD]])</f>
        <v>2960561.1178289996</v>
      </c>
      <c r="BC775" s="21">
        <f>IF(OR(tblsales[[#This Row],[Contract Value USD]]="",tblsales[[#This Row],[Cost Estimate USD]]=""),"",tblsales[[#This Row],[Contract Value USD]]-tblsales[[#This Row],[Cost Estimate USD]])</f>
        <v>2960561.1178289996</v>
      </c>
      <c r="BD775" s="23" t="str">
        <f>IF(tblsales[[#This Row],[Invoice Value USD]]="","",tblsales[[#This Row],[Collected Amount USD]]/tblsales[[#This Row],[Invoice Value USD]])</f>
        <v/>
      </c>
      <c r="BE775" s="11">
        <f>IF(tblsales[[#This Row],[SalesStage]]="Won",1,0)</f>
        <v>0</v>
      </c>
      <c r="BF775" s="21" t="str">
        <f>IF(tblsales[[#This Row],[Win Flag]]=1,"Won","Lost")</f>
        <v>Lost</v>
      </c>
      <c r="BG775" s="8"/>
    </row>
    <row r="776" spans="1:59" x14ac:dyDescent="0.3">
      <c r="A776" s="10" t="s">
        <v>2621</v>
      </c>
      <c r="B776" s="9">
        <v>45816</v>
      </c>
      <c r="C776" s="10" t="s">
        <v>276</v>
      </c>
      <c r="D776" s="10" t="s">
        <v>253</v>
      </c>
      <c r="E776" s="10" t="s">
        <v>36</v>
      </c>
      <c r="F776" s="10" t="s">
        <v>339</v>
      </c>
      <c r="G776" s="10" t="s">
        <v>66</v>
      </c>
      <c r="H776" s="10" t="s">
        <v>332</v>
      </c>
      <c r="I776" s="10" t="s">
        <v>246</v>
      </c>
      <c r="J776" s="10" t="s">
        <v>115</v>
      </c>
      <c r="K776" s="10" t="s">
        <v>184</v>
      </c>
      <c r="L776" s="10" t="s">
        <v>2622</v>
      </c>
      <c r="M776" s="9">
        <v>45794</v>
      </c>
      <c r="N776" s="9">
        <v>45997</v>
      </c>
      <c r="O776" s="9">
        <v>45878</v>
      </c>
      <c r="P776" s="11">
        <v>27</v>
      </c>
      <c r="Q776" s="12">
        <v>7439958</v>
      </c>
      <c r="R776">
        <v>1984236.7985999999</v>
      </c>
      <c r="S776" s="22">
        <v>0.18</v>
      </c>
      <c r="T776" s="22">
        <v>0.13</v>
      </c>
      <c r="U776" s="12">
        <v>6893865.0800000001</v>
      </c>
      <c r="V776" s="24">
        <v>1838593.816836</v>
      </c>
      <c r="W776" s="8">
        <v>6195374.1900000004</v>
      </c>
      <c r="X776" s="24">
        <v>1652306.296473</v>
      </c>
      <c r="Y776" s="22">
        <v>0.34</v>
      </c>
      <c r="Z776" s="22">
        <v>0.05</v>
      </c>
      <c r="AA776" s="8" t="s">
        <v>2623</v>
      </c>
      <c r="AB776" s="8">
        <v>2412296.7999999998</v>
      </c>
      <c r="AC776" s="24">
        <v>643359.55655999994</v>
      </c>
      <c r="AD776" s="8">
        <v>1509873.82</v>
      </c>
      <c r="AE776" s="24">
        <v>402683.347794</v>
      </c>
      <c r="AF776" s="8">
        <v>60</v>
      </c>
      <c r="AG776" s="8">
        <v>26</v>
      </c>
      <c r="AH776" s="8" t="s">
        <v>376</v>
      </c>
      <c r="AI776" s="8" t="s">
        <v>226</v>
      </c>
      <c r="AJ776" s="22">
        <v>0.15</v>
      </c>
      <c r="AK776" s="8" t="s">
        <v>162</v>
      </c>
      <c r="AL776" s="22">
        <v>0.15</v>
      </c>
      <c r="AM776" s="22">
        <v>7.0000000000000007E-2</v>
      </c>
      <c r="AN776" s="8">
        <v>1</v>
      </c>
      <c r="AO776" s="8">
        <v>2077</v>
      </c>
      <c r="AP776" s="8"/>
      <c r="AQ776" s="24"/>
      <c r="AR776" s="8">
        <v>2501144.83</v>
      </c>
      <c r="AS776" s="37">
        <v>667055.32616099995</v>
      </c>
      <c r="AT776" s="8" t="s">
        <v>355</v>
      </c>
      <c r="AU776" s="8" t="s">
        <v>348</v>
      </c>
      <c r="AV776" s="8"/>
      <c r="AW776" s="8"/>
      <c r="AX776" s="8" t="s">
        <v>392</v>
      </c>
      <c r="AY776" s="8" t="s">
        <v>229</v>
      </c>
      <c r="AZ776" s="8" t="s">
        <v>324</v>
      </c>
      <c r="BA776" s="21">
        <f>IF(OR(tblsales[[#This Row],[Invoice Value USD]]="",tblsales[[#This Row],[Collected Amount USD]]=""),"",tblsales[[#This Row],[Invoice Value USD]]-tblsales[[#This Row],[Collected Amount USD]])</f>
        <v>240676.20876599994</v>
      </c>
      <c r="BB776" s="21">
        <f>IF(OR(tblsales[[#This Row],[Contract Value USD]]="",tblsales[[#This Row],[Cost Estimate USD]]=""),"",tblsales[[#This Row],[Contract Value USD]]-tblsales[[#This Row],[Cost Estimate USD]])</f>
        <v>186287.52036299999</v>
      </c>
      <c r="BC776" s="21">
        <f>IF(OR(tblsales[[#This Row],[Contract Value USD]]="",tblsales[[#This Row],[Cost Estimate USD]]=""),"",tblsales[[#This Row],[Contract Value USD]]-tblsales[[#This Row],[Cost Estimate USD]])</f>
        <v>186287.52036299999</v>
      </c>
      <c r="BD776" s="23">
        <f>IF(tblsales[[#This Row],[Invoice Value USD]]="","",tblsales[[#This Row],[Collected Amount USD]]/tblsales[[#This Row],[Invoice Value USD]])</f>
        <v>0.62590715205525294</v>
      </c>
      <c r="BE776" s="11">
        <f>IF(tblsales[[#This Row],[SalesStage]]="Won",1,0)</f>
        <v>0</v>
      </c>
      <c r="BF776" s="21" t="str">
        <f>IF(tblsales[[#This Row],[Win Flag]]=1,"Won","Lost")</f>
        <v>Lost</v>
      </c>
      <c r="BG776" s="8"/>
    </row>
    <row r="777" spans="1:59" x14ac:dyDescent="0.3">
      <c r="A777" s="10" t="s">
        <v>2624</v>
      </c>
      <c r="B777" s="9">
        <v>45791</v>
      </c>
      <c r="C777" s="10" t="s">
        <v>235</v>
      </c>
      <c r="D777" s="10" t="s">
        <v>209</v>
      </c>
      <c r="E777" s="10" t="s">
        <v>41</v>
      </c>
      <c r="F777" s="10" t="s">
        <v>350</v>
      </c>
      <c r="G777" s="10" t="s">
        <v>50</v>
      </c>
      <c r="H777" s="10" t="s">
        <v>216</v>
      </c>
      <c r="I777" s="10" t="s">
        <v>213</v>
      </c>
      <c r="J777" s="10" t="s">
        <v>105</v>
      </c>
      <c r="K777" s="10" t="s">
        <v>184</v>
      </c>
      <c r="L777" s="10" t="s">
        <v>2625</v>
      </c>
      <c r="M777" s="9">
        <v>45711</v>
      </c>
      <c r="N777" s="9">
        <v>45825</v>
      </c>
      <c r="O777" s="9">
        <v>45836</v>
      </c>
      <c r="P777" s="11"/>
      <c r="Q777" s="12">
        <v>6702364</v>
      </c>
      <c r="R777">
        <v>1825053.7171999998</v>
      </c>
      <c r="S777" s="22">
        <v>0.22</v>
      </c>
      <c r="T777" s="22">
        <v>0.14000000000000001</v>
      </c>
      <c r="U777" s="12">
        <v>5959742.0700000003</v>
      </c>
      <c r="V777" s="24">
        <v>1622837.765661</v>
      </c>
      <c r="W777" s="8">
        <v>3576671.51</v>
      </c>
      <c r="X777" s="24">
        <v>973927.65217299992</v>
      </c>
      <c r="Y777" s="22">
        <v>0.21</v>
      </c>
      <c r="Z777" s="22">
        <v>7.0000000000000007E-2</v>
      </c>
      <c r="AA777" s="8" t="s">
        <v>2626</v>
      </c>
      <c r="AB777" s="8">
        <v>1948382.27</v>
      </c>
      <c r="AC777" s="24">
        <v>530544.49212099996</v>
      </c>
      <c r="AD777" s="8">
        <v>1751751.35</v>
      </c>
      <c r="AE777" s="24">
        <v>477001.892605</v>
      </c>
      <c r="AF777" s="8">
        <v>30</v>
      </c>
      <c r="AG777" s="8">
        <v>40</v>
      </c>
      <c r="AH777" s="8" t="s">
        <v>376</v>
      </c>
      <c r="AI777" s="8" t="s">
        <v>336</v>
      </c>
      <c r="AJ777" s="22">
        <v>0.7</v>
      </c>
      <c r="AK777" s="8" t="s">
        <v>153</v>
      </c>
      <c r="AL777" s="22">
        <v>0.05</v>
      </c>
      <c r="AM777" s="22">
        <v>0.05</v>
      </c>
      <c r="AN777" s="8">
        <v>8</v>
      </c>
      <c r="AO777" s="8">
        <v>1276</v>
      </c>
      <c r="AP777" s="8"/>
      <c r="AQ777" s="24"/>
      <c r="AR777" s="8">
        <v>1050424.1100000001</v>
      </c>
      <c r="AS777" s="37">
        <v>286030.48515299999</v>
      </c>
      <c r="AT777" s="8" t="s">
        <v>332</v>
      </c>
      <c r="AU777" s="8" t="s">
        <v>330</v>
      </c>
      <c r="AV777" s="8">
        <v>86.8</v>
      </c>
      <c r="AW777" s="8">
        <v>12</v>
      </c>
      <c r="AX777" s="8" t="s">
        <v>332</v>
      </c>
      <c r="AY777" s="8" t="s">
        <v>224</v>
      </c>
      <c r="AZ777" s="8" t="s">
        <v>188</v>
      </c>
      <c r="BA777" s="21">
        <f>IF(OR(tblsales[[#This Row],[Invoice Value USD]]="",tblsales[[#This Row],[Collected Amount USD]]=""),"",tblsales[[#This Row],[Invoice Value USD]]-tblsales[[#This Row],[Collected Amount USD]])</f>
        <v>53542.599515999958</v>
      </c>
      <c r="BB777" s="21">
        <f>IF(OR(tblsales[[#This Row],[Contract Value USD]]="",tblsales[[#This Row],[Cost Estimate USD]]=""),"",tblsales[[#This Row],[Contract Value USD]]-tblsales[[#This Row],[Cost Estimate USD]])</f>
        <v>648910.11348800012</v>
      </c>
      <c r="BC777" s="21">
        <f>IF(OR(tblsales[[#This Row],[Contract Value USD]]="",tblsales[[#This Row],[Cost Estimate USD]]=""),"",tblsales[[#This Row],[Contract Value USD]]-tblsales[[#This Row],[Cost Estimate USD]])</f>
        <v>648910.11348800012</v>
      </c>
      <c r="BD777" s="23">
        <f>IF(tblsales[[#This Row],[Invoice Value USD]]="","",tblsales[[#This Row],[Collected Amount USD]]/tblsales[[#This Row],[Invoice Value USD]])</f>
        <v>0.8990799069424914</v>
      </c>
      <c r="BE777" s="11">
        <f>IF(tblsales[[#This Row],[SalesStage]]="Won",1,0)</f>
        <v>0</v>
      </c>
      <c r="BF777" s="21" t="str">
        <f>IF(tblsales[[#This Row],[Win Flag]]=1,"Won","Lost")</f>
        <v>Lost</v>
      </c>
      <c r="BG777" s="8"/>
    </row>
    <row r="778" spans="1:59" x14ac:dyDescent="0.3">
      <c r="A778" s="10" t="s">
        <v>2627</v>
      </c>
      <c r="B778" s="9">
        <v>46020</v>
      </c>
      <c r="C778" s="10" t="s">
        <v>279</v>
      </c>
      <c r="D778" s="10" t="s">
        <v>209</v>
      </c>
      <c r="E778" s="10" t="s">
        <v>36</v>
      </c>
      <c r="F778" s="10" t="s">
        <v>19</v>
      </c>
      <c r="G778" s="10" t="s">
        <v>332</v>
      </c>
      <c r="H778" s="10" t="s">
        <v>332</v>
      </c>
      <c r="I778" s="10" t="s">
        <v>203</v>
      </c>
      <c r="J778" s="10" t="s">
        <v>115</v>
      </c>
      <c r="K778" s="10" t="s">
        <v>223</v>
      </c>
      <c r="L778" s="10" t="s">
        <v>2628</v>
      </c>
      <c r="M778" s="9">
        <v>45942</v>
      </c>
      <c r="N778" s="9">
        <v>46235</v>
      </c>
      <c r="O778" s="9">
        <v>46360</v>
      </c>
      <c r="P778" s="11">
        <v>20</v>
      </c>
      <c r="Q778" s="12">
        <v>39815534</v>
      </c>
      <c r="R778">
        <v>46225834.973999999</v>
      </c>
      <c r="S778" s="22">
        <v>0.17</v>
      </c>
      <c r="T778" s="22">
        <v>0.19</v>
      </c>
      <c r="U778" s="12">
        <v>39325802.93</v>
      </c>
      <c r="V778" s="24">
        <v>45657257.201729998</v>
      </c>
      <c r="W778" s="8">
        <v>27738228.27</v>
      </c>
      <c r="X778" s="24">
        <v>32204083.021469999</v>
      </c>
      <c r="Y778" s="22">
        <v>0.26</v>
      </c>
      <c r="Z778" s="22">
        <v>0.17</v>
      </c>
      <c r="AA778" s="8" t="s">
        <v>2629</v>
      </c>
      <c r="AB778" s="8">
        <v>15055867.939999999</v>
      </c>
      <c r="AC778" s="24">
        <v>17479862.678339999</v>
      </c>
      <c r="AD778" s="8">
        <v>5875985.3600000003</v>
      </c>
      <c r="AE778" s="24">
        <v>6822019.0029600002</v>
      </c>
      <c r="AF778" s="8">
        <v>60</v>
      </c>
      <c r="AG778" s="8">
        <v>18</v>
      </c>
      <c r="AH778" s="8" t="s">
        <v>347</v>
      </c>
      <c r="AI778" s="8" t="s">
        <v>406</v>
      </c>
      <c r="AJ778" s="22">
        <v>0.38</v>
      </c>
      <c r="AK778" s="8" t="s">
        <v>159</v>
      </c>
      <c r="AL778" s="22">
        <v>0.15</v>
      </c>
      <c r="AM778" s="22">
        <v>0.02</v>
      </c>
      <c r="AN778" s="8">
        <v>1</v>
      </c>
      <c r="AO778" s="8">
        <v>1226</v>
      </c>
      <c r="AP778" s="8">
        <v>6660829.9400000004</v>
      </c>
      <c r="AQ778" s="24">
        <v>7733223.5603400003</v>
      </c>
      <c r="AR778" s="8">
        <v>14232710.09</v>
      </c>
      <c r="AS778" s="37">
        <v>16524176.414489999</v>
      </c>
      <c r="AT778" s="8" t="s">
        <v>73</v>
      </c>
      <c r="AU778" s="8" t="s">
        <v>356</v>
      </c>
      <c r="AV778" s="8">
        <v>62</v>
      </c>
      <c r="AW778" s="8">
        <v>60</v>
      </c>
      <c r="AX778" s="8" t="s">
        <v>332</v>
      </c>
      <c r="AY778" s="8" t="s">
        <v>186</v>
      </c>
      <c r="AZ778" s="8" t="s">
        <v>324</v>
      </c>
      <c r="BA778" s="21">
        <f>IF(OR(tblsales[[#This Row],[Invoice Value USD]]="",tblsales[[#This Row],[Collected Amount USD]]=""),"",tblsales[[#This Row],[Invoice Value USD]]-tblsales[[#This Row],[Collected Amount USD]])</f>
        <v>10657843.675379999</v>
      </c>
      <c r="BB778" s="21">
        <f>IF(OR(tblsales[[#This Row],[Contract Value USD]]="",tblsales[[#This Row],[Cost Estimate USD]]=""),"",tblsales[[#This Row],[Contract Value USD]]-tblsales[[#This Row],[Cost Estimate USD]])</f>
        <v>13453174.180259999</v>
      </c>
      <c r="BC778" s="21">
        <f>IF(OR(tblsales[[#This Row],[Contract Value USD]]="",tblsales[[#This Row],[Cost Estimate USD]]=""),"",tblsales[[#This Row],[Contract Value USD]]-tblsales[[#This Row],[Cost Estimate USD]])</f>
        <v>13453174.180259999</v>
      </c>
      <c r="BD778" s="23">
        <f>IF(tblsales[[#This Row],[Invoice Value USD]]="","",tblsales[[#This Row],[Collected Amount USD]]/tblsales[[#This Row],[Invoice Value USD]])</f>
        <v>0.39027875267083412</v>
      </c>
      <c r="BE778" s="11">
        <f>IF(tblsales[[#This Row],[SalesStage]]="Won",1,0)</f>
        <v>0</v>
      </c>
      <c r="BF778" s="21" t="str">
        <f>IF(tblsales[[#This Row],[Win Flag]]=1,"Won","Lost")</f>
        <v>Lost</v>
      </c>
      <c r="BG778" s="8"/>
    </row>
    <row r="779" spans="1:59" x14ac:dyDescent="0.3">
      <c r="A779" s="10" t="s">
        <v>2630</v>
      </c>
      <c r="B779" s="9">
        <v>45942</v>
      </c>
      <c r="C779" s="10" t="s">
        <v>276</v>
      </c>
      <c r="D779" s="10" t="s">
        <v>209</v>
      </c>
      <c r="E779" s="10" t="s">
        <v>332</v>
      </c>
      <c r="F779" s="10" t="s">
        <v>367</v>
      </c>
      <c r="G779" s="10" t="s">
        <v>78</v>
      </c>
      <c r="H779" s="10" t="s">
        <v>212</v>
      </c>
      <c r="I779" s="10" t="s">
        <v>191</v>
      </c>
      <c r="J779" s="10" t="s">
        <v>99</v>
      </c>
      <c r="K779" s="10" t="s">
        <v>210</v>
      </c>
      <c r="L779" s="10" t="s">
        <v>2631</v>
      </c>
      <c r="M779" s="9">
        <v>45897</v>
      </c>
      <c r="N779" s="9">
        <v>45942</v>
      </c>
      <c r="O779" s="9">
        <v>46043</v>
      </c>
      <c r="P779" s="11">
        <v>13</v>
      </c>
      <c r="Q779" s="12">
        <v>32965885</v>
      </c>
      <c r="R779">
        <v>9055728.6095000003</v>
      </c>
      <c r="S779" s="22">
        <v>0.13</v>
      </c>
      <c r="T779" s="22">
        <v>-0.05</v>
      </c>
      <c r="U779" s="12">
        <v>27246303.949999999</v>
      </c>
      <c r="V779" s="24">
        <v>7484559.6950650001</v>
      </c>
      <c r="W779" s="8">
        <v>19103912.989999998</v>
      </c>
      <c r="X779" s="24">
        <v>5247844.8983529992</v>
      </c>
      <c r="Y779" s="22">
        <v>0.24</v>
      </c>
      <c r="Z779" s="22">
        <v>0.12</v>
      </c>
      <c r="AA779" s="8" t="s">
        <v>2632</v>
      </c>
      <c r="AB779" s="8">
        <v>16097347.33</v>
      </c>
      <c r="AC779" s="24">
        <v>4421941.311551</v>
      </c>
      <c r="AD779" s="8">
        <v>12388764.33</v>
      </c>
      <c r="AE779" s="24">
        <v>3403193.5614510002</v>
      </c>
      <c r="AF779" s="8">
        <v>30</v>
      </c>
      <c r="AG779" s="8">
        <v>70</v>
      </c>
      <c r="AH779" s="8" t="s">
        <v>347</v>
      </c>
      <c r="AI779" s="8" t="s">
        <v>406</v>
      </c>
      <c r="AJ779" s="22">
        <v>0.73</v>
      </c>
      <c r="AK779" s="8" t="s">
        <v>155</v>
      </c>
      <c r="AL779" s="22">
        <v>0.15</v>
      </c>
      <c r="AM779" s="22">
        <v>7.0000000000000007E-2</v>
      </c>
      <c r="AN779" s="8">
        <v>1</v>
      </c>
      <c r="AO779" s="8">
        <v>4243</v>
      </c>
      <c r="AP779" s="8">
        <v>2716913.75</v>
      </c>
      <c r="AQ779" s="24">
        <v>746336.20712499996</v>
      </c>
      <c r="AR779" s="8">
        <v>2965691.63</v>
      </c>
      <c r="AS779" s="37">
        <v>814675.49076099996</v>
      </c>
      <c r="AT779" s="8" t="s">
        <v>391</v>
      </c>
      <c r="AU779" s="8" t="s">
        <v>348</v>
      </c>
      <c r="AV779" s="8">
        <v>92.1</v>
      </c>
      <c r="AW779" s="8">
        <v>24</v>
      </c>
      <c r="AX779" s="8" t="s">
        <v>332</v>
      </c>
      <c r="AY779" s="8" t="s">
        <v>229</v>
      </c>
      <c r="AZ779" s="8" t="s">
        <v>188</v>
      </c>
      <c r="BA779" s="21">
        <f>IF(OR(tblsales[[#This Row],[Invoice Value USD]]="",tblsales[[#This Row],[Collected Amount USD]]=""),"",tblsales[[#This Row],[Invoice Value USD]]-tblsales[[#This Row],[Collected Amount USD]])</f>
        <v>1018747.7500999998</v>
      </c>
      <c r="BB779" s="21">
        <f>IF(OR(tblsales[[#This Row],[Contract Value USD]]="",tblsales[[#This Row],[Cost Estimate USD]]=""),"",tblsales[[#This Row],[Contract Value USD]]-tblsales[[#This Row],[Cost Estimate USD]])</f>
        <v>2236714.7967120009</v>
      </c>
      <c r="BC779" s="21">
        <f>IF(OR(tblsales[[#This Row],[Contract Value USD]]="",tblsales[[#This Row],[Cost Estimate USD]]=""),"",tblsales[[#This Row],[Contract Value USD]]-tblsales[[#This Row],[Cost Estimate USD]])</f>
        <v>2236714.7967120009</v>
      </c>
      <c r="BD779" s="23">
        <f>IF(tblsales[[#This Row],[Invoice Value USD]]="","",tblsales[[#This Row],[Collected Amount USD]]/tblsales[[#This Row],[Invoice Value USD]])</f>
        <v>0.7696152711392108</v>
      </c>
      <c r="BE779" s="11">
        <f>IF(tblsales[[#This Row],[SalesStage]]="Won",1,0)</f>
        <v>0</v>
      </c>
      <c r="BF779" s="21" t="str">
        <f>IF(tblsales[[#This Row],[Win Flag]]=1,"Won","Lost")</f>
        <v>Lost</v>
      </c>
      <c r="BG779" s="8"/>
    </row>
    <row r="780" spans="1:59" x14ac:dyDescent="0.3">
      <c r="A780" s="10" t="s">
        <v>2633</v>
      </c>
      <c r="B780" s="9">
        <v>46068</v>
      </c>
      <c r="C780" s="10" t="s">
        <v>239</v>
      </c>
      <c r="D780" s="10" t="s">
        <v>262</v>
      </c>
      <c r="E780" s="10" t="s">
        <v>41</v>
      </c>
      <c r="F780" s="10" t="s">
        <v>350</v>
      </c>
      <c r="G780" s="10" t="s">
        <v>78</v>
      </c>
      <c r="H780" s="10" t="s">
        <v>332</v>
      </c>
      <c r="I780" s="10" t="s">
        <v>240</v>
      </c>
      <c r="J780" s="10" t="s">
        <v>130</v>
      </c>
      <c r="K780" s="10" t="s">
        <v>210</v>
      </c>
      <c r="L780" s="10" t="s">
        <v>2634</v>
      </c>
      <c r="M780" s="9">
        <v>46042</v>
      </c>
      <c r="N780" s="9">
        <v>46077</v>
      </c>
      <c r="O780" s="9">
        <v>46135</v>
      </c>
      <c r="P780" s="11">
        <v>46</v>
      </c>
      <c r="Q780" s="12">
        <v>1586675</v>
      </c>
      <c r="R780">
        <v>432051.60249999998</v>
      </c>
      <c r="S780" s="22">
        <v>0.04</v>
      </c>
      <c r="T780" s="22">
        <v>0.18</v>
      </c>
      <c r="U780" s="12">
        <v>1797385.44</v>
      </c>
      <c r="V780" s="24">
        <v>489428.05531199998</v>
      </c>
      <c r="W780" s="8"/>
      <c r="X780" s="24"/>
      <c r="Y780" s="22">
        <v>0.37</v>
      </c>
      <c r="Z780" s="22">
        <v>7.0000000000000007E-2</v>
      </c>
      <c r="AA780" s="8" t="s">
        <v>2635</v>
      </c>
      <c r="AB780" s="8">
        <v>525629.03</v>
      </c>
      <c r="AC780" s="24">
        <v>143128.784869</v>
      </c>
      <c r="AD780" s="8"/>
      <c r="AE780" s="24"/>
      <c r="AF780" s="8">
        <v>60</v>
      </c>
      <c r="AG780" s="8">
        <v>115</v>
      </c>
      <c r="AH780" s="8" t="s">
        <v>329</v>
      </c>
      <c r="AI780" s="8" t="s">
        <v>354</v>
      </c>
      <c r="AJ780" s="22">
        <v>0.35</v>
      </c>
      <c r="AK780" s="8" t="s">
        <v>153</v>
      </c>
      <c r="AL780" s="22">
        <v>0.05</v>
      </c>
      <c r="AM780" s="22">
        <v>7.0000000000000007E-2</v>
      </c>
      <c r="AN780" s="8">
        <v>4</v>
      </c>
      <c r="AO780" s="8">
        <v>2216</v>
      </c>
      <c r="AP780" s="8">
        <v>56872.85</v>
      </c>
      <c r="AQ780" s="24">
        <v>15486.477054999999</v>
      </c>
      <c r="AR780" s="8">
        <v>761242.16</v>
      </c>
      <c r="AS780" s="37">
        <v>207286.24016799999</v>
      </c>
      <c r="AT780" s="8" t="s">
        <v>343</v>
      </c>
      <c r="AU780" s="8" t="s">
        <v>356</v>
      </c>
      <c r="AV780" s="8"/>
      <c r="AW780" s="8">
        <v>48</v>
      </c>
      <c r="AX780" s="8" t="s">
        <v>387</v>
      </c>
      <c r="AY780" s="8" t="s">
        <v>229</v>
      </c>
      <c r="AZ780" s="8" t="s">
        <v>377</v>
      </c>
      <c r="BA780" s="21" t="str">
        <f>IF(OR(tblsales[[#This Row],[Invoice Value USD]]="",tblsales[[#This Row],[Collected Amount USD]]=""),"",tblsales[[#This Row],[Invoice Value USD]]-tblsales[[#This Row],[Collected Amount USD]])</f>
        <v/>
      </c>
      <c r="BB780" s="21" t="str">
        <f>IF(OR(tblsales[[#This Row],[Contract Value USD]]="",tblsales[[#This Row],[Cost Estimate USD]]=""),"",tblsales[[#This Row],[Contract Value USD]]-tblsales[[#This Row],[Cost Estimate USD]])</f>
        <v/>
      </c>
      <c r="BC780" s="21" t="str">
        <f>IF(OR(tblsales[[#This Row],[Contract Value USD]]="",tblsales[[#This Row],[Cost Estimate USD]]=""),"",tblsales[[#This Row],[Contract Value USD]]-tblsales[[#This Row],[Cost Estimate USD]])</f>
        <v/>
      </c>
      <c r="BD780" s="23">
        <f>IF(tblsales[[#This Row],[Invoice Value USD]]="","",tblsales[[#This Row],[Collected Amount USD]]/tblsales[[#This Row],[Invoice Value USD]])</f>
        <v>0</v>
      </c>
      <c r="BE780" s="11">
        <f>IF(tblsales[[#This Row],[SalesStage]]="Won",1,0)</f>
        <v>0</v>
      </c>
      <c r="BF780" s="21" t="str">
        <f>IF(tblsales[[#This Row],[Win Flag]]=1,"Won","Lost")</f>
        <v>Lost</v>
      </c>
      <c r="BG780" s="8"/>
    </row>
    <row r="781" spans="1:59" x14ac:dyDescent="0.3">
      <c r="A781" s="10" t="s">
        <v>2636</v>
      </c>
      <c r="B781" s="9">
        <v>45782</v>
      </c>
      <c r="C781" s="10" t="s">
        <v>266</v>
      </c>
      <c r="D781" s="10" t="s">
        <v>238</v>
      </c>
      <c r="E781" s="10" t="s">
        <v>36</v>
      </c>
      <c r="F781" s="10" t="s">
        <v>339</v>
      </c>
      <c r="G781" s="10" t="s">
        <v>78</v>
      </c>
      <c r="H781" s="10" t="s">
        <v>182</v>
      </c>
      <c r="I781" s="10" t="s">
        <v>183</v>
      </c>
      <c r="J781" s="10" t="s">
        <v>115</v>
      </c>
      <c r="K781" s="10" t="s">
        <v>221</v>
      </c>
      <c r="L781" s="10" t="s">
        <v>2637</v>
      </c>
      <c r="M781" s="9">
        <v>45771</v>
      </c>
      <c r="N781" s="9">
        <v>45936</v>
      </c>
      <c r="O781" s="9">
        <v>45870</v>
      </c>
      <c r="P781" s="11">
        <v>52</v>
      </c>
      <c r="Q781" s="12"/>
      <c r="S781" s="22">
        <v>0.33</v>
      </c>
      <c r="T781" s="22">
        <v>0.08</v>
      </c>
      <c r="U781" s="12">
        <v>2784458.39</v>
      </c>
      <c r="V781" s="24">
        <v>764890.71973300003</v>
      </c>
      <c r="W781" s="8">
        <v>2499877.69</v>
      </c>
      <c r="X781" s="24">
        <v>686716.40144299995</v>
      </c>
      <c r="Y781" s="22">
        <v>0.31</v>
      </c>
      <c r="Z781" s="22">
        <v>0.19</v>
      </c>
      <c r="AA781" s="8" t="s">
        <v>2638</v>
      </c>
      <c r="AB781" s="8">
        <v>928075.27</v>
      </c>
      <c r="AC781" s="24">
        <v>254942.27666900001</v>
      </c>
      <c r="AD781" s="8">
        <v>376450.47</v>
      </c>
      <c r="AE781" s="24">
        <v>103410.94410899999</v>
      </c>
      <c r="AF781" s="8">
        <v>120</v>
      </c>
      <c r="AG781" s="8">
        <v>155</v>
      </c>
      <c r="AH781" s="8" t="s">
        <v>332</v>
      </c>
      <c r="AI781" s="8" t="s">
        <v>320</v>
      </c>
      <c r="AJ781" s="22">
        <v>0.08</v>
      </c>
      <c r="AK781" s="8" t="s">
        <v>155</v>
      </c>
      <c r="AL781" s="22">
        <v>0.15</v>
      </c>
      <c r="AM781" s="22">
        <v>0.02</v>
      </c>
      <c r="AN781" s="8">
        <v>1</v>
      </c>
      <c r="AO781" s="8">
        <v>1146</v>
      </c>
      <c r="AP781" s="8">
        <v>320582.84000000003</v>
      </c>
      <c r="AQ781" s="24">
        <v>88064.106148000006</v>
      </c>
      <c r="AR781" s="8">
        <v>706332.26</v>
      </c>
      <c r="AS781" s="37">
        <v>194029.47182199999</v>
      </c>
      <c r="AT781" s="8" t="s">
        <v>385</v>
      </c>
      <c r="AU781" s="8" t="s">
        <v>332</v>
      </c>
      <c r="AV781" s="8">
        <v>67.2</v>
      </c>
      <c r="AW781" s="8">
        <v>12</v>
      </c>
      <c r="AX781" s="8" t="s">
        <v>337</v>
      </c>
      <c r="AY781" s="8" t="s">
        <v>224</v>
      </c>
      <c r="AZ781" s="8" t="s">
        <v>324</v>
      </c>
      <c r="BA781" s="21">
        <f>IF(OR(tblsales[[#This Row],[Invoice Value USD]]="",tblsales[[#This Row],[Collected Amount USD]]=""),"",tblsales[[#This Row],[Invoice Value USD]]-tblsales[[#This Row],[Collected Amount USD]])</f>
        <v>151531.33256000001</v>
      </c>
      <c r="BB781" s="21">
        <f>IF(OR(tblsales[[#This Row],[Contract Value USD]]="",tblsales[[#This Row],[Cost Estimate USD]]=""),"",tblsales[[#This Row],[Contract Value USD]]-tblsales[[#This Row],[Cost Estimate USD]])</f>
        <v>78174.318290000083</v>
      </c>
      <c r="BC781" s="21">
        <f>IF(OR(tblsales[[#This Row],[Contract Value USD]]="",tblsales[[#This Row],[Cost Estimate USD]]=""),"",tblsales[[#This Row],[Contract Value USD]]-tblsales[[#This Row],[Cost Estimate USD]])</f>
        <v>78174.318290000083</v>
      </c>
      <c r="BD781" s="23">
        <f>IF(tblsales[[#This Row],[Invoice Value USD]]="","",tblsales[[#This Row],[Collected Amount USD]]/tblsales[[#This Row],[Invoice Value USD]])</f>
        <v>0.40562493384830728</v>
      </c>
      <c r="BE781" s="11">
        <f>IF(tblsales[[#This Row],[SalesStage]]="Won",1,0)</f>
        <v>1</v>
      </c>
      <c r="BF781" s="21" t="str">
        <f>IF(tblsales[[#This Row],[Win Flag]]=1,"Won","Lost")</f>
        <v>Won</v>
      </c>
      <c r="BG781" s="8"/>
    </row>
    <row r="782" spans="1:59" x14ac:dyDescent="0.3">
      <c r="A782" s="10" t="s">
        <v>2639</v>
      </c>
      <c r="B782" s="9">
        <v>45728</v>
      </c>
      <c r="C782" s="10" t="s">
        <v>241</v>
      </c>
      <c r="D782" s="10" t="s">
        <v>253</v>
      </c>
      <c r="E782" s="10" t="s">
        <v>41</v>
      </c>
      <c r="F782" s="10" t="s">
        <v>350</v>
      </c>
      <c r="G782" s="10" t="s">
        <v>33</v>
      </c>
      <c r="H782" s="10" t="s">
        <v>212</v>
      </c>
      <c r="I782" s="10" t="s">
        <v>246</v>
      </c>
      <c r="J782" s="10" t="s">
        <v>130</v>
      </c>
      <c r="K782" s="10" t="s">
        <v>184</v>
      </c>
      <c r="L782" s="10" t="s">
        <v>2640</v>
      </c>
      <c r="M782" s="9">
        <v>46001</v>
      </c>
      <c r="N782" s="9"/>
      <c r="O782" s="9"/>
      <c r="P782" s="11"/>
      <c r="Q782" s="12">
        <v>27101014</v>
      </c>
      <c r="R782">
        <v>7379606.1121999994</v>
      </c>
      <c r="S782" s="22">
        <v>0.12</v>
      </c>
      <c r="T782" s="22">
        <v>0.19</v>
      </c>
      <c r="U782" s="12">
        <v>28380181.859999999</v>
      </c>
      <c r="V782" s="24">
        <v>7727923.520477999</v>
      </c>
      <c r="W782" s="8">
        <v>19879153.350000001</v>
      </c>
      <c r="X782" s="24">
        <v>5413093.4572050003</v>
      </c>
      <c r="Y782" s="22">
        <v>7.0000000000000007E-2</v>
      </c>
      <c r="Z782" s="22">
        <v>7.0000000000000007E-2</v>
      </c>
      <c r="AA782" s="8" t="s">
        <v>2641</v>
      </c>
      <c r="AB782" s="8"/>
      <c r="AC782" s="24"/>
      <c r="AD782" s="8">
        <v>6149175.0800000001</v>
      </c>
      <c r="AE782" s="24">
        <v>1674420.3742839999</v>
      </c>
      <c r="AF782" s="8">
        <v>30</v>
      </c>
      <c r="AG782" s="8">
        <v>14</v>
      </c>
      <c r="AH782" s="8" t="s">
        <v>329</v>
      </c>
      <c r="AI782" s="8" t="s">
        <v>320</v>
      </c>
      <c r="AJ782" s="22">
        <v>0.22</v>
      </c>
      <c r="AK782" s="8" t="s">
        <v>153</v>
      </c>
      <c r="AL782" s="22">
        <v>0.1</v>
      </c>
      <c r="AM782" s="22">
        <v>0.03</v>
      </c>
      <c r="AN782" s="8">
        <v>8</v>
      </c>
      <c r="AO782" s="8">
        <v>2862</v>
      </c>
      <c r="AP782" s="8">
        <v>2391429.2400000002</v>
      </c>
      <c r="AQ782" s="24">
        <v>651186.18205200008</v>
      </c>
      <c r="AR782" s="8">
        <v>8792077.9700000007</v>
      </c>
      <c r="AS782" s="37">
        <v>2394082.8312309999</v>
      </c>
      <c r="AT782" s="8" t="s">
        <v>332</v>
      </c>
      <c r="AU782" s="8" t="s">
        <v>330</v>
      </c>
      <c r="AV782" s="8">
        <v>59.9</v>
      </c>
      <c r="AW782" s="8">
        <v>24</v>
      </c>
      <c r="AX782" s="8" t="s">
        <v>392</v>
      </c>
      <c r="AY782" s="8" t="s">
        <v>206</v>
      </c>
      <c r="AZ782" s="8" t="s">
        <v>361</v>
      </c>
      <c r="BA782" s="21" t="str">
        <f>IF(OR(tblsales[[#This Row],[Invoice Value USD]]="",tblsales[[#This Row],[Collected Amount USD]]=""),"",tblsales[[#This Row],[Invoice Value USD]]-tblsales[[#This Row],[Collected Amount USD]])</f>
        <v/>
      </c>
      <c r="BB782" s="21">
        <f>IF(OR(tblsales[[#This Row],[Contract Value USD]]="",tblsales[[#This Row],[Cost Estimate USD]]=""),"",tblsales[[#This Row],[Contract Value USD]]-tblsales[[#This Row],[Cost Estimate USD]])</f>
        <v>2314830.0632729987</v>
      </c>
      <c r="BC782" s="21">
        <f>IF(OR(tblsales[[#This Row],[Contract Value USD]]="",tblsales[[#This Row],[Cost Estimate USD]]=""),"",tblsales[[#This Row],[Contract Value USD]]-tblsales[[#This Row],[Cost Estimate USD]])</f>
        <v>2314830.0632729987</v>
      </c>
      <c r="BD782" s="23" t="str">
        <f>IF(tblsales[[#This Row],[Invoice Value USD]]="","",tblsales[[#This Row],[Collected Amount USD]]/tblsales[[#This Row],[Invoice Value USD]])</f>
        <v/>
      </c>
      <c r="BE782" s="11">
        <f>IF(tblsales[[#This Row],[SalesStage]]="Won",1,0)</f>
        <v>1</v>
      </c>
      <c r="BF782" s="21" t="str">
        <f>IF(tblsales[[#This Row],[Win Flag]]=1,"Won","Lost")</f>
        <v>Won</v>
      </c>
      <c r="BG782" s="8"/>
    </row>
    <row r="783" spans="1:59" x14ac:dyDescent="0.3">
      <c r="A783" s="10" t="s">
        <v>2642</v>
      </c>
      <c r="B783" s="9">
        <v>45893</v>
      </c>
      <c r="C783" s="10" t="s">
        <v>234</v>
      </c>
      <c r="D783" s="10" t="s">
        <v>180</v>
      </c>
      <c r="E783" s="10" t="s">
        <v>41</v>
      </c>
      <c r="F783" s="10" t="s">
        <v>363</v>
      </c>
      <c r="G783" s="10" t="s">
        <v>38</v>
      </c>
      <c r="H783" s="10" t="s">
        <v>236</v>
      </c>
      <c r="I783" s="10" t="s">
        <v>191</v>
      </c>
      <c r="J783" s="10" t="s">
        <v>130</v>
      </c>
      <c r="K783" s="10" t="s">
        <v>199</v>
      </c>
      <c r="L783" s="10" t="s">
        <v>2643</v>
      </c>
      <c r="M783" s="9">
        <v>45822</v>
      </c>
      <c r="N783" s="9">
        <v>45926</v>
      </c>
      <c r="O783" s="9">
        <v>45976</v>
      </c>
      <c r="P783" s="11">
        <v>50</v>
      </c>
      <c r="Q783" s="12">
        <v>31205511</v>
      </c>
      <c r="R783">
        <v>8497260.645299999</v>
      </c>
      <c r="S783" s="22">
        <v>0.25</v>
      </c>
      <c r="T783" s="22">
        <v>-0.03</v>
      </c>
      <c r="U783" s="12">
        <v>22702009.25</v>
      </c>
      <c r="V783" s="24">
        <v>6181757.1187749999</v>
      </c>
      <c r="W783" s="8">
        <v>19904101.510000002</v>
      </c>
      <c r="X783" s="24">
        <v>5419886.8411730006</v>
      </c>
      <c r="Y783" s="22">
        <v>0.33</v>
      </c>
      <c r="Z783" s="22">
        <v>0.11</v>
      </c>
      <c r="AA783" s="8"/>
      <c r="AB783" s="8">
        <v>1247189.01</v>
      </c>
      <c r="AC783" s="24">
        <v>339609.567423</v>
      </c>
      <c r="AD783" s="8">
        <v>481858.52</v>
      </c>
      <c r="AE783" s="24">
        <v>131210.07499600001</v>
      </c>
      <c r="AF783" s="8">
        <v>90</v>
      </c>
      <c r="AG783" s="8">
        <v>114</v>
      </c>
      <c r="AH783" s="8" t="s">
        <v>332</v>
      </c>
      <c r="AI783" s="8" t="s">
        <v>336</v>
      </c>
      <c r="AJ783" s="22">
        <v>0.71</v>
      </c>
      <c r="AK783" s="8" t="s">
        <v>153</v>
      </c>
      <c r="AL783" s="22">
        <v>0.1</v>
      </c>
      <c r="AM783" s="22">
        <v>0.04</v>
      </c>
      <c r="AN783" s="8">
        <v>6</v>
      </c>
      <c r="AO783" s="8">
        <v>3403</v>
      </c>
      <c r="AP783" s="8">
        <v>1302861.72</v>
      </c>
      <c r="AQ783" s="24">
        <v>354769.24635599996</v>
      </c>
      <c r="AR783" s="8"/>
      <c r="AS783" s="37"/>
      <c r="AT783" s="8" t="s">
        <v>343</v>
      </c>
      <c r="AU783" s="8" t="s">
        <v>356</v>
      </c>
      <c r="AV783" s="8">
        <v>83.7</v>
      </c>
      <c r="AW783" s="8">
        <v>60</v>
      </c>
      <c r="AX783" s="8" t="s">
        <v>323</v>
      </c>
      <c r="AY783" s="8" t="s">
        <v>192</v>
      </c>
      <c r="AZ783" s="8" t="s">
        <v>332</v>
      </c>
      <c r="BA783" s="21">
        <f>IF(OR(tblsales[[#This Row],[Invoice Value USD]]="",tblsales[[#This Row],[Collected Amount USD]]=""),"",tblsales[[#This Row],[Invoice Value USD]]-tblsales[[#This Row],[Collected Amount USD]])</f>
        <v>208399.49242699999</v>
      </c>
      <c r="BB783" s="21">
        <f>IF(OR(tblsales[[#This Row],[Contract Value USD]]="",tblsales[[#This Row],[Cost Estimate USD]]=""),"",tblsales[[#This Row],[Contract Value USD]]-tblsales[[#This Row],[Cost Estimate USD]])</f>
        <v>761870.27760199923</v>
      </c>
      <c r="BC783" s="21">
        <f>IF(OR(tblsales[[#This Row],[Contract Value USD]]="",tblsales[[#This Row],[Cost Estimate USD]]=""),"",tblsales[[#This Row],[Contract Value USD]]-tblsales[[#This Row],[Cost Estimate USD]])</f>
        <v>761870.27760199923</v>
      </c>
      <c r="BD783" s="23">
        <f>IF(tblsales[[#This Row],[Invoice Value USD]]="","",tblsales[[#This Row],[Collected Amount USD]]/tblsales[[#This Row],[Invoice Value USD]])</f>
        <v>0.38635564949373635</v>
      </c>
      <c r="BE783" s="11">
        <f>IF(tblsales[[#This Row],[SalesStage]]="Won",1,0)</f>
        <v>0</v>
      </c>
      <c r="BF783" s="21" t="str">
        <f>IF(tblsales[[#This Row],[Win Flag]]=1,"Won","Lost")</f>
        <v>Lost</v>
      </c>
      <c r="BG783" s="8"/>
    </row>
    <row r="784" spans="1:59" x14ac:dyDescent="0.3">
      <c r="A784" s="10" t="s">
        <v>2644</v>
      </c>
      <c r="B784" s="9">
        <v>45933</v>
      </c>
      <c r="C784" s="10" t="s">
        <v>275</v>
      </c>
      <c r="D784" s="10" t="s">
        <v>255</v>
      </c>
      <c r="E784" s="10" t="s">
        <v>52</v>
      </c>
      <c r="F784" s="10" t="s">
        <v>332</v>
      </c>
      <c r="G784" s="10" t="s">
        <v>57</v>
      </c>
      <c r="H784" s="10" t="s">
        <v>332</v>
      </c>
      <c r="I784" s="10" t="s">
        <v>246</v>
      </c>
      <c r="J784" s="10" t="s">
        <v>133</v>
      </c>
      <c r="K784" s="10" t="s">
        <v>221</v>
      </c>
      <c r="L784" s="10" t="s">
        <v>2645</v>
      </c>
      <c r="M784" s="9">
        <v>45703</v>
      </c>
      <c r="N784" s="9">
        <v>45843</v>
      </c>
      <c r="O784" s="9"/>
      <c r="P784" s="11">
        <v>51</v>
      </c>
      <c r="Q784" s="12">
        <v>28380423</v>
      </c>
      <c r="R784">
        <v>28380423</v>
      </c>
      <c r="S784" s="22">
        <v>0.02</v>
      </c>
      <c r="T784" s="22">
        <v>0.03</v>
      </c>
      <c r="U784" s="12">
        <v>28647198.98</v>
      </c>
      <c r="V784" s="24">
        <v>28647198.98</v>
      </c>
      <c r="W784" s="8">
        <v>19437079.100000001</v>
      </c>
      <c r="X784" s="24">
        <v>19437079.100000001</v>
      </c>
      <c r="Y784" s="22">
        <v>0.11</v>
      </c>
      <c r="Z784" s="22">
        <v>0.08</v>
      </c>
      <c r="AA784" s="8" t="s">
        <v>2646</v>
      </c>
      <c r="AB784" s="8">
        <v>22030012.579999998</v>
      </c>
      <c r="AC784" s="24">
        <v>22030012.579999998</v>
      </c>
      <c r="AD784" s="8">
        <v>11881962.470000001</v>
      </c>
      <c r="AE784" s="24">
        <v>11881962.470000001</v>
      </c>
      <c r="AF784" s="8">
        <v>45</v>
      </c>
      <c r="AG784" s="8">
        <v>161</v>
      </c>
      <c r="AH784" s="8" t="s">
        <v>353</v>
      </c>
      <c r="AI784" s="8" t="s">
        <v>320</v>
      </c>
      <c r="AJ784" s="22">
        <v>0.99</v>
      </c>
      <c r="AK784" s="8" t="s">
        <v>152</v>
      </c>
      <c r="AL784" s="22">
        <v>0.15</v>
      </c>
      <c r="AM784" s="22">
        <v>0.08</v>
      </c>
      <c r="AN784" s="8">
        <v>9</v>
      </c>
      <c r="AO784" s="8">
        <v>4105</v>
      </c>
      <c r="AP784" s="8"/>
      <c r="AQ784" s="24"/>
      <c r="AR784" s="8">
        <v>7255874.0300000003</v>
      </c>
      <c r="AS784" s="37">
        <v>7255874.0300000003</v>
      </c>
      <c r="AT784" s="8" t="s">
        <v>355</v>
      </c>
      <c r="AU784" s="8" t="s">
        <v>386</v>
      </c>
      <c r="AV784" s="8">
        <v>52.8</v>
      </c>
      <c r="AW784" s="8">
        <v>48</v>
      </c>
      <c r="AX784" s="8" t="s">
        <v>323</v>
      </c>
      <c r="AY784" s="8" t="s">
        <v>224</v>
      </c>
      <c r="AZ784" s="8" t="s">
        <v>332</v>
      </c>
      <c r="BA784" s="21">
        <f>IF(OR(tblsales[[#This Row],[Invoice Value USD]]="",tblsales[[#This Row],[Collected Amount USD]]=""),"",tblsales[[#This Row],[Invoice Value USD]]-tblsales[[#This Row],[Collected Amount USD]])</f>
        <v>10148050.109999998</v>
      </c>
      <c r="BB784" s="21">
        <f>IF(OR(tblsales[[#This Row],[Contract Value USD]]="",tblsales[[#This Row],[Cost Estimate USD]]=""),"",tblsales[[#This Row],[Contract Value USD]]-tblsales[[#This Row],[Cost Estimate USD]])</f>
        <v>9210119.879999999</v>
      </c>
      <c r="BC784" s="21">
        <f>IF(OR(tblsales[[#This Row],[Contract Value USD]]="",tblsales[[#This Row],[Cost Estimate USD]]=""),"",tblsales[[#This Row],[Contract Value USD]]-tblsales[[#This Row],[Cost Estimate USD]])</f>
        <v>9210119.879999999</v>
      </c>
      <c r="BD784" s="23">
        <f>IF(tblsales[[#This Row],[Invoice Value USD]]="","",tblsales[[#This Row],[Collected Amount USD]]/tblsales[[#This Row],[Invoice Value USD]])</f>
        <v>0.5393534128431261</v>
      </c>
      <c r="BE784" s="11">
        <f>IF(tblsales[[#This Row],[SalesStage]]="Won",1,0)</f>
        <v>1</v>
      </c>
      <c r="BF784" s="21" t="str">
        <f>IF(tblsales[[#This Row],[Win Flag]]=1,"Won","Lost")</f>
        <v>Won</v>
      </c>
      <c r="BG784" s="8"/>
    </row>
    <row r="785" spans="1:59" x14ac:dyDescent="0.3">
      <c r="A785" s="10" t="s">
        <v>2647</v>
      </c>
      <c r="B785" s="9">
        <v>45921</v>
      </c>
      <c r="C785" s="10" t="s">
        <v>231</v>
      </c>
      <c r="D785" s="10" t="s">
        <v>220</v>
      </c>
      <c r="E785" s="10" t="s">
        <v>20</v>
      </c>
      <c r="F785" s="10" t="s">
        <v>332</v>
      </c>
      <c r="G785" s="10" t="s">
        <v>16</v>
      </c>
      <c r="H785" s="10" t="s">
        <v>332</v>
      </c>
      <c r="I785" s="10" t="s">
        <v>203</v>
      </c>
      <c r="J785" s="10" t="s">
        <v>99</v>
      </c>
      <c r="K785" s="10" t="s">
        <v>326</v>
      </c>
      <c r="L785" s="10" t="s">
        <v>2648</v>
      </c>
      <c r="M785" s="9">
        <v>45885</v>
      </c>
      <c r="N785" s="9">
        <v>45946</v>
      </c>
      <c r="O785" s="9"/>
      <c r="P785" s="11">
        <v>14</v>
      </c>
      <c r="Q785" s="12">
        <v>27825669</v>
      </c>
      <c r="R785">
        <v>32305601.709000003</v>
      </c>
      <c r="S785" s="22">
        <v>0.08</v>
      </c>
      <c r="T785" s="22">
        <v>7.0000000000000007E-2</v>
      </c>
      <c r="U785" s="12">
        <v>27391588.559999999</v>
      </c>
      <c r="V785" s="24">
        <v>31801634.318159997</v>
      </c>
      <c r="W785" s="8">
        <v>20932236.09</v>
      </c>
      <c r="X785" s="24">
        <v>24302326.10049</v>
      </c>
      <c r="Y785" s="22">
        <v>0.06</v>
      </c>
      <c r="Z785" s="22">
        <v>0.08</v>
      </c>
      <c r="AA785" s="8" t="s">
        <v>2649</v>
      </c>
      <c r="AB785" s="8">
        <v>2643387.16</v>
      </c>
      <c r="AC785" s="24">
        <v>3068972.4927600003</v>
      </c>
      <c r="AD785" s="8">
        <v>1227661.43</v>
      </c>
      <c r="AE785" s="24">
        <v>1425314.92023</v>
      </c>
      <c r="AF785" s="8">
        <v>90</v>
      </c>
      <c r="AG785" s="8">
        <v>66</v>
      </c>
      <c r="AH785" s="8" t="s">
        <v>376</v>
      </c>
      <c r="AI785" s="8" t="s">
        <v>320</v>
      </c>
      <c r="AJ785" s="22">
        <v>0.65</v>
      </c>
      <c r="AK785" s="8" t="s">
        <v>159</v>
      </c>
      <c r="AL785" s="22">
        <v>0.05</v>
      </c>
      <c r="AM785" s="22">
        <v>0.02</v>
      </c>
      <c r="AN785" s="8">
        <v>2</v>
      </c>
      <c r="AO785" s="8">
        <v>1875</v>
      </c>
      <c r="AP785" s="8">
        <v>5931004.3099999996</v>
      </c>
      <c r="AQ785" s="24">
        <v>6885896.0039099995</v>
      </c>
      <c r="AR785" s="8">
        <v>4171261.69</v>
      </c>
      <c r="AS785" s="37">
        <v>4842834.8220899999</v>
      </c>
      <c r="AT785" s="8" t="s">
        <v>355</v>
      </c>
      <c r="AU785" s="8" t="s">
        <v>322</v>
      </c>
      <c r="AV785" s="8"/>
      <c r="AW785" s="8">
        <v>48</v>
      </c>
      <c r="AX785" s="8" t="s">
        <v>332</v>
      </c>
      <c r="AY785" s="8" t="s">
        <v>186</v>
      </c>
      <c r="AZ785" s="8" t="s">
        <v>188</v>
      </c>
      <c r="BA785" s="21">
        <f>IF(OR(tblsales[[#This Row],[Invoice Value USD]]="",tblsales[[#This Row],[Collected Amount USD]]=""),"",tblsales[[#This Row],[Invoice Value USD]]-tblsales[[#This Row],[Collected Amount USD]])</f>
        <v>1643657.5725300002</v>
      </c>
      <c r="BB785" s="21">
        <f>IF(OR(tblsales[[#This Row],[Contract Value USD]]="",tblsales[[#This Row],[Cost Estimate USD]]=""),"",tblsales[[#This Row],[Contract Value USD]]-tblsales[[#This Row],[Cost Estimate USD]])</f>
        <v>7499308.2176699974</v>
      </c>
      <c r="BC785" s="21">
        <f>IF(OR(tblsales[[#This Row],[Contract Value USD]]="",tblsales[[#This Row],[Cost Estimate USD]]=""),"",tblsales[[#This Row],[Contract Value USD]]-tblsales[[#This Row],[Cost Estimate USD]])</f>
        <v>7499308.2176699974</v>
      </c>
      <c r="BD785" s="23">
        <f>IF(tblsales[[#This Row],[Invoice Value USD]]="","",tblsales[[#This Row],[Collected Amount USD]]/tblsales[[#This Row],[Invoice Value USD]])</f>
        <v>0.46442740154643103</v>
      </c>
      <c r="BE785" s="11">
        <f>IF(tblsales[[#This Row],[SalesStage]]="Won",1,0)</f>
        <v>1</v>
      </c>
      <c r="BF785" s="21" t="str">
        <f>IF(tblsales[[#This Row],[Win Flag]]=1,"Won","Lost")</f>
        <v>Won</v>
      </c>
      <c r="BG785" s="8"/>
    </row>
    <row r="786" spans="1:59" x14ac:dyDescent="0.3">
      <c r="A786" s="10" t="s">
        <v>2650</v>
      </c>
      <c r="B786" s="9">
        <v>45744</v>
      </c>
      <c r="C786" s="10" t="s">
        <v>217</v>
      </c>
      <c r="D786" s="10" t="s">
        <v>238</v>
      </c>
      <c r="E786" s="10" t="s">
        <v>41</v>
      </c>
      <c r="F786" s="10" t="s">
        <v>228</v>
      </c>
      <c r="G786" s="10" t="s">
        <v>332</v>
      </c>
      <c r="H786" s="10" t="s">
        <v>197</v>
      </c>
      <c r="I786" s="10" t="s">
        <v>183</v>
      </c>
      <c r="J786" s="10" t="s">
        <v>105</v>
      </c>
      <c r="K786" s="10" t="s">
        <v>204</v>
      </c>
      <c r="L786" s="10" t="s">
        <v>2651</v>
      </c>
      <c r="M786" s="9">
        <v>45674</v>
      </c>
      <c r="N786" s="9">
        <v>45754</v>
      </c>
      <c r="O786" s="9">
        <v>45838</v>
      </c>
      <c r="P786" s="11"/>
      <c r="Q786" s="12">
        <v>26269107</v>
      </c>
      <c r="R786">
        <v>7153077.8361</v>
      </c>
      <c r="S786" s="22">
        <v>0.03</v>
      </c>
      <c r="T786" s="22">
        <v>0.17</v>
      </c>
      <c r="U786" s="12">
        <v>29812809.530000001</v>
      </c>
      <c r="V786" s="24">
        <v>8118028.0350190001</v>
      </c>
      <c r="W786" s="8">
        <v>22917782.010000002</v>
      </c>
      <c r="X786" s="24">
        <v>6240512.0413230006</v>
      </c>
      <c r="Y786" s="22">
        <v>0.4</v>
      </c>
      <c r="Z786" s="22">
        <v>0.08</v>
      </c>
      <c r="AA786" s="8" t="s">
        <v>2652</v>
      </c>
      <c r="AB786" s="8">
        <v>5081738.8099999996</v>
      </c>
      <c r="AC786" s="24">
        <v>1383757.4779629998</v>
      </c>
      <c r="AD786" s="8"/>
      <c r="AE786" s="24"/>
      <c r="AF786" s="8">
        <v>45</v>
      </c>
      <c r="AG786" s="8">
        <v>86</v>
      </c>
      <c r="AH786" s="8" t="s">
        <v>353</v>
      </c>
      <c r="AI786" s="8" t="s">
        <v>455</v>
      </c>
      <c r="AJ786" s="22">
        <v>0.32</v>
      </c>
      <c r="AK786" s="8" t="s">
        <v>153</v>
      </c>
      <c r="AL786" s="22">
        <v>0.1</v>
      </c>
      <c r="AM786" s="22">
        <v>0.02</v>
      </c>
      <c r="AN786" s="8">
        <v>5</v>
      </c>
      <c r="AO786" s="8">
        <v>528</v>
      </c>
      <c r="AP786" s="8">
        <v>1651131.97</v>
      </c>
      <c r="AQ786" s="24">
        <v>449603.23543099995</v>
      </c>
      <c r="AR786" s="8">
        <v>5484312.2400000002</v>
      </c>
      <c r="AS786" s="37">
        <v>1493378.2229520001</v>
      </c>
      <c r="AT786" s="8" t="s">
        <v>355</v>
      </c>
      <c r="AU786" s="8" t="s">
        <v>386</v>
      </c>
      <c r="AV786" s="8">
        <v>67.900000000000006</v>
      </c>
      <c r="AW786" s="8">
        <v>48</v>
      </c>
      <c r="AX786" s="8" t="s">
        <v>332</v>
      </c>
      <c r="AY786" s="8" t="s">
        <v>186</v>
      </c>
      <c r="AZ786" s="8" t="s">
        <v>324</v>
      </c>
      <c r="BA786" s="21" t="str">
        <f>IF(OR(tblsales[[#This Row],[Invoice Value USD]]="",tblsales[[#This Row],[Collected Amount USD]]=""),"",tblsales[[#This Row],[Invoice Value USD]]-tblsales[[#This Row],[Collected Amount USD]])</f>
        <v/>
      </c>
      <c r="BB786" s="21">
        <f>IF(OR(tblsales[[#This Row],[Contract Value USD]]="",tblsales[[#This Row],[Cost Estimate USD]]=""),"",tblsales[[#This Row],[Contract Value USD]]-tblsales[[#This Row],[Cost Estimate USD]])</f>
        <v>1877515.9936959995</v>
      </c>
      <c r="BC786" s="21">
        <f>IF(OR(tblsales[[#This Row],[Contract Value USD]]="",tblsales[[#This Row],[Cost Estimate USD]]=""),"",tblsales[[#This Row],[Contract Value USD]]-tblsales[[#This Row],[Cost Estimate USD]])</f>
        <v>1877515.9936959995</v>
      </c>
      <c r="BD786" s="23">
        <f>IF(tblsales[[#This Row],[Invoice Value USD]]="","",tblsales[[#This Row],[Collected Amount USD]]/tblsales[[#This Row],[Invoice Value USD]])</f>
        <v>0</v>
      </c>
      <c r="BE786" s="11">
        <f>IF(tblsales[[#This Row],[SalesStage]]="Won",1,0)</f>
        <v>0</v>
      </c>
      <c r="BF786" s="21" t="str">
        <f>IF(tblsales[[#This Row],[Win Flag]]=1,"Won","Lost")</f>
        <v>Lost</v>
      </c>
      <c r="BG786" s="8"/>
    </row>
    <row r="787" spans="1:59" x14ac:dyDescent="0.3">
      <c r="A787" s="10" t="s">
        <v>2653</v>
      </c>
      <c r="B787" s="9">
        <v>46024</v>
      </c>
      <c r="C787" s="10" t="s">
        <v>189</v>
      </c>
      <c r="D787" s="10" t="s">
        <v>190</v>
      </c>
      <c r="E787" s="10" t="s">
        <v>52</v>
      </c>
      <c r="F787" s="10" t="s">
        <v>75</v>
      </c>
      <c r="G787" s="10" t="s">
        <v>62</v>
      </c>
      <c r="H787" s="10" t="s">
        <v>216</v>
      </c>
      <c r="I787" s="10" t="s">
        <v>240</v>
      </c>
      <c r="J787" s="10" t="s">
        <v>133</v>
      </c>
      <c r="K787" s="10" t="s">
        <v>223</v>
      </c>
      <c r="L787" s="10" t="s">
        <v>2654</v>
      </c>
      <c r="M787" s="9">
        <v>46002</v>
      </c>
      <c r="N787" s="9">
        <v>46044</v>
      </c>
      <c r="O787" s="9">
        <v>46146</v>
      </c>
      <c r="P787" s="11">
        <v>13</v>
      </c>
      <c r="Q787" s="12">
        <v>24330510</v>
      </c>
      <c r="R787">
        <v>6625197.8729999997</v>
      </c>
      <c r="S787" s="22">
        <v>0.18</v>
      </c>
      <c r="T787" s="22">
        <v>0.19</v>
      </c>
      <c r="U787" s="12">
        <v>23741711.66</v>
      </c>
      <c r="V787" s="24">
        <v>6464868.0850179996</v>
      </c>
      <c r="W787" s="8">
        <v>14545104.67</v>
      </c>
      <c r="X787" s="24">
        <v>3960632.0016409997</v>
      </c>
      <c r="Y787" s="22">
        <v>7.0000000000000007E-2</v>
      </c>
      <c r="Z787" s="22">
        <v>0.09</v>
      </c>
      <c r="AA787" s="8" t="s">
        <v>2655</v>
      </c>
      <c r="AB787" s="8">
        <v>17848370.57</v>
      </c>
      <c r="AC787" s="24">
        <v>4860111.3062109994</v>
      </c>
      <c r="AD787" s="8"/>
      <c r="AE787" s="24"/>
      <c r="AF787" s="8">
        <v>120</v>
      </c>
      <c r="AG787" s="8">
        <v>1</v>
      </c>
      <c r="AH787" s="8" t="s">
        <v>332</v>
      </c>
      <c r="AI787" s="8" t="s">
        <v>226</v>
      </c>
      <c r="AJ787" s="22">
        <v>0.48</v>
      </c>
      <c r="AK787" s="8" t="s">
        <v>153</v>
      </c>
      <c r="AL787" s="22">
        <v>0.15</v>
      </c>
      <c r="AM787" s="22">
        <v>0.1</v>
      </c>
      <c r="AN787" s="8">
        <v>12</v>
      </c>
      <c r="AO787" s="8">
        <v>835</v>
      </c>
      <c r="AP787" s="8">
        <v>1819500.62</v>
      </c>
      <c r="AQ787" s="24">
        <v>495450.01882599998</v>
      </c>
      <c r="AR787" s="8">
        <v>5601915.9699999997</v>
      </c>
      <c r="AS787" s="37">
        <v>1525401.7186309998</v>
      </c>
      <c r="AT787" s="8" t="s">
        <v>391</v>
      </c>
      <c r="AU787" s="8" t="s">
        <v>321</v>
      </c>
      <c r="AV787" s="8">
        <v>93.4</v>
      </c>
      <c r="AW787" s="8"/>
      <c r="AX787" s="8" t="s">
        <v>337</v>
      </c>
      <c r="AY787" s="8" t="s">
        <v>192</v>
      </c>
      <c r="AZ787" s="8" t="s">
        <v>188</v>
      </c>
      <c r="BA787" s="21" t="str">
        <f>IF(OR(tblsales[[#This Row],[Invoice Value USD]]="",tblsales[[#This Row],[Collected Amount USD]]=""),"",tblsales[[#This Row],[Invoice Value USD]]-tblsales[[#This Row],[Collected Amount USD]])</f>
        <v/>
      </c>
      <c r="BB787" s="21">
        <f>IF(OR(tblsales[[#This Row],[Contract Value USD]]="",tblsales[[#This Row],[Cost Estimate USD]]=""),"",tblsales[[#This Row],[Contract Value USD]]-tblsales[[#This Row],[Cost Estimate USD]])</f>
        <v>2504236.0833769999</v>
      </c>
      <c r="BC787" s="21">
        <f>IF(OR(tblsales[[#This Row],[Contract Value USD]]="",tblsales[[#This Row],[Cost Estimate USD]]=""),"",tblsales[[#This Row],[Contract Value USD]]-tblsales[[#This Row],[Cost Estimate USD]])</f>
        <v>2504236.0833769999</v>
      </c>
      <c r="BD787" s="23">
        <f>IF(tblsales[[#This Row],[Invoice Value USD]]="","",tblsales[[#This Row],[Collected Amount USD]]/tblsales[[#This Row],[Invoice Value USD]])</f>
        <v>0</v>
      </c>
      <c r="BE787" s="11">
        <f>IF(tblsales[[#This Row],[SalesStage]]="Won",1,0)</f>
        <v>0</v>
      </c>
      <c r="BF787" s="21" t="str">
        <f>IF(tblsales[[#This Row],[Win Flag]]=1,"Won","Lost")</f>
        <v>Lost</v>
      </c>
      <c r="BG787" s="8"/>
    </row>
    <row r="788" spans="1:59" x14ac:dyDescent="0.3">
      <c r="A788" s="10" t="s">
        <v>2656</v>
      </c>
      <c r="B788" s="9">
        <v>45736</v>
      </c>
      <c r="C788" s="10" t="s">
        <v>235</v>
      </c>
      <c r="D788" s="10" t="s">
        <v>232</v>
      </c>
      <c r="E788" s="10" t="s">
        <v>113</v>
      </c>
      <c r="F788" s="10" t="s">
        <v>367</v>
      </c>
      <c r="G788" s="10" t="s">
        <v>46</v>
      </c>
      <c r="H788" s="10" t="s">
        <v>212</v>
      </c>
      <c r="I788" s="10" t="s">
        <v>191</v>
      </c>
      <c r="J788" s="10" t="s">
        <v>111</v>
      </c>
      <c r="K788" s="10" t="s">
        <v>210</v>
      </c>
      <c r="L788" s="10" t="s">
        <v>2657</v>
      </c>
      <c r="M788" s="9">
        <v>45702</v>
      </c>
      <c r="N788" s="9">
        <v>45796</v>
      </c>
      <c r="O788" s="9">
        <v>45852</v>
      </c>
      <c r="P788" s="11">
        <v>18</v>
      </c>
      <c r="Q788" s="12">
        <v>36947944</v>
      </c>
      <c r="R788">
        <v>42896562.984000005</v>
      </c>
      <c r="S788" s="22">
        <v>0.15</v>
      </c>
      <c r="T788" s="22">
        <v>-0.02</v>
      </c>
      <c r="U788" s="12">
        <v>30777637.350000001</v>
      </c>
      <c r="V788" s="24">
        <v>35732836.963350005</v>
      </c>
      <c r="W788" s="8">
        <v>24382293.829999998</v>
      </c>
      <c r="X788" s="24">
        <v>28307843.136629999</v>
      </c>
      <c r="Y788" s="22">
        <v>0.25</v>
      </c>
      <c r="Z788" s="22">
        <v>0.16</v>
      </c>
      <c r="AA788" s="8" t="s">
        <v>2658</v>
      </c>
      <c r="AB788" s="8">
        <v>5316896.16</v>
      </c>
      <c r="AC788" s="24">
        <v>6172916.4417600008</v>
      </c>
      <c r="AD788" s="8">
        <v>2265913.0499999998</v>
      </c>
      <c r="AE788" s="24">
        <v>2630725.0510499999</v>
      </c>
      <c r="AF788" s="8">
        <v>90</v>
      </c>
      <c r="AG788" s="8">
        <v>174</v>
      </c>
      <c r="AH788" s="8" t="s">
        <v>332</v>
      </c>
      <c r="AI788" s="8" t="s">
        <v>226</v>
      </c>
      <c r="AJ788" s="22">
        <v>0.85</v>
      </c>
      <c r="AK788" s="8" t="s">
        <v>159</v>
      </c>
      <c r="AL788" s="22">
        <v>0.05</v>
      </c>
      <c r="AM788" s="22">
        <v>0.03</v>
      </c>
      <c r="AN788" s="8">
        <v>4</v>
      </c>
      <c r="AO788" s="8">
        <v>3980</v>
      </c>
      <c r="AP788" s="8">
        <v>1916599.87</v>
      </c>
      <c r="AQ788" s="24">
        <v>2225172.4490700001</v>
      </c>
      <c r="AR788" s="8">
        <v>12145034.1</v>
      </c>
      <c r="AS788" s="37">
        <v>14100384.5901</v>
      </c>
      <c r="AT788" s="8" t="s">
        <v>391</v>
      </c>
      <c r="AU788" s="8" t="s">
        <v>322</v>
      </c>
      <c r="AV788" s="8">
        <v>87.9</v>
      </c>
      <c r="AW788" s="8">
        <v>48</v>
      </c>
      <c r="AX788" s="8" t="s">
        <v>337</v>
      </c>
      <c r="AY788" s="8" t="s">
        <v>206</v>
      </c>
      <c r="AZ788" s="8" t="s">
        <v>332</v>
      </c>
      <c r="BA788" s="21">
        <f>IF(OR(tblsales[[#This Row],[Invoice Value USD]]="",tblsales[[#This Row],[Collected Amount USD]]=""),"",tblsales[[#This Row],[Invoice Value USD]]-tblsales[[#This Row],[Collected Amount USD]])</f>
        <v>3542191.3907100009</v>
      </c>
      <c r="BB788" s="21">
        <f>IF(OR(tblsales[[#This Row],[Contract Value USD]]="",tblsales[[#This Row],[Cost Estimate USD]]=""),"",tblsales[[#This Row],[Contract Value USD]]-tblsales[[#This Row],[Cost Estimate USD]])</f>
        <v>7424993.8267200068</v>
      </c>
      <c r="BC788" s="21">
        <f>IF(OR(tblsales[[#This Row],[Contract Value USD]]="",tblsales[[#This Row],[Cost Estimate USD]]=""),"",tblsales[[#This Row],[Contract Value USD]]-tblsales[[#This Row],[Cost Estimate USD]])</f>
        <v>7424993.8267200068</v>
      </c>
      <c r="BD788" s="23">
        <f>IF(tblsales[[#This Row],[Invoice Value USD]]="","",tblsales[[#This Row],[Collected Amount USD]]/tblsales[[#This Row],[Invoice Value USD]])</f>
        <v>0.42617214664579789</v>
      </c>
      <c r="BE788" s="11">
        <f>IF(tblsales[[#This Row],[SalesStage]]="Won",1,0)</f>
        <v>0</v>
      </c>
      <c r="BF788" s="21" t="str">
        <f>IF(tblsales[[#This Row],[Win Flag]]=1,"Won","Lost")</f>
        <v>Lost</v>
      </c>
      <c r="BG788" s="8"/>
    </row>
    <row r="789" spans="1:59" x14ac:dyDescent="0.3">
      <c r="A789" s="10" t="s">
        <v>2659</v>
      </c>
      <c r="B789" s="9">
        <v>45890</v>
      </c>
      <c r="C789" s="10" t="s">
        <v>282</v>
      </c>
      <c r="D789" s="10" t="s">
        <v>255</v>
      </c>
      <c r="E789" s="10" t="s">
        <v>20</v>
      </c>
      <c r="F789" s="10" t="s">
        <v>196</v>
      </c>
      <c r="G789" s="10" t="s">
        <v>80</v>
      </c>
      <c r="H789" s="10" t="s">
        <v>216</v>
      </c>
      <c r="I789" s="10" t="s">
        <v>233</v>
      </c>
      <c r="J789" s="10" t="s">
        <v>136</v>
      </c>
      <c r="K789" s="10" t="s">
        <v>221</v>
      </c>
      <c r="L789" s="10" t="s">
        <v>2660</v>
      </c>
      <c r="M789" s="9">
        <v>45826</v>
      </c>
      <c r="N789" s="9">
        <v>45908</v>
      </c>
      <c r="O789" s="9">
        <v>46005</v>
      </c>
      <c r="P789" s="11">
        <v>58</v>
      </c>
      <c r="Q789" s="12">
        <v>30960824</v>
      </c>
      <c r="R789">
        <v>8430632.3751999997</v>
      </c>
      <c r="S789" s="22">
        <v>0.21</v>
      </c>
      <c r="T789" s="22">
        <v>0.04</v>
      </c>
      <c r="U789" s="12">
        <v>25437413</v>
      </c>
      <c r="V789" s="24">
        <v>6926607.5598999998</v>
      </c>
      <c r="W789" s="8">
        <v>19413004.670000002</v>
      </c>
      <c r="X789" s="24">
        <v>5286161.1716410005</v>
      </c>
      <c r="Y789" s="22">
        <v>0.28999999999999998</v>
      </c>
      <c r="Z789" s="22">
        <v>0.08</v>
      </c>
      <c r="AA789" s="8" t="s">
        <v>2661</v>
      </c>
      <c r="AB789" s="8">
        <v>9400888.3599999994</v>
      </c>
      <c r="AC789" s="24">
        <v>2559861.9004279999</v>
      </c>
      <c r="AD789" s="8">
        <v>9627299.7200000007</v>
      </c>
      <c r="AE789" s="24">
        <v>2621513.7137560002</v>
      </c>
      <c r="AF789" s="8">
        <v>30</v>
      </c>
      <c r="AG789" s="8">
        <v>142</v>
      </c>
      <c r="AH789" s="8" t="s">
        <v>376</v>
      </c>
      <c r="AI789" s="8" t="s">
        <v>336</v>
      </c>
      <c r="AJ789" s="22">
        <v>0.23</v>
      </c>
      <c r="AK789" s="8" t="s">
        <v>153</v>
      </c>
      <c r="AL789" s="22">
        <v>0.15</v>
      </c>
      <c r="AM789" s="22">
        <v>0.05</v>
      </c>
      <c r="AN789" s="8">
        <v>1</v>
      </c>
      <c r="AO789" s="8">
        <v>1325</v>
      </c>
      <c r="AP789" s="8">
        <v>5506010.1200000001</v>
      </c>
      <c r="AQ789" s="24">
        <v>1499286.555676</v>
      </c>
      <c r="AR789" s="8">
        <v>9877047.0600000005</v>
      </c>
      <c r="AS789" s="37">
        <v>2689519.9144379999</v>
      </c>
      <c r="AT789" s="8" t="s">
        <v>343</v>
      </c>
      <c r="AU789" s="8" t="s">
        <v>348</v>
      </c>
      <c r="AV789" s="8">
        <v>64</v>
      </c>
      <c r="AW789" s="8"/>
      <c r="AX789" s="8" t="s">
        <v>392</v>
      </c>
      <c r="AY789" s="8" t="s">
        <v>186</v>
      </c>
      <c r="AZ789" s="8" t="s">
        <v>188</v>
      </c>
      <c r="BA789" s="21">
        <f>IF(OR(tblsales[[#This Row],[Invoice Value USD]]="",tblsales[[#This Row],[Collected Amount USD]]=""),"",tblsales[[#This Row],[Invoice Value USD]]-tblsales[[#This Row],[Collected Amount USD]])</f>
        <v>-61651.813328000251</v>
      </c>
      <c r="BB789" s="21">
        <f>IF(OR(tblsales[[#This Row],[Contract Value USD]]="",tblsales[[#This Row],[Cost Estimate USD]]=""),"",tblsales[[#This Row],[Contract Value USD]]-tblsales[[#This Row],[Cost Estimate USD]])</f>
        <v>1640446.3882589992</v>
      </c>
      <c r="BC789" s="21">
        <f>IF(OR(tblsales[[#This Row],[Contract Value USD]]="",tblsales[[#This Row],[Cost Estimate USD]]=""),"",tblsales[[#This Row],[Contract Value USD]]-tblsales[[#This Row],[Cost Estimate USD]])</f>
        <v>1640446.3882589992</v>
      </c>
      <c r="BD789" s="23">
        <f>IF(tblsales[[#This Row],[Invoice Value USD]]="","",tblsales[[#This Row],[Collected Amount USD]]/tblsales[[#This Row],[Invoice Value USD]])</f>
        <v>1.0240840387982229</v>
      </c>
      <c r="BE789" s="11">
        <f>IF(tblsales[[#This Row],[SalesStage]]="Won",1,0)</f>
        <v>0</v>
      </c>
      <c r="BF789" s="21" t="str">
        <f>IF(tblsales[[#This Row],[Win Flag]]=1,"Won","Lost")</f>
        <v>Lost</v>
      </c>
      <c r="BG789" s="8"/>
    </row>
    <row r="790" spans="1:59" x14ac:dyDescent="0.3">
      <c r="A790" s="10" t="s">
        <v>2662</v>
      </c>
      <c r="B790" s="9">
        <v>45965</v>
      </c>
      <c r="C790" s="10" t="s">
        <v>278</v>
      </c>
      <c r="D790" s="10" t="s">
        <v>242</v>
      </c>
      <c r="E790" s="10" t="s">
        <v>36</v>
      </c>
      <c r="F790" s="10" t="s">
        <v>339</v>
      </c>
      <c r="G790" s="10" t="s">
        <v>38</v>
      </c>
      <c r="H790" s="10" t="s">
        <v>197</v>
      </c>
      <c r="I790" s="10" t="s">
        <v>191</v>
      </c>
      <c r="J790" s="10" t="s">
        <v>115</v>
      </c>
      <c r="K790" s="10" t="s">
        <v>223</v>
      </c>
      <c r="L790" s="10" t="s">
        <v>2663</v>
      </c>
      <c r="M790" s="9">
        <v>45951</v>
      </c>
      <c r="N790" s="9">
        <v>45975</v>
      </c>
      <c r="O790" s="9"/>
      <c r="P790" s="11">
        <v>20</v>
      </c>
      <c r="Q790" s="12">
        <v>2075555</v>
      </c>
      <c r="R790">
        <v>2409719.355</v>
      </c>
      <c r="S790" s="22">
        <v>0.14000000000000001</v>
      </c>
      <c r="T790" s="22">
        <v>7.0000000000000007E-2</v>
      </c>
      <c r="U790" s="12">
        <v>1909925.71</v>
      </c>
      <c r="V790" s="24">
        <v>2217423.7493099999</v>
      </c>
      <c r="W790" s="8">
        <v>1674896.82</v>
      </c>
      <c r="X790" s="24">
        <v>1944555.20802</v>
      </c>
      <c r="Y790" s="22">
        <v>0.24</v>
      </c>
      <c r="Z790" s="22">
        <v>0.17</v>
      </c>
      <c r="AA790" s="8" t="s">
        <v>2664</v>
      </c>
      <c r="AB790" s="8">
        <v>139988.97</v>
      </c>
      <c r="AC790" s="24">
        <v>162527.19417</v>
      </c>
      <c r="AD790" s="8">
        <v>107052.67</v>
      </c>
      <c r="AE790" s="24">
        <v>124288.14987000001</v>
      </c>
      <c r="AF790" s="8">
        <v>60</v>
      </c>
      <c r="AG790" s="8">
        <v>11</v>
      </c>
      <c r="AH790" s="8" t="s">
        <v>329</v>
      </c>
      <c r="AI790" s="8" t="s">
        <v>406</v>
      </c>
      <c r="AJ790" s="22">
        <v>0.87</v>
      </c>
      <c r="AK790" s="8" t="s">
        <v>159</v>
      </c>
      <c r="AL790" s="22">
        <v>0.15</v>
      </c>
      <c r="AM790" s="22">
        <v>0.02</v>
      </c>
      <c r="AN790" s="8">
        <v>8</v>
      </c>
      <c r="AO790" s="8">
        <v>3001</v>
      </c>
      <c r="AP790" s="8">
        <v>73203.44</v>
      </c>
      <c r="AQ790" s="24">
        <v>84989.193840000007</v>
      </c>
      <c r="AR790" s="8">
        <v>898601.39</v>
      </c>
      <c r="AS790" s="37">
        <v>1043276.2137900001</v>
      </c>
      <c r="AT790" s="8" t="s">
        <v>385</v>
      </c>
      <c r="AU790" s="8" t="s">
        <v>332</v>
      </c>
      <c r="AV790" s="8">
        <v>85.8</v>
      </c>
      <c r="AW790" s="8"/>
      <c r="AX790" s="8" t="s">
        <v>332</v>
      </c>
      <c r="AY790" s="8" t="s">
        <v>206</v>
      </c>
      <c r="AZ790" s="8" t="s">
        <v>188</v>
      </c>
      <c r="BA790" s="21">
        <f>IF(OR(tblsales[[#This Row],[Invoice Value USD]]="",tblsales[[#This Row],[Collected Amount USD]]=""),"",tblsales[[#This Row],[Invoice Value USD]]-tblsales[[#This Row],[Collected Amount USD]])</f>
        <v>38239.044299999994</v>
      </c>
      <c r="BB790" s="21">
        <f>IF(OR(tblsales[[#This Row],[Contract Value USD]]="",tblsales[[#This Row],[Cost Estimate USD]]=""),"",tblsales[[#This Row],[Contract Value USD]]-tblsales[[#This Row],[Cost Estimate USD]])</f>
        <v>272868.54128999985</v>
      </c>
      <c r="BC790" s="21">
        <f>IF(OR(tblsales[[#This Row],[Contract Value USD]]="",tblsales[[#This Row],[Cost Estimate USD]]=""),"",tblsales[[#This Row],[Contract Value USD]]-tblsales[[#This Row],[Cost Estimate USD]])</f>
        <v>272868.54128999985</v>
      </c>
      <c r="BD790" s="23">
        <f>IF(tblsales[[#This Row],[Invoice Value USD]]="","",tblsales[[#This Row],[Collected Amount USD]]/tblsales[[#This Row],[Invoice Value USD]])</f>
        <v>0.76472217775443307</v>
      </c>
      <c r="BE790" s="11">
        <f>IF(tblsales[[#This Row],[SalesStage]]="Won",1,0)</f>
        <v>0</v>
      </c>
      <c r="BF790" s="21" t="str">
        <f>IF(tblsales[[#This Row],[Win Flag]]=1,"Won","Lost")</f>
        <v>Lost</v>
      </c>
      <c r="BG790" s="8"/>
    </row>
    <row r="791" spans="1:59" x14ac:dyDescent="0.3">
      <c r="A791" s="10" t="s">
        <v>2665</v>
      </c>
      <c r="B791" s="9">
        <v>45904</v>
      </c>
      <c r="C791" s="10" t="s">
        <v>266</v>
      </c>
      <c r="D791" s="10" t="s">
        <v>232</v>
      </c>
      <c r="E791" s="10" t="s">
        <v>20</v>
      </c>
      <c r="F791" s="10" t="s">
        <v>31</v>
      </c>
      <c r="G791" s="10" t="s">
        <v>332</v>
      </c>
      <c r="H791" s="10" t="s">
        <v>182</v>
      </c>
      <c r="I791" s="10" t="s">
        <v>198</v>
      </c>
      <c r="J791" s="10" t="s">
        <v>136</v>
      </c>
      <c r="K791" s="10" t="s">
        <v>223</v>
      </c>
      <c r="L791" s="10" t="s">
        <v>2666</v>
      </c>
      <c r="M791" s="9">
        <v>45755</v>
      </c>
      <c r="N791" s="9"/>
      <c r="O791" s="9">
        <v>45980</v>
      </c>
      <c r="P791" s="11">
        <v>5</v>
      </c>
      <c r="Q791" s="12">
        <v>24453712</v>
      </c>
      <c r="R791">
        <v>24453712</v>
      </c>
      <c r="S791" s="22">
        <v>0.2</v>
      </c>
      <c r="T791" s="22">
        <v>-0.04</v>
      </c>
      <c r="U791" s="12">
        <v>18780450.82</v>
      </c>
      <c r="V791" s="24">
        <v>18780450.82</v>
      </c>
      <c r="W791" s="8">
        <v>15612794.380000001</v>
      </c>
      <c r="X791" s="24">
        <v>15612794.380000001</v>
      </c>
      <c r="Y791" s="22">
        <v>0.28000000000000003</v>
      </c>
      <c r="Z791" s="22">
        <v>7.0000000000000007E-2</v>
      </c>
      <c r="AA791" s="8" t="s">
        <v>2667</v>
      </c>
      <c r="AB791" s="8">
        <v>12102437.970000001</v>
      </c>
      <c r="AC791" s="24">
        <v>12102437.970000001</v>
      </c>
      <c r="AD791" s="8">
        <v>5423494.4000000004</v>
      </c>
      <c r="AE791" s="24">
        <v>5423494.4000000004</v>
      </c>
      <c r="AF791" s="8">
        <v>90</v>
      </c>
      <c r="AG791" s="8">
        <v>34</v>
      </c>
      <c r="AH791" s="8" t="s">
        <v>332</v>
      </c>
      <c r="AI791" s="8" t="s">
        <v>336</v>
      </c>
      <c r="AJ791" s="22">
        <v>0.26</v>
      </c>
      <c r="AK791" s="8" t="s">
        <v>152</v>
      </c>
      <c r="AL791" s="22">
        <v>0.15</v>
      </c>
      <c r="AM791" s="22">
        <v>7.0000000000000007E-2</v>
      </c>
      <c r="AN791" s="8">
        <v>6</v>
      </c>
      <c r="AO791" s="8">
        <v>3032</v>
      </c>
      <c r="AP791" s="8">
        <v>3119098.65</v>
      </c>
      <c r="AQ791" s="24">
        <v>3119098.65</v>
      </c>
      <c r="AR791" s="8">
        <v>8581243.1199999992</v>
      </c>
      <c r="AS791" s="37">
        <v>8581243.1199999992</v>
      </c>
      <c r="AT791" s="8" t="s">
        <v>355</v>
      </c>
      <c r="AU791" s="8" t="s">
        <v>332</v>
      </c>
      <c r="AV791" s="8">
        <v>96.8</v>
      </c>
      <c r="AW791" s="8">
        <v>12</v>
      </c>
      <c r="AX791" s="8" t="s">
        <v>337</v>
      </c>
      <c r="AY791" s="8" t="s">
        <v>186</v>
      </c>
      <c r="AZ791" s="8" t="s">
        <v>188</v>
      </c>
      <c r="BA791" s="21">
        <f>IF(OR(tblsales[[#This Row],[Invoice Value USD]]="",tblsales[[#This Row],[Collected Amount USD]]=""),"",tblsales[[#This Row],[Invoice Value USD]]-tblsales[[#This Row],[Collected Amount USD]])</f>
        <v>6678943.5700000003</v>
      </c>
      <c r="BB791" s="21">
        <f>IF(OR(tblsales[[#This Row],[Contract Value USD]]="",tblsales[[#This Row],[Cost Estimate USD]]=""),"",tblsales[[#This Row],[Contract Value USD]]-tblsales[[#This Row],[Cost Estimate USD]])</f>
        <v>3167656.4399999995</v>
      </c>
      <c r="BC791" s="21">
        <f>IF(OR(tblsales[[#This Row],[Contract Value USD]]="",tblsales[[#This Row],[Cost Estimate USD]]=""),"",tblsales[[#This Row],[Contract Value USD]]-tblsales[[#This Row],[Cost Estimate USD]])</f>
        <v>3167656.4399999995</v>
      </c>
      <c r="BD791" s="23">
        <f>IF(tblsales[[#This Row],[Invoice Value USD]]="","",tblsales[[#This Row],[Collected Amount USD]]/tblsales[[#This Row],[Invoice Value USD]])</f>
        <v>0.44813238567666874</v>
      </c>
      <c r="BE791" s="11">
        <f>IF(tblsales[[#This Row],[SalesStage]]="Won",1,0)</f>
        <v>0</v>
      </c>
      <c r="BF791" s="21" t="str">
        <f>IF(tblsales[[#This Row],[Win Flag]]=1,"Won","Lost")</f>
        <v>Lost</v>
      </c>
      <c r="BG791" s="8"/>
    </row>
    <row r="792" spans="1:59" x14ac:dyDescent="0.3">
      <c r="A792" s="10" t="s">
        <v>2668</v>
      </c>
      <c r="B792" s="9">
        <v>45694</v>
      </c>
      <c r="C792" s="10" t="s">
        <v>285</v>
      </c>
      <c r="D792" s="10" t="s">
        <v>232</v>
      </c>
      <c r="E792" s="10" t="s">
        <v>52</v>
      </c>
      <c r="F792" s="10" t="s">
        <v>75</v>
      </c>
      <c r="G792" s="10" t="s">
        <v>66</v>
      </c>
      <c r="H792" s="10" t="s">
        <v>182</v>
      </c>
      <c r="I792" s="10" t="s">
        <v>183</v>
      </c>
      <c r="J792" s="10" t="s">
        <v>119</v>
      </c>
      <c r="K792" s="10" t="s">
        <v>221</v>
      </c>
      <c r="L792" s="10" t="s">
        <v>2669</v>
      </c>
      <c r="M792" s="9">
        <v>45931</v>
      </c>
      <c r="N792" s="9">
        <v>45712</v>
      </c>
      <c r="O792" s="9">
        <v>45731</v>
      </c>
      <c r="P792" s="11">
        <v>25</v>
      </c>
      <c r="Q792" s="12">
        <v>9785474</v>
      </c>
      <c r="R792">
        <v>2609785.9158000001</v>
      </c>
      <c r="S792" s="22">
        <v>0.15</v>
      </c>
      <c r="T792" s="22">
        <v>0.05</v>
      </c>
      <c r="U792" s="12">
        <v>8733535.5399999991</v>
      </c>
      <c r="V792" s="24">
        <v>2329233.9285179996</v>
      </c>
      <c r="W792" s="8">
        <v>7445897.8499999996</v>
      </c>
      <c r="X792" s="24">
        <v>1985820.9565949999</v>
      </c>
      <c r="Y792" s="22">
        <v>0.33</v>
      </c>
      <c r="Z792" s="22">
        <v>0.06</v>
      </c>
      <c r="AA792" s="8" t="s">
        <v>2670</v>
      </c>
      <c r="AB792" s="8">
        <v>3561088.32</v>
      </c>
      <c r="AC792" s="24">
        <v>949742.25494399993</v>
      </c>
      <c r="AD792" s="8">
        <v>2905429.35</v>
      </c>
      <c r="AE792" s="24">
        <v>774878.00764500001</v>
      </c>
      <c r="AF792" s="8">
        <v>30</v>
      </c>
      <c r="AG792" s="8">
        <v>166</v>
      </c>
      <c r="AH792" s="8" t="s">
        <v>329</v>
      </c>
      <c r="AI792" s="8" t="s">
        <v>406</v>
      </c>
      <c r="AJ792" s="22">
        <v>0.93</v>
      </c>
      <c r="AK792" s="8" t="s">
        <v>162</v>
      </c>
      <c r="AL792" s="22">
        <v>0.1</v>
      </c>
      <c r="AM792" s="22">
        <v>0.1</v>
      </c>
      <c r="AN792" s="8">
        <v>10</v>
      </c>
      <c r="AO792" s="8">
        <v>257</v>
      </c>
      <c r="AP792" s="8">
        <v>1968961.66</v>
      </c>
      <c r="AQ792" s="24">
        <v>525122.07472199993</v>
      </c>
      <c r="AR792" s="8">
        <v>3411691.09</v>
      </c>
      <c r="AS792" s="37">
        <v>909898.01370299992</v>
      </c>
      <c r="AT792" s="8" t="s">
        <v>343</v>
      </c>
      <c r="AU792" s="8" t="s">
        <v>321</v>
      </c>
      <c r="AV792" s="8">
        <v>92.2</v>
      </c>
      <c r="AW792" s="8">
        <v>24</v>
      </c>
      <c r="AX792" s="8" t="s">
        <v>332</v>
      </c>
      <c r="AY792" s="8" t="s">
        <v>206</v>
      </c>
      <c r="AZ792" s="8" t="s">
        <v>332</v>
      </c>
      <c r="BA792" s="21">
        <f>IF(OR(tblsales[[#This Row],[Invoice Value USD]]="",tblsales[[#This Row],[Collected Amount USD]]=""),"",tblsales[[#This Row],[Invoice Value USD]]-tblsales[[#This Row],[Collected Amount USD]])</f>
        <v>174864.24729899992</v>
      </c>
      <c r="BB792" s="21">
        <f>IF(OR(tblsales[[#This Row],[Contract Value USD]]="",tblsales[[#This Row],[Cost Estimate USD]]=""),"",tblsales[[#This Row],[Contract Value USD]]-tblsales[[#This Row],[Cost Estimate USD]])</f>
        <v>343412.97192299971</v>
      </c>
      <c r="BC792" s="21">
        <f>IF(OR(tblsales[[#This Row],[Contract Value USD]]="",tblsales[[#This Row],[Cost Estimate USD]]=""),"",tblsales[[#This Row],[Contract Value USD]]-tblsales[[#This Row],[Cost Estimate USD]])</f>
        <v>343412.97192299971</v>
      </c>
      <c r="BD792" s="23">
        <f>IF(tblsales[[#This Row],[Invoice Value USD]]="","",tblsales[[#This Row],[Collected Amount USD]]/tblsales[[#This Row],[Invoice Value USD]])</f>
        <v>0.81588241821533936</v>
      </c>
      <c r="BE792" s="11">
        <f>IF(tblsales[[#This Row],[SalesStage]]="Won",1,0)</f>
        <v>0</v>
      </c>
      <c r="BF792" s="21" t="str">
        <f>IF(tblsales[[#This Row],[Win Flag]]=1,"Won","Lost")</f>
        <v>Lost</v>
      </c>
      <c r="BG792" s="8"/>
    </row>
    <row r="793" spans="1:59" x14ac:dyDescent="0.3">
      <c r="A793" s="10" t="s">
        <v>2671</v>
      </c>
      <c r="B793" s="9">
        <v>45885</v>
      </c>
      <c r="C793" s="10" t="s">
        <v>214</v>
      </c>
      <c r="D793" s="10" t="s">
        <v>562</v>
      </c>
      <c r="E793" s="10" t="s">
        <v>36</v>
      </c>
      <c r="F793" s="10" t="s">
        <v>339</v>
      </c>
      <c r="G793" s="10" t="s">
        <v>66</v>
      </c>
      <c r="H793" s="10" t="s">
        <v>332</v>
      </c>
      <c r="I793" s="10" t="s">
        <v>198</v>
      </c>
      <c r="J793" s="10" t="s">
        <v>115</v>
      </c>
      <c r="K793" s="10" t="s">
        <v>326</v>
      </c>
      <c r="L793" s="10" t="s">
        <v>2672</v>
      </c>
      <c r="M793" s="9">
        <v>45798</v>
      </c>
      <c r="N793" s="9">
        <v>45891</v>
      </c>
      <c r="O793" s="9">
        <v>45976</v>
      </c>
      <c r="P793" s="11">
        <v>44</v>
      </c>
      <c r="Q793" s="12">
        <v>19106264</v>
      </c>
      <c r="R793">
        <v>22182372.504000001</v>
      </c>
      <c r="S793" s="22">
        <v>0.16</v>
      </c>
      <c r="T793" s="22">
        <v>7.0000000000000007E-2</v>
      </c>
      <c r="U793" s="12">
        <v>17172710.079999998</v>
      </c>
      <c r="V793" s="24">
        <v>19937516.402879998</v>
      </c>
      <c r="W793" s="8"/>
      <c r="X793" s="24"/>
      <c r="Y793" s="22">
        <v>0.25</v>
      </c>
      <c r="Z793" s="22">
        <v>0.17</v>
      </c>
      <c r="AA793" s="8" t="s">
        <v>2673</v>
      </c>
      <c r="AB793" s="8">
        <v>7206286.5800000001</v>
      </c>
      <c r="AC793" s="24">
        <v>8366498.7193800006</v>
      </c>
      <c r="AD793" s="8">
        <v>5912185.7199999997</v>
      </c>
      <c r="AE793" s="24">
        <v>6864047.6209199997</v>
      </c>
      <c r="AF793" s="8">
        <v>90</v>
      </c>
      <c r="AG793" s="8">
        <v>75</v>
      </c>
      <c r="AH793" s="8" t="s">
        <v>376</v>
      </c>
      <c r="AI793" s="8" t="s">
        <v>455</v>
      </c>
      <c r="AJ793" s="22"/>
      <c r="AK793" s="8" t="s">
        <v>159</v>
      </c>
      <c r="AL793" s="22">
        <v>0.15</v>
      </c>
      <c r="AM793" s="22">
        <v>0.05</v>
      </c>
      <c r="AN793" s="8">
        <v>7</v>
      </c>
      <c r="AO793" s="8">
        <v>594</v>
      </c>
      <c r="AP793" s="8">
        <v>3525360.77</v>
      </c>
      <c r="AQ793" s="24">
        <v>4092943.8539700001</v>
      </c>
      <c r="AR793" s="8">
        <v>2905541.94</v>
      </c>
      <c r="AS793" s="37">
        <v>3373334.1923400001</v>
      </c>
      <c r="AT793" s="8" t="s">
        <v>385</v>
      </c>
      <c r="AU793" s="8" t="s">
        <v>356</v>
      </c>
      <c r="AV793" s="8">
        <v>86.2</v>
      </c>
      <c r="AW793" s="8"/>
      <c r="AX793" s="8" t="s">
        <v>332</v>
      </c>
      <c r="AY793" s="8" t="s">
        <v>186</v>
      </c>
      <c r="AZ793" s="8" t="s">
        <v>377</v>
      </c>
      <c r="BA793" s="21">
        <f>IF(OR(tblsales[[#This Row],[Invoice Value USD]]="",tblsales[[#This Row],[Collected Amount USD]]=""),"",tblsales[[#This Row],[Invoice Value USD]]-tblsales[[#This Row],[Collected Amount USD]])</f>
        <v>1502451.0984600009</v>
      </c>
      <c r="BB793" s="21" t="str">
        <f>IF(OR(tblsales[[#This Row],[Contract Value USD]]="",tblsales[[#This Row],[Cost Estimate USD]]=""),"",tblsales[[#This Row],[Contract Value USD]]-tblsales[[#This Row],[Cost Estimate USD]])</f>
        <v/>
      </c>
      <c r="BC793" s="21" t="str">
        <f>IF(OR(tblsales[[#This Row],[Contract Value USD]]="",tblsales[[#This Row],[Cost Estimate USD]]=""),"",tblsales[[#This Row],[Contract Value USD]]-tblsales[[#This Row],[Cost Estimate USD]])</f>
        <v/>
      </c>
      <c r="BD793" s="23">
        <f>IF(tblsales[[#This Row],[Invoice Value USD]]="","",tblsales[[#This Row],[Collected Amount USD]]/tblsales[[#This Row],[Invoice Value USD]])</f>
        <v>0.82042056673244312</v>
      </c>
      <c r="BE793" s="11">
        <f>IF(tblsales[[#This Row],[SalesStage]]="Won",1,0)</f>
        <v>0</v>
      </c>
      <c r="BF793" s="21" t="str">
        <f>IF(tblsales[[#This Row],[Win Flag]]=1,"Won","Lost")</f>
        <v>Lost</v>
      </c>
      <c r="BG793" s="8"/>
    </row>
    <row r="794" spans="1:59" x14ac:dyDescent="0.3">
      <c r="A794" s="10" t="s">
        <v>2674</v>
      </c>
      <c r="B794" s="9">
        <v>45701</v>
      </c>
      <c r="C794" s="10" t="s">
        <v>258</v>
      </c>
      <c r="D794" s="10" t="s">
        <v>248</v>
      </c>
      <c r="E794" s="10" t="s">
        <v>20</v>
      </c>
      <c r="F794" s="10" t="s">
        <v>35</v>
      </c>
      <c r="G794" s="10" t="s">
        <v>70</v>
      </c>
      <c r="H794" s="10" t="s">
        <v>236</v>
      </c>
      <c r="I794" s="10" t="s">
        <v>198</v>
      </c>
      <c r="J794" s="10" t="s">
        <v>136</v>
      </c>
      <c r="K794" s="10" t="s">
        <v>223</v>
      </c>
      <c r="L794" s="10" t="s">
        <v>2675</v>
      </c>
      <c r="M794" s="9">
        <v>45682</v>
      </c>
      <c r="N794" s="9">
        <v>45737</v>
      </c>
      <c r="O794" s="9"/>
      <c r="P794" s="11">
        <v>32</v>
      </c>
      <c r="Q794" s="12">
        <v>8930310</v>
      </c>
      <c r="R794">
        <v>10368089.91</v>
      </c>
      <c r="S794" s="22">
        <v>0.03</v>
      </c>
      <c r="T794" s="22">
        <v>0.06</v>
      </c>
      <c r="U794" s="12">
        <v>9182144.7400000002</v>
      </c>
      <c r="V794" s="24">
        <v>10660470.04314</v>
      </c>
      <c r="W794" s="8">
        <v>7397042.4500000002</v>
      </c>
      <c r="X794" s="24">
        <v>8587966.2844500002</v>
      </c>
      <c r="Y794" s="22">
        <v>0.32</v>
      </c>
      <c r="Z794" s="22">
        <v>0.13</v>
      </c>
      <c r="AA794" s="8" t="s">
        <v>2676</v>
      </c>
      <c r="AB794" s="8">
        <v>5698056.3700000001</v>
      </c>
      <c r="AC794" s="24">
        <v>6615443.4455700004</v>
      </c>
      <c r="AD794" s="8">
        <v>2960697.23</v>
      </c>
      <c r="AE794" s="24">
        <v>3437369.4840299999</v>
      </c>
      <c r="AF794" s="8">
        <v>45</v>
      </c>
      <c r="AG794" s="8">
        <v>20</v>
      </c>
      <c r="AH794" s="8" t="s">
        <v>342</v>
      </c>
      <c r="AI794" s="8" t="s">
        <v>381</v>
      </c>
      <c r="AJ794" s="22">
        <v>0.08</v>
      </c>
      <c r="AK794" s="8" t="s">
        <v>159</v>
      </c>
      <c r="AL794" s="22">
        <v>0.1</v>
      </c>
      <c r="AM794" s="22">
        <v>0.04</v>
      </c>
      <c r="AN794" s="8">
        <v>0</v>
      </c>
      <c r="AO794" s="8">
        <v>3867</v>
      </c>
      <c r="AP794" s="8">
        <v>724402.88</v>
      </c>
      <c r="AQ794" s="24">
        <v>841031.74368000007</v>
      </c>
      <c r="AR794" s="8">
        <v>3181932.04</v>
      </c>
      <c r="AS794" s="37">
        <v>3694223.0984400003</v>
      </c>
      <c r="AT794" s="8" t="s">
        <v>385</v>
      </c>
      <c r="AU794" s="8" t="s">
        <v>321</v>
      </c>
      <c r="AV794" s="8">
        <v>66.7</v>
      </c>
      <c r="AW794" s="8">
        <v>12</v>
      </c>
      <c r="AX794" s="8" t="s">
        <v>337</v>
      </c>
      <c r="AY794" s="8" t="s">
        <v>229</v>
      </c>
      <c r="AZ794" s="8" t="s">
        <v>332</v>
      </c>
      <c r="BA794" s="21">
        <f>IF(OR(tblsales[[#This Row],[Invoice Value USD]]="",tblsales[[#This Row],[Collected Amount USD]]=""),"",tblsales[[#This Row],[Invoice Value USD]]-tblsales[[#This Row],[Collected Amount USD]])</f>
        <v>3178073.9615400005</v>
      </c>
      <c r="BB794" s="21">
        <f>IF(OR(tblsales[[#This Row],[Contract Value USD]]="",tblsales[[#This Row],[Cost Estimate USD]]=""),"",tblsales[[#This Row],[Contract Value USD]]-tblsales[[#This Row],[Cost Estimate USD]])</f>
        <v>2072503.7586899996</v>
      </c>
      <c r="BC794" s="21">
        <f>IF(OR(tblsales[[#This Row],[Contract Value USD]]="",tblsales[[#This Row],[Cost Estimate USD]]=""),"",tblsales[[#This Row],[Contract Value USD]]-tblsales[[#This Row],[Cost Estimate USD]])</f>
        <v>2072503.7586899996</v>
      </c>
      <c r="BD794" s="23">
        <f>IF(tblsales[[#This Row],[Invoice Value USD]]="","",tblsales[[#This Row],[Collected Amount USD]]/tblsales[[#This Row],[Invoice Value USD]])</f>
        <v>0.51959774311604423</v>
      </c>
      <c r="BE794" s="11">
        <f>IF(tblsales[[#This Row],[SalesStage]]="Won",1,0)</f>
        <v>0</v>
      </c>
      <c r="BF794" s="21" t="str">
        <f>IF(tblsales[[#This Row],[Win Flag]]=1,"Won","Lost")</f>
        <v>Lost</v>
      </c>
      <c r="BG794" s="8"/>
    </row>
    <row r="795" spans="1:59" x14ac:dyDescent="0.3">
      <c r="A795" s="10" t="s">
        <v>2677</v>
      </c>
      <c r="B795" s="9">
        <v>45753</v>
      </c>
      <c r="C795" s="10" t="s">
        <v>267</v>
      </c>
      <c r="D795" s="10" t="s">
        <v>332</v>
      </c>
      <c r="E795" s="10" t="s">
        <v>113</v>
      </c>
      <c r="F795" s="10" t="s">
        <v>367</v>
      </c>
      <c r="G795" s="10" t="s">
        <v>332</v>
      </c>
      <c r="H795" s="10" t="s">
        <v>216</v>
      </c>
      <c r="I795" s="10" t="s">
        <v>240</v>
      </c>
      <c r="J795" s="10" t="s">
        <v>111</v>
      </c>
      <c r="K795" s="10" t="s">
        <v>223</v>
      </c>
      <c r="L795" s="10" t="s">
        <v>2678</v>
      </c>
      <c r="M795" s="9">
        <v>45714</v>
      </c>
      <c r="N795" s="9">
        <v>45995</v>
      </c>
      <c r="O795" s="9">
        <v>45857</v>
      </c>
      <c r="P795" s="11">
        <v>56</v>
      </c>
      <c r="Q795" s="12">
        <v>21513571</v>
      </c>
      <c r="R795">
        <v>5858145.3832999999</v>
      </c>
      <c r="S795" s="22">
        <v>0.13</v>
      </c>
      <c r="T795" s="22">
        <v>-0.02</v>
      </c>
      <c r="U795" s="12">
        <v>18342470.629999999</v>
      </c>
      <c r="V795" s="24">
        <v>4994654.7525489992</v>
      </c>
      <c r="W795" s="8">
        <v>16415234.08</v>
      </c>
      <c r="X795" s="24">
        <v>4469868.2399840001</v>
      </c>
      <c r="Y795" s="22">
        <v>0.3</v>
      </c>
      <c r="Z795" s="22">
        <v>0.09</v>
      </c>
      <c r="AA795" s="8" t="s">
        <v>2679</v>
      </c>
      <c r="AB795" s="8">
        <v>11811646.140000001</v>
      </c>
      <c r="AC795" s="24">
        <v>3216311.2439219998</v>
      </c>
      <c r="AD795" s="8">
        <v>8237704.3300000001</v>
      </c>
      <c r="AE795" s="24">
        <v>2243126.8890589997</v>
      </c>
      <c r="AF795" s="8">
        <v>90</v>
      </c>
      <c r="AG795" s="8">
        <v>20</v>
      </c>
      <c r="AH795" s="8" t="s">
        <v>329</v>
      </c>
      <c r="AI795" s="8" t="s">
        <v>354</v>
      </c>
      <c r="AJ795" s="22">
        <v>0.23</v>
      </c>
      <c r="AK795" s="8" t="s">
        <v>153</v>
      </c>
      <c r="AL795" s="22">
        <v>0.05</v>
      </c>
      <c r="AM795" s="22">
        <v>0.05</v>
      </c>
      <c r="AN795" s="8">
        <v>10</v>
      </c>
      <c r="AO795" s="8">
        <v>1359</v>
      </c>
      <c r="AP795" s="8">
        <v>4001029.05</v>
      </c>
      <c r="AQ795" s="24">
        <v>1089480.2103149998</v>
      </c>
      <c r="AR795" s="8">
        <v>7023642.8799999999</v>
      </c>
      <c r="AS795" s="37">
        <v>1912537.9562239998</v>
      </c>
      <c r="AT795" s="8" t="s">
        <v>385</v>
      </c>
      <c r="AU795" s="8" t="s">
        <v>321</v>
      </c>
      <c r="AV795" s="8"/>
      <c r="AW795" s="8">
        <v>60</v>
      </c>
      <c r="AX795" s="8" t="s">
        <v>392</v>
      </c>
      <c r="AY795" s="8" t="s">
        <v>186</v>
      </c>
      <c r="AZ795" s="8" t="s">
        <v>324</v>
      </c>
      <c r="BA795" s="21">
        <f>IF(OR(tblsales[[#This Row],[Invoice Value USD]]="",tblsales[[#This Row],[Collected Amount USD]]=""),"",tblsales[[#This Row],[Invoice Value USD]]-tblsales[[#This Row],[Collected Amount USD]])</f>
        <v>973184.3548630001</v>
      </c>
      <c r="BB795" s="21">
        <f>IF(OR(tblsales[[#This Row],[Contract Value USD]]="",tblsales[[#This Row],[Cost Estimate USD]]=""),"",tblsales[[#This Row],[Contract Value USD]]-tblsales[[#This Row],[Cost Estimate USD]])</f>
        <v>524786.51256499905</v>
      </c>
      <c r="BC795" s="21">
        <f>IF(OR(tblsales[[#This Row],[Contract Value USD]]="",tblsales[[#This Row],[Cost Estimate USD]]=""),"",tblsales[[#This Row],[Contract Value USD]]-tblsales[[#This Row],[Cost Estimate USD]])</f>
        <v>524786.51256499905</v>
      </c>
      <c r="BD795" s="23">
        <f>IF(tblsales[[#This Row],[Invoice Value USD]]="","",tblsales[[#This Row],[Collected Amount USD]]/tblsales[[#This Row],[Invoice Value USD]])</f>
        <v>0.69742220790911702</v>
      </c>
      <c r="BE795" s="11">
        <f>IF(tblsales[[#This Row],[SalesStage]]="Won",1,0)</f>
        <v>0</v>
      </c>
      <c r="BF795" s="21" t="str">
        <f>IF(tblsales[[#This Row],[Win Flag]]=1,"Won","Lost")</f>
        <v>Lost</v>
      </c>
      <c r="BG795" s="8"/>
    </row>
    <row r="796" spans="1:59" x14ac:dyDescent="0.3">
      <c r="A796" s="10" t="s">
        <v>2680</v>
      </c>
      <c r="B796" s="9">
        <v>46327</v>
      </c>
      <c r="C796" s="10" t="s">
        <v>254</v>
      </c>
      <c r="D796" s="10" t="s">
        <v>250</v>
      </c>
      <c r="E796" s="10" t="s">
        <v>20</v>
      </c>
      <c r="F796" s="10" t="s">
        <v>31</v>
      </c>
      <c r="G796" s="10" t="s">
        <v>38</v>
      </c>
      <c r="H796" s="10" t="s">
        <v>216</v>
      </c>
      <c r="I796" s="10" t="s">
        <v>191</v>
      </c>
      <c r="J796" s="10" t="s">
        <v>136</v>
      </c>
      <c r="K796" s="10" t="s">
        <v>210</v>
      </c>
      <c r="L796" s="10" t="s">
        <v>2681</v>
      </c>
      <c r="M796" s="9">
        <v>45973</v>
      </c>
      <c r="N796" s="9">
        <v>46267</v>
      </c>
      <c r="O796" s="9">
        <v>46176</v>
      </c>
      <c r="P796" s="11">
        <v>34</v>
      </c>
      <c r="Q796" s="12">
        <v>5358929</v>
      </c>
      <c r="R796">
        <v>6221716.5690000001</v>
      </c>
      <c r="S796" s="22">
        <v>0.12</v>
      </c>
      <c r="T796" s="22">
        <v>0.1</v>
      </c>
      <c r="U796" s="12">
        <v>5187443.2699999996</v>
      </c>
      <c r="V796" s="24">
        <v>6022621.6364699993</v>
      </c>
      <c r="W796" s="8">
        <v>4073487.43</v>
      </c>
      <c r="X796" s="24">
        <v>4729318.9062300008</v>
      </c>
      <c r="Y796" s="22">
        <v>0.18</v>
      </c>
      <c r="Z796" s="22">
        <v>0.12</v>
      </c>
      <c r="AA796" s="8" t="s">
        <v>2682</v>
      </c>
      <c r="AB796" s="8">
        <v>4244759.55</v>
      </c>
      <c r="AC796" s="24">
        <v>4928165.8375500003</v>
      </c>
      <c r="AD796" s="8">
        <v>3387733.77</v>
      </c>
      <c r="AE796" s="24">
        <v>3933158.9069700004</v>
      </c>
      <c r="AF796" s="8">
        <v>60</v>
      </c>
      <c r="AG796" s="8">
        <v>68</v>
      </c>
      <c r="AH796" s="8" t="s">
        <v>332</v>
      </c>
      <c r="AI796" s="8" t="s">
        <v>406</v>
      </c>
      <c r="AJ796" s="22">
        <v>0.65</v>
      </c>
      <c r="AK796" s="8" t="s">
        <v>159</v>
      </c>
      <c r="AL796" s="22">
        <v>0.1</v>
      </c>
      <c r="AM796" s="22">
        <v>7.0000000000000007E-2</v>
      </c>
      <c r="AN796" s="8">
        <v>1</v>
      </c>
      <c r="AO796" s="8">
        <v>2069</v>
      </c>
      <c r="AP796" s="8">
        <v>704262.4</v>
      </c>
      <c r="AQ796" s="24">
        <v>817648.64640000009</v>
      </c>
      <c r="AR796" s="8">
        <v>1832316.13</v>
      </c>
      <c r="AS796" s="37">
        <v>2127319.0269299997</v>
      </c>
      <c r="AT796" s="8" t="s">
        <v>385</v>
      </c>
      <c r="AU796" s="8" t="s">
        <v>321</v>
      </c>
      <c r="AV796" s="8"/>
      <c r="AW796" s="8"/>
      <c r="AX796" s="8" t="s">
        <v>392</v>
      </c>
      <c r="AY796" s="8" t="s">
        <v>229</v>
      </c>
      <c r="AZ796" s="8" t="s">
        <v>188</v>
      </c>
      <c r="BA796" s="21">
        <f>IF(OR(tblsales[[#This Row],[Invoice Value USD]]="",tblsales[[#This Row],[Collected Amount USD]]=""),"",tblsales[[#This Row],[Invoice Value USD]]-tblsales[[#This Row],[Collected Amount USD]])</f>
        <v>995006.93057999993</v>
      </c>
      <c r="BB796" s="21">
        <f>IF(OR(tblsales[[#This Row],[Contract Value USD]]="",tblsales[[#This Row],[Cost Estimate USD]]=""),"",tblsales[[#This Row],[Contract Value USD]]-tblsales[[#This Row],[Cost Estimate USD]])</f>
        <v>1293302.7302399985</v>
      </c>
      <c r="BC796" s="21">
        <f>IF(OR(tblsales[[#This Row],[Contract Value USD]]="",tblsales[[#This Row],[Cost Estimate USD]]=""),"",tblsales[[#This Row],[Contract Value USD]]-tblsales[[#This Row],[Cost Estimate USD]])</f>
        <v>1293302.7302399985</v>
      </c>
      <c r="BD796" s="23">
        <f>IF(tblsales[[#This Row],[Invoice Value USD]]="","",tblsales[[#This Row],[Collected Amount USD]]/tblsales[[#This Row],[Invoice Value USD]])</f>
        <v>0.79809792052885542</v>
      </c>
      <c r="BE796" s="11">
        <f>IF(tblsales[[#This Row],[SalesStage]]="Won",1,0)</f>
        <v>0</v>
      </c>
      <c r="BF796" s="21" t="str">
        <f>IF(tblsales[[#This Row],[Win Flag]]=1,"Won","Lost")</f>
        <v>Lost</v>
      </c>
      <c r="BG796" s="8"/>
    </row>
    <row r="797" spans="1:59" x14ac:dyDescent="0.3">
      <c r="A797" s="10" t="s">
        <v>2683</v>
      </c>
      <c r="B797" s="9">
        <v>45953</v>
      </c>
      <c r="C797" s="10" t="s">
        <v>201</v>
      </c>
      <c r="D797" s="10" t="s">
        <v>245</v>
      </c>
      <c r="E797" s="10" t="s">
        <v>41</v>
      </c>
      <c r="F797" s="10" t="s">
        <v>228</v>
      </c>
      <c r="G797" s="10" t="s">
        <v>46</v>
      </c>
      <c r="H797" s="10" t="s">
        <v>332</v>
      </c>
      <c r="I797" s="10" t="s">
        <v>203</v>
      </c>
      <c r="J797" s="10" t="s">
        <v>105</v>
      </c>
      <c r="K797" s="10" t="s">
        <v>210</v>
      </c>
      <c r="L797" s="10" t="s">
        <v>2684</v>
      </c>
      <c r="M797" s="9">
        <v>45698</v>
      </c>
      <c r="N797" s="9">
        <v>45953</v>
      </c>
      <c r="O797" s="9">
        <v>46055</v>
      </c>
      <c r="P797" s="11">
        <v>45</v>
      </c>
      <c r="Q797" s="12">
        <v>12173212</v>
      </c>
      <c r="R797">
        <v>12173212</v>
      </c>
      <c r="S797" s="22">
        <v>0.03</v>
      </c>
      <c r="T797" s="22">
        <v>0</v>
      </c>
      <c r="U797" s="12">
        <v>11808015.640000001</v>
      </c>
      <c r="V797" s="24">
        <v>11808015.640000001</v>
      </c>
      <c r="W797" s="8">
        <v>8776438.2200000007</v>
      </c>
      <c r="X797" s="24">
        <v>8776438.2200000007</v>
      </c>
      <c r="Y797" s="22">
        <v>0.13</v>
      </c>
      <c r="Z797" s="22">
        <v>0.11</v>
      </c>
      <c r="AA797" s="8" t="s">
        <v>2685</v>
      </c>
      <c r="AB797" s="8">
        <v>3089038.64</v>
      </c>
      <c r="AC797" s="24">
        <v>3089038.64</v>
      </c>
      <c r="AD797" s="8">
        <v>1994956.82</v>
      </c>
      <c r="AE797" s="24">
        <v>1994956.82</v>
      </c>
      <c r="AF797" s="8">
        <v>30</v>
      </c>
      <c r="AG797" s="8">
        <v>100</v>
      </c>
      <c r="AH797" s="8" t="s">
        <v>347</v>
      </c>
      <c r="AI797" s="8" t="s">
        <v>381</v>
      </c>
      <c r="AJ797" s="22">
        <v>0.65</v>
      </c>
      <c r="AK797" s="8" t="s">
        <v>152</v>
      </c>
      <c r="AL797" s="22">
        <v>0.05</v>
      </c>
      <c r="AM797" s="22">
        <v>0.02</v>
      </c>
      <c r="AN797" s="8">
        <v>4</v>
      </c>
      <c r="AO797" s="8">
        <v>2848</v>
      </c>
      <c r="AP797" s="8"/>
      <c r="AQ797" s="24"/>
      <c r="AR797" s="8">
        <v>3090878.82</v>
      </c>
      <c r="AS797" s="37">
        <v>3090878.82</v>
      </c>
      <c r="AT797" s="8" t="s">
        <v>332</v>
      </c>
      <c r="AU797" s="8" t="s">
        <v>332</v>
      </c>
      <c r="AV797" s="8">
        <v>61.4</v>
      </c>
      <c r="AW797" s="8">
        <v>48</v>
      </c>
      <c r="AX797" s="8" t="s">
        <v>337</v>
      </c>
      <c r="AY797" s="8" t="s">
        <v>192</v>
      </c>
      <c r="AZ797" s="8" t="s">
        <v>332</v>
      </c>
      <c r="BA797" s="21">
        <f>IF(OR(tblsales[[#This Row],[Invoice Value USD]]="",tblsales[[#This Row],[Collected Amount USD]]=""),"",tblsales[[#This Row],[Invoice Value USD]]-tblsales[[#This Row],[Collected Amount USD]])</f>
        <v>1094081.82</v>
      </c>
      <c r="BB797" s="21">
        <f>IF(OR(tblsales[[#This Row],[Contract Value USD]]="",tblsales[[#This Row],[Cost Estimate USD]]=""),"",tblsales[[#This Row],[Contract Value USD]]-tblsales[[#This Row],[Cost Estimate USD]])</f>
        <v>3031577.42</v>
      </c>
      <c r="BC797" s="21">
        <f>IF(OR(tblsales[[#This Row],[Contract Value USD]]="",tblsales[[#This Row],[Cost Estimate USD]]=""),"",tblsales[[#This Row],[Contract Value USD]]-tblsales[[#This Row],[Cost Estimate USD]])</f>
        <v>3031577.42</v>
      </c>
      <c r="BD797" s="23">
        <f>IF(tblsales[[#This Row],[Invoice Value USD]]="","",tblsales[[#This Row],[Collected Amount USD]]/tblsales[[#This Row],[Invoice Value USD]])</f>
        <v>0.64581802058649551</v>
      </c>
      <c r="BE797" s="11">
        <f>IF(tblsales[[#This Row],[SalesStage]]="Won",1,0)</f>
        <v>0</v>
      </c>
      <c r="BF797" s="21" t="str">
        <f>IF(tblsales[[#This Row],[Win Flag]]=1,"Won","Lost")</f>
        <v>Lost</v>
      </c>
      <c r="BG797" s="8"/>
    </row>
    <row r="798" spans="1:59" x14ac:dyDescent="0.3">
      <c r="A798" s="10" t="s">
        <v>2686</v>
      </c>
      <c r="B798" s="9">
        <v>45990</v>
      </c>
      <c r="C798" s="10" t="s">
        <v>241</v>
      </c>
      <c r="D798" s="10" t="s">
        <v>248</v>
      </c>
      <c r="E798" s="10" t="s">
        <v>20</v>
      </c>
      <c r="F798" s="10" t="s">
        <v>35</v>
      </c>
      <c r="G798" s="10" t="s">
        <v>73</v>
      </c>
      <c r="H798" s="10" t="s">
        <v>236</v>
      </c>
      <c r="I798" s="10" t="s">
        <v>332</v>
      </c>
      <c r="J798" s="10" t="s">
        <v>136</v>
      </c>
      <c r="K798" s="10" t="s">
        <v>204</v>
      </c>
      <c r="L798" s="10" t="s">
        <v>2687</v>
      </c>
      <c r="M798" s="9">
        <v>45947</v>
      </c>
      <c r="N798" s="9">
        <v>46015</v>
      </c>
      <c r="O798" s="9">
        <v>46109</v>
      </c>
      <c r="P798" s="11">
        <v>51</v>
      </c>
      <c r="Q798" s="12">
        <v>2677524</v>
      </c>
      <c r="R798">
        <v>729089.78519999993</v>
      </c>
      <c r="S798" s="22">
        <v>0.13</v>
      </c>
      <c r="T798" s="22">
        <v>0.18</v>
      </c>
      <c r="U798" s="12">
        <v>2748746.14</v>
      </c>
      <c r="V798" s="24">
        <v>748483.57392200001</v>
      </c>
      <c r="W798" s="8">
        <v>2152285.06</v>
      </c>
      <c r="X798" s="24">
        <v>586067.221838</v>
      </c>
      <c r="Y798" s="22"/>
      <c r="Z798" s="22">
        <v>0.11</v>
      </c>
      <c r="AA798" s="8" t="s">
        <v>2688</v>
      </c>
      <c r="AB798" s="8">
        <v>1723354.42</v>
      </c>
      <c r="AC798" s="24">
        <v>469269.40856599994</v>
      </c>
      <c r="AD798" s="8">
        <v>590544.03</v>
      </c>
      <c r="AE798" s="24">
        <v>160805.13936900001</v>
      </c>
      <c r="AF798" s="8">
        <v>45</v>
      </c>
      <c r="AG798" s="8">
        <v>12</v>
      </c>
      <c r="AH798" s="8" t="s">
        <v>342</v>
      </c>
      <c r="AI798" s="8" t="s">
        <v>226</v>
      </c>
      <c r="AJ798" s="22">
        <v>0.44</v>
      </c>
      <c r="AK798" s="8" t="s">
        <v>153</v>
      </c>
      <c r="AL798" s="22">
        <v>0.15</v>
      </c>
      <c r="AM798" s="22">
        <v>0.03</v>
      </c>
      <c r="AN798" s="8">
        <v>1</v>
      </c>
      <c r="AO798" s="8">
        <v>1734</v>
      </c>
      <c r="AP798" s="8">
        <v>384911.53</v>
      </c>
      <c r="AQ798" s="24">
        <v>104811.409619</v>
      </c>
      <c r="AR798" s="8">
        <v>535466.98</v>
      </c>
      <c r="AS798" s="37">
        <v>145807.658654</v>
      </c>
      <c r="AT798" s="8" t="s">
        <v>73</v>
      </c>
      <c r="AU798" s="8" t="s">
        <v>348</v>
      </c>
      <c r="AV798" s="8">
        <v>81.5</v>
      </c>
      <c r="AW798" s="8">
        <v>12</v>
      </c>
      <c r="AX798" s="8" t="s">
        <v>332</v>
      </c>
      <c r="AY798" s="8" t="s">
        <v>229</v>
      </c>
      <c r="AZ798" s="8" t="s">
        <v>332</v>
      </c>
      <c r="BA798" s="21">
        <f>IF(OR(tblsales[[#This Row],[Invoice Value USD]]="",tblsales[[#This Row],[Collected Amount USD]]=""),"",tblsales[[#This Row],[Invoice Value USD]]-tblsales[[#This Row],[Collected Amount USD]])</f>
        <v>308464.26919699996</v>
      </c>
      <c r="BB798" s="21">
        <f>IF(OR(tblsales[[#This Row],[Contract Value USD]]="",tblsales[[#This Row],[Cost Estimate USD]]=""),"",tblsales[[#This Row],[Contract Value USD]]-tblsales[[#This Row],[Cost Estimate USD]])</f>
        <v>162416.35208400001</v>
      </c>
      <c r="BC798" s="21">
        <f>IF(OR(tblsales[[#This Row],[Contract Value USD]]="",tblsales[[#This Row],[Cost Estimate USD]]=""),"",tblsales[[#This Row],[Contract Value USD]]-tblsales[[#This Row],[Cost Estimate USD]])</f>
        <v>162416.35208400001</v>
      </c>
      <c r="BD798" s="23">
        <f>IF(tblsales[[#This Row],[Invoice Value USD]]="","",tblsales[[#This Row],[Collected Amount USD]]/tblsales[[#This Row],[Invoice Value USD]])</f>
        <v>0.34267125969363871</v>
      </c>
      <c r="BE798" s="11">
        <f>IF(tblsales[[#This Row],[SalesStage]]="Won",1,0)</f>
        <v>0</v>
      </c>
      <c r="BF798" s="21" t="str">
        <f>IF(tblsales[[#This Row],[Win Flag]]=1,"Won","Lost")</f>
        <v>Lost</v>
      </c>
      <c r="BG798" s="8"/>
    </row>
    <row r="799" spans="1:59" x14ac:dyDescent="0.3">
      <c r="A799" s="10" t="s">
        <v>2689</v>
      </c>
      <c r="B799" s="9">
        <v>45880</v>
      </c>
      <c r="C799" s="10" t="s">
        <v>280</v>
      </c>
      <c r="D799" s="10" t="s">
        <v>562</v>
      </c>
      <c r="E799" s="10" t="s">
        <v>36</v>
      </c>
      <c r="F799" s="10" t="s">
        <v>339</v>
      </c>
      <c r="G799" s="10" t="s">
        <v>46</v>
      </c>
      <c r="H799" s="10" t="s">
        <v>212</v>
      </c>
      <c r="I799" s="10" t="s">
        <v>246</v>
      </c>
      <c r="J799" s="10" t="s">
        <v>115</v>
      </c>
      <c r="K799" s="10" t="s">
        <v>184</v>
      </c>
      <c r="L799" s="10" t="s">
        <v>2690</v>
      </c>
      <c r="M799" s="9">
        <v>45784</v>
      </c>
      <c r="N799" s="9">
        <v>45915</v>
      </c>
      <c r="O799" s="9">
        <v>45956</v>
      </c>
      <c r="P799" s="11">
        <v>26</v>
      </c>
      <c r="Q799" s="12">
        <v>29653156</v>
      </c>
      <c r="R799">
        <v>8074554.3788000001</v>
      </c>
      <c r="S799" s="22">
        <v>0.12</v>
      </c>
      <c r="T799" s="22">
        <v>-0.04</v>
      </c>
      <c r="U799" s="12">
        <v>25050986.190000001</v>
      </c>
      <c r="V799" s="24">
        <v>6821383.5395370005</v>
      </c>
      <c r="W799" s="8">
        <v>20832562.989999998</v>
      </c>
      <c r="X799" s="24">
        <v>5672706.9021769995</v>
      </c>
      <c r="Y799" s="22">
        <v>0.08</v>
      </c>
      <c r="Z799" s="22">
        <v>0.1</v>
      </c>
      <c r="AA799" s="8"/>
      <c r="AB799" s="8">
        <v>16010962.49</v>
      </c>
      <c r="AC799" s="24">
        <v>4359785.0860270001</v>
      </c>
      <c r="AD799" s="8">
        <v>13358032.630000001</v>
      </c>
      <c r="AE799" s="24">
        <v>3637392.2851490001</v>
      </c>
      <c r="AF799" s="8">
        <v>30</v>
      </c>
      <c r="AG799" s="8">
        <v>72</v>
      </c>
      <c r="AH799" s="8" t="s">
        <v>332</v>
      </c>
      <c r="AI799" s="8" t="s">
        <v>226</v>
      </c>
      <c r="AJ799" s="22">
        <v>0.23</v>
      </c>
      <c r="AK799" s="8" t="s">
        <v>153</v>
      </c>
      <c r="AL799" s="22">
        <v>0.1</v>
      </c>
      <c r="AM799" s="22">
        <v>0.04</v>
      </c>
      <c r="AN799" s="8">
        <v>6</v>
      </c>
      <c r="AO799" s="8">
        <v>1129</v>
      </c>
      <c r="AP799" s="8">
        <v>3486288.02</v>
      </c>
      <c r="AQ799" s="24">
        <v>949316.22784599999</v>
      </c>
      <c r="AR799" s="8">
        <v>7096381.5199999996</v>
      </c>
      <c r="AS799" s="37">
        <v>1932344.6878959998</v>
      </c>
      <c r="AT799" s="8" t="s">
        <v>343</v>
      </c>
      <c r="AU799" s="8" t="s">
        <v>386</v>
      </c>
      <c r="AV799" s="8">
        <v>99</v>
      </c>
      <c r="AW799" s="8"/>
      <c r="AX799" s="8" t="s">
        <v>387</v>
      </c>
      <c r="AY799" s="8" t="s">
        <v>192</v>
      </c>
      <c r="AZ799" s="8" t="s">
        <v>324</v>
      </c>
      <c r="BA799" s="21">
        <f>IF(OR(tblsales[[#This Row],[Invoice Value USD]]="",tblsales[[#This Row],[Collected Amount USD]]=""),"",tblsales[[#This Row],[Invoice Value USD]]-tblsales[[#This Row],[Collected Amount USD]])</f>
        <v>722392.80087799998</v>
      </c>
      <c r="BB799" s="21">
        <f>IF(OR(tblsales[[#This Row],[Contract Value USD]]="",tblsales[[#This Row],[Cost Estimate USD]]=""),"",tblsales[[#This Row],[Contract Value USD]]-tblsales[[#This Row],[Cost Estimate USD]])</f>
        <v>1148676.637360001</v>
      </c>
      <c r="BC799" s="21">
        <f>IF(OR(tblsales[[#This Row],[Contract Value USD]]="",tblsales[[#This Row],[Cost Estimate USD]]=""),"",tblsales[[#This Row],[Contract Value USD]]-tblsales[[#This Row],[Cost Estimate USD]])</f>
        <v>1148676.637360001</v>
      </c>
      <c r="BD799" s="23">
        <f>IF(tblsales[[#This Row],[Invoice Value USD]]="","",tblsales[[#This Row],[Collected Amount USD]]/tblsales[[#This Row],[Invoice Value USD]])</f>
        <v>0.83430541033014438</v>
      </c>
      <c r="BE799" s="11">
        <f>IF(tblsales[[#This Row],[SalesStage]]="Won",1,0)</f>
        <v>0</v>
      </c>
      <c r="BF799" s="21" t="str">
        <f>IF(tblsales[[#This Row],[Win Flag]]=1,"Won","Lost")</f>
        <v>Lost</v>
      </c>
      <c r="BG799" s="8"/>
    </row>
    <row r="800" spans="1:59" x14ac:dyDescent="0.3">
      <c r="A800" s="10" t="s">
        <v>2691</v>
      </c>
      <c r="B800" s="9">
        <v>45660</v>
      </c>
      <c r="C800" s="10" t="s">
        <v>270</v>
      </c>
      <c r="D800" s="10" t="s">
        <v>238</v>
      </c>
      <c r="E800" s="10" t="s">
        <v>20</v>
      </c>
      <c r="F800" s="10" t="s">
        <v>31</v>
      </c>
      <c r="G800" s="10" t="s">
        <v>66</v>
      </c>
      <c r="H800" s="10" t="s">
        <v>332</v>
      </c>
      <c r="I800" s="10" t="s">
        <v>198</v>
      </c>
      <c r="J800" s="10" t="s">
        <v>136</v>
      </c>
      <c r="K800" s="10" t="s">
        <v>199</v>
      </c>
      <c r="L800" s="10" t="s">
        <v>2692</v>
      </c>
      <c r="M800" s="9">
        <v>45679</v>
      </c>
      <c r="N800" s="9">
        <v>45762</v>
      </c>
      <c r="O800" s="9">
        <v>45802</v>
      </c>
      <c r="P800" s="11">
        <v>13</v>
      </c>
      <c r="Q800" s="12"/>
      <c r="S800" s="22">
        <v>0.09</v>
      </c>
      <c r="T800" s="22">
        <v>-0.01</v>
      </c>
      <c r="U800" s="12">
        <v>365135.67</v>
      </c>
      <c r="V800" s="24">
        <v>99426.442940999987</v>
      </c>
      <c r="W800" s="8">
        <v>294644.53000000003</v>
      </c>
      <c r="X800" s="24">
        <v>80231.70551900001</v>
      </c>
      <c r="Y800" s="22">
        <v>0.1</v>
      </c>
      <c r="Z800" s="22">
        <v>7.0000000000000007E-2</v>
      </c>
      <c r="AA800" s="8" t="s">
        <v>2693</v>
      </c>
      <c r="AB800" s="8">
        <v>286858.40999999997</v>
      </c>
      <c r="AC800" s="24">
        <v>78111.545042999991</v>
      </c>
      <c r="AD800" s="8">
        <v>201438.41</v>
      </c>
      <c r="AE800" s="24">
        <v>54851.679042999996</v>
      </c>
      <c r="AF800" s="8">
        <v>45</v>
      </c>
      <c r="AG800" s="8">
        <v>66</v>
      </c>
      <c r="AH800" s="8" t="s">
        <v>347</v>
      </c>
      <c r="AI800" s="8" t="s">
        <v>320</v>
      </c>
      <c r="AJ800" s="22">
        <v>0.9</v>
      </c>
      <c r="AK800" s="8" t="s">
        <v>153</v>
      </c>
      <c r="AL800" s="22">
        <v>0.1</v>
      </c>
      <c r="AM800" s="22">
        <v>0.01</v>
      </c>
      <c r="AN800" s="8">
        <v>0</v>
      </c>
      <c r="AO800" s="8">
        <v>1485</v>
      </c>
      <c r="AP800" s="8">
        <v>32688.05</v>
      </c>
      <c r="AQ800" s="24">
        <v>8900.9560149999998</v>
      </c>
      <c r="AR800" s="8">
        <v>88465.16</v>
      </c>
      <c r="AS800" s="37">
        <v>24089.063067999999</v>
      </c>
      <c r="AT800" s="8" t="s">
        <v>385</v>
      </c>
      <c r="AU800" s="8" t="s">
        <v>386</v>
      </c>
      <c r="AV800" s="8">
        <v>82.4</v>
      </c>
      <c r="AW800" s="8">
        <v>24</v>
      </c>
      <c r="AX800" s="8" t="s">
        <v>337</v>
      </c>
      <c r="AY800" s="8" t="s">
        <v>229</v>
      </c>
      <c r="AZ800" s="8" t="s">
        <v>377</v>
      </c>
      <c r="BA800" s="21">
        <f>IF(OR(tblsales[[#This Row],[Invoice Value USD]]="",tblsales[[#This Row],[Collected Amount USD]]=""),"",tblsales[[#This Row],[Invoice Value USD]]-tblsales[[#This Row],[Collected Amount USD]])</f>
        <v>23259.865999999995</v>
      </c>
      <c r="BB800" s="21">
        <f>IF(OR(tblsales[[#This Row],[Contract Value USD]]="",tblsales[[#This Row],[Cost Estimate USD]]=""),"",tblsales[[#This Row],[Contract Value USD]]-tblsales[[#This Row],[Cost Estimate USD]])</f>
        <v>19194.737421999977</v>
      </c>
      <c r="BC800" s="21">
        <f>IF(OR(tblsales[[#This Row],[Contract Value USD]]="",tblsales[[#This Row],[Cost Estimate USD]]=""),"",tblsales[[#This Row],[Contract Value USD]]-tblsales[[#This Row],[Cost Estimate USD]])</f>
        <v>19194.737421999977</v>
      </c>
      <c r="BD800" s="23">
        <f>IF(tblsales[[#This Row],[Invoice Value USD]]="","",tblsales[[#This Row],[Collected Amount USD]]/tblsales[[#This Row],[Invoice Value USD]])</f>
        <v>0.7022224309198396</v>
      </c>
      <c r="BE800" s="11">
        <f>IF(tblsales[[#This Row],[SalesStage]]="Won",1,0)</f>
        <v>1</v>
      </c>
      <c r="BF800" s="21" t="str">
        <f>IF(tblsales[[#This Row],[Win Flag]]=1,"Won","Lost")</f>
        <v>Won</v>
      </c>
      <c r="BG800" s="8"/>
    </row>
    <row r="801" spans="1:59" x14ac:dyDescent="0.3">
      <c r="A801" s="10" t="s">
        <v>2694</v>
      </c>
      <c r="B801" s="9">
        <v>45786</v>
      </c>
      <c r="C801" s="10" t="s">
        <v>234</v>
      </c>
      <c r="D801" s="10" t="s">
        <v>180</v>
      </c>
      <c r="E801" s="10" t="s">
        <v>113</v>
      </c>
      <c r="F801" s="10" t="s">
        <v>181</v>
      </c>
      <c r="G801" s="10" t="s">
        <v>38</v>
      </c>
      <c r="H801" s="10" t="s">
        <v>236</v>
      </c>
      <c r="I801" s="10" t="s">
        <v>246</v>
      </c>
      <c r="J801" s="10" t="s">
        <v>127</v>
      </c>
      <c r="K801" s="10" t="s">
        <v>326</v>
      </c>
      <c r="L801" s="10" t="s">
        <v>2695</v>
      </c>
      <c r="M801" s="9">
        <v>45772</v>
      </c>
      <c r="N801" s="9">
        <v>45814</v>
      </c>
      <c r="O801" s="9">
        <v>45816</v>
      </c>
      <c r="P801" s="11">
        <v>51</v>
      </c>
      <c r="Q801" s="12">
        <v>42127015</v>
      </c>
      <c r="R801">
        <v>42127015</v>
      </c>
      <c r="S801" s="22">
        <v>0.21</v>
      </c>
      <c r="T801" s="22">
        <v>0</v>
      </c>
      <c r="U801" s="12">
        <v>33280341.850000001</v>
      </c>
      <c r="V801" s="24">
        <v>33280341.850000001</v>
      </c>
      <c r="W801" s="8">
        <v>25246075.440000001</v>
      </c>
      <c r="X801" s="24">
        <v>25246075.440000001</v>
      </c>
      <c r="Y801" s="22">
        <v>0.14000000000000001</v>
      </c>
      <c r="Z801" s="22">
        <v>0.16</v>
      </c>
      <c r="AA801" s="8" t="s">
        <v>2696</v>
      </c>
      <c r="AB801" s="8">
        <v>7094669.9699999997</v>
      </c>
      <c r="AC801" s="24">
        <v>7094669.9699999997</v>
      </c>
      <c r="AD801" s="8">
        <v>5448654.46</v>
      </c>
      <c r="AE801" s="24">
        <v>5448654.46</v>
      </c>
      <c r="AF801" s="8">
        <v>60</v>
      </c>
      <c r="AG801" s="8">
        <v>91</v>
      </c>
      <c r="AH801" s="8" t="s">
        <v>353</v>
      </c>
      <c r="AI801" s="8" t="s">
        <v>354</v>
      </c>
      <c r="AJ801" s="22">
        <v>0.23</v>
      </c>
      <c r="AK801" s="8" t="s">
        <v>152</v>
      </c>
      <c r="AL801" s="22">
        <v>0.15</v>
      </c>
      <c r="AM801" s="22">
        <v>0.1</v>
      </c>
      <c r="AN801" s="8">
        <v>1</v>
      </c>
      <c r="AO801" s="8">
        <v>4410</v>
      </c>
      <c r="AP801" s="8">
        <v>3282614.11</v>
      </c>
      <c r="AQ801" s="24">
        <v>3282614.11</v>
      </c>
      <c r="AR801" s="8">
        <v>7260476.8200000003</v>
      </c>
      <c r="AS801" s="37">
        <v>7260476.8200000003</v>
      </c>
      <c r="AT801" s="8" t="s">
        <v>343</v>
      </c>
      <c r="AU801" s="8" t="s">
        <v>321</v>
      </c>
      <c r="AV801" s="8"/>
      <c r="AW801" s="8">
        <v>12</v>
      </c>
      <c r="AX801" s="8" t="s">
        <v>323</v>
      </c>
      <c r="AY801" s="8" t="s">
        <v>229</v>
      </c>
      <c r="AZ801" s="8" t="s">
        <v>332</v>
      </c>
      <c r="BA801" s="21">
        <f>IF(OR(tblsales[[#This Row],[Invoice Value USD]]="",tblsales[[#This Row],[Collected Amount USD]]=""),"",tblsales[[#This Row],[Invoice Value USD]]-tblsales[[#This Row],[Collected Amount USD]])</f>
        <v>1646015.5099999998</v>
      </c>
      <c r="BB801" s="21">
        <f>IF(OR(tblsales[[#This Row],[Contract Value USD]]="",tblsales[[#This Row],[Cost Estimate USD]]=""),"",tblsales[[#This Row],[Contract Value USD]]-tblsales[[#This Row],[Cost Estimate USD]])</f>
        <v>8034266.4100000001</v>
      </c>
      <c r="BC801" s="21">
        <f>IF(OR(tblsales[[#This Row],[Contract Value USD]]="",tblsales[[#This Row],[Cost Estimate USD]]=""),"",tblsales[[#This Row],[Contract Value USD]]-tblsales[[#This Row],[Cost Estimate USD]])</f>
        <v>8034266.4100000001</v>
      </c>
      <c r="BD801" s="23">
        <f>IF(tblsales[[#This Row],[Invoice Value USD]]="","",tblsales[[#This Row],[Collected Amount USD]]/tblsales[[#This Row],[Invoice Value USD]])</f>
        <v>0.76799265970648101</v>
      </c>
      <c r="BE801" s="11">
        <f>IF(tblsales[[#This Row],[SalesStage]]="Won",1,0)</f>
        <v>0</v>
      </c>
      <c r="BF801" s="21" t="str">
        <f>IF(tblsales[[#This Row],[Win Flag]]=1,"Won","Lost")</f>
        <v>Lost</v>
      </c>
      <c r="BG801" s="8"/>
    </row>
    <row r="802" spans="1:59" x14ac:dyDescent="0.3">
      <c r="A802" s="10" t="s">
        <v>2697</v>
      </c>
      <c r="B802" s="9">
        <v>46357</v>
      </c>
      <c r="C802" s="10" t="s">
        <v>284</v>
      </c>
      <c r="D802" s="10" t="s">
        <v>281</v>
      </c>
      <c r="E802" s="10" t="s">
        <v>20</v>
      </c>
      <c r="F802" s="10" t="s">
        <v>35</v>
      </c>
      <c r="G802" s="10" t="s">
        <v>70</v>
      </c>
      <c r="H802" s="10" t="s">
        <v>212</v>
      </c>
      <c r="I802" s="10" t="s">
        <v>191</v>
      </c>
      <c r="J802" s="10" t="s">
        <v>136</v>
      </c>
      <c r="K802" s="10" t="s">
        <v>199</v>
      </c>
      <c r="L802" s="10" t="s">
        <v>2698</v>
      </c>
      <c r="M802" s="9">
        <v>45987</v>
      </c>
      <c r="N802" s="9"/>
      <c r="O802" s="9">
        <v>46137</v>
      </c>
      <c r="P802" s="11">
        <v>59</v>
      </c>
      <c r="Q802" s="12">
        <v>503954</v>
      </c>
      <c r="R802">
        <v>503954</v>
      </c>
      <c r="S802" s="22">
        <v>0.28999999999999998</v>
      </c>
      <c r="T802" s="22">
        <v>0.18</v>
      </c>
      <c r="U802" s="12">
        <v>422212.66</v>
      </c>
      <c r="V802" s="24">
        <v>422212.66</v>
      </c>
      <c r="W802" s="8">
        <v>347882.52</v>
      </c>
      <c r="X802" s="24">
        <v>347882.52</v>
      </c>
      <c r="Y802" s="22">
        <v>0.38</v>
      </c>
      <c r="Z802" s="22">
        <v>0.11</v>
      </c>
      <c r="AA802" s="8" t="s">
        <v>2699</v>
      </c>
      <c r="AB802" s="8">
        <v>167856.36</v>
      </c>
      <c r="AC802" s="24">
        <v>167856.36</v>
      </c>
      <c r="AD802" s="8">
        <v>62257.86</v>
      </c>
      <c r="AE802" s="24">
        <v>62257.86</v>
      </c>
      <c r="AF802" s="8">
        <v>90</v>
      </c>
      <c r="AG802" s="8">
        <v>110</v>
      </c>
      <c r="AH802" s="8" t="s">
        <v>332</v>
      </c>
      <c r="AI802" s="8" t="s">
        <v>455</v>
      </c>
      <c r="AJ802" s="22">
        <v>0.87</v>
      </c>
      <c r="AK802" s="8" t="s">
        <v>152</v>
      </c>
      <c r="AL802" s="22">
        <v>0.15</v>
      </c>
      <c r="AM802" s="22">
        <v>0.09</v>
      </c>
      <c r="AN802" s="8">
        <v>14</v>
      </c>
      <c r="AO802" s="8">
        <v>3215</v>
      </c>
      <c r="AP802" s="8">
        <v>21791.48</v>
      </c>
      <c r="AQ802" s="24">
        <v>21791.48</v>
      </c>
      <c r="AR802" s="8">
        <v>176257.87</v>
      </c>
      <c r="AS802" s="37">
        <v>176257.87</v>
      </c>
      <c r="AT802" s="8" t="s">
        <v>355</v>
      </c>
      <c r="AU802" s="8" t="s">
        <v>332</v>
      </c>
      <c r="AV802" s="8"/>
      <c r="AW802" s="8">
        <v>24</v>
      </c>
      <c r="AX802" s="8" t="s">
        <v>323</v>
      </c>
      <c r="AY802" s="8" t="s">
        <v>229</v>
      </c>
      <c r="AZ802" s="8" t="s">
        <v>361</v>
      </c>
      <c r="BA802" s="21">
        <f>IF(OR(tblsales[[#This Row],[Invoice Value USD]]="",tblsales[[#This Row],[Collected Amount USD]]=""),"",tblsales[[#This Row],[Invoice Value USD]]-tblsales[[#This Row],[Collected Amount USD]])</f>
        <v>105598.49999999999</v>
      </c>
      <c r="BB802" s="21">
        <f>IF(OR(tblsales[[#This Row],[Contract Value USD]]="",tblsales[[#This Row],[Cost Estimate USD]]=""),"",tblsales[[#This Row],[Contract Value USD]]-tblsales[[#This Row],[Cost Estimate USD]])</f>
        <v>74330.139999999956</v>
      </c>
      <c r="BC802" s="21">
        <f>IF(OR(tblsales[[#This Row],[Contract Value USD]]="",tblsales[[#This Row],[Cost Estimate USD]]=""),"",tblsales[[#This Row],[Contract Value USD]]-tblsales[[#This Row],[Cost Estimate USD]])</f>
        <v>74330.139999999956</v>
      </c>
      <c r="BD802" s="23">
        <f>IF(tblsales[[#This Row],[Invoice Value USD]]="","",tblsales[[#This Row],[Collected Amount USD]]/tblsales[[#This Row],[Invoice Value USD]])</f>
        <v>0.37089961917439412</v>
      </c>
      <c r="BE802" s="11">
        <f>IF(tblsales[[#This Row],[SalesStage]]="Won",1,0)</f>
        <v>0</v>
      </c>
      <c r="BF802" s="21" t="str">
        <f>IF(tblsales[[#This Row],[Win Flag]]=1,"Won","Lost")</f>
        <v>Lost</v>
      </c>
      <c r="BG802" s="8"/>
    </row>
    <row r="803" spans="1:59" x14ac:dyDescent="0.3">
      <c r="A803" s="10" t="s">
        <v>2700</v>
      </c>
      <c r="B803" s="9">
        <v>45901</v>
      </c>
      <c r="C803" s="10" t="s">
        <v>244</v>
      </c>
      <c r="D803" s="10" t="s">
        <v>180</v>
      </c>
      <c r="E803" s="10" t="s">
        <v>20</v>
      </c>
      <c r="F803" s="10" t="s">
        <v>31</v>
      </c>
      <c r="G803" s="10" t="s">
        <v>57</v>
      </c>
      <c r="H803" s="10" t="s">
        <v>332</v>
      </c>
      <c r="I803" s="10" t="s">
        <v>240</v>
      </c>
      <c r="J803" s="10" t="s">
        <v>136</v>
      </c>
      <c r="K803" s="10" t="s">
        <v>223</v>
      </c>
      <c r="L803" s="10" t="s">
        <v>2701</v>
      </c>
      <c r="M803" s="9">
        <v>45622</v>
      </c>
      <c r="N803" s="9" t="s">
        <v>2702</v>
      </c>
      <c r="O803" s="9">
        <v>45709</v>
      </c>
      <c r="P803" s="11">
        <v>51</v>
      </c>
      <c r="Q803" s="12">
        <v>31492568</v>
      </c>
      <c r="R803">
        <v>31492568</v>
      </c>
      <c r="S803" s="22">
        <v>0.31</v>
      </c>
      <c r="T803" s="22">
        <v>0.15</v>
      </c>
      <c r="U803" s="12">
        <v>24989352.710000001</v>
      </c>
      <c r="V803" s="24">
        <v>24989352.710000001</v>
      </c>
      <c r="W803" s="8">
        <v>17299373.109999999</v>
      </c>
      <c r="X803" s="24">
        <v>17299373.109999999</v>
      </c>
      <c r="Y803" s="22">
        <v>0.06</v>
      </c>
      <c r="Z803" s="22">
        <v>0.17</v>
      </c>
      <c r="AA803" s="8"/>
      <c r="AB803" s="8">
        <v>3467121.2</v>
      </c>
      <c r="AC803" s="24">
        <v>3467121.2</v>
      </c>
      <c r="AD803" s="8">
        <v>1157872.6499999999</v>
      </c>
      <c r="AE803" s="24">
        <v>1157872.6499999999</v>
      </c>
      <c r="AF803" s="8">
        <v>60</v>
      </c>
      <c r="AG803" s="8">
        <v>135</v>
      </c>
      <c r="AH803" s="8" t="s">
        <v>353</v>
      </c>
      <c r="AI803" s="8" t="s">
        <v>354</v>
      </c>
      <c r="AJ803" s="22">
        <v>0.7</v>
      </c>
      <c r="AK803" s="8" t="s">
        <v>152</v>
      </c>
      <c r="AL803" s="22">
        <v>0.15</v>
      </c>
      <c r="AM803" s="22">
        <v>0.05</v>
      </c>
      <c r="AN803" s="8">
        <v>0</v>
      </c>
      <c r="AO803" s="8">
        <v>497</v>
      </c>
      <c r="AP803" s="8">
        <v>5112374.3</v>
      </c>
      <c r="AQ803" s="24">
        <v>5112374.3</v>
      </c>
      <c r="AR803" s="8">
        <v>6775144.0899999999</v>
      </c>
      <c r="AS803" s="37">
        <v>6775144.0899999999</v>
      </c>
      <c r="AT803" s="8" t="s">
        <v>73</v>
      </c>
      <c r="AU803" s="8" t="s">
        <v>386</v>
      </c>
      <c r="AV803" s="8">
        <v>92.2</v>
      </c>
      <c r="AW803" s="8">
        <v>36</v>
      </c>
      <c r="AX803" s="8" t="s">
        <v>337</v>
      </c>
      <c r="AY803" s="8" t="s">
        <v>229</v>
      </c>
      <c r="AZ803" s="8" t="s">
        <v>357</v>
      </c>
      <c r="BA803" s="21">
        <f>IF(OR(tblsales[[#This Row],[Invoice Value USD]]="",tblsales[[#This Row],[Collected Amount USD]]=""),"",tblsales[[#This Row],[Invoice Value USD]]-tblsales[[#This Row],[Collected Amount USD]])</f>
        <v>2309248.5500000003</v>
      </c>
      <c r="BB803" s="21">
        <f>IF(OR(tblsales[[#This Row],[Contract Value USD]]="",tblsales[[#This Row],[Cost Estimate USD]]=""),"",tblsales[[#This Row],[Contract Value USD]]-tblsales[[#This Row],[Cost Estimate USD]])</f>
        <v>7689979.6000000015</v>
      </c>
      <c r="BC803" s="21">
        <f>IF(OR(tblsales[[#This Row],[Contract Value USD]]="",tblsales[[#This Row],[Cost Estimate USD]]=""),"",tblsales[[#This Row],[Contract Value USD]]-tblsales[[#This Row],[Cost Estimate USD]])</f>
        <v>7689979.6000000015</v>
      </c>
      <c r="BD803" s="23">
        <f>IF(tblsales[[#This Row],[Invoice Value USD]]="","",tblsales[[#This Row],[Collected Amount USD]]/tblsales[[#This Row],[Invoice Value USD]])</f>
        <v>0.33395793893792919</v>
      </c>
      <c r="BE803" s="11">
        <f>IF(tblsales[[#This Row],[SalesStage]]="Won",1,0)</f>
        <v>0</v>
      </c>
      <c r="BF803" s="21" t="str">
        <f>IF(tblsales[[#This Row],[Win Flag]]=1,"Won","Lost")</f>
        <v>Lost</v>
      </c>
      <c r="BG803" s="8"/>
    </row>
    <row r="804" spans="1:59" x14ac:dyDescent="0.3">
      <c r="A804" s="10" t="s">
        <v>2703</v>
      </c>
      <c r="B804" s="9">
        <v>46023</v>
      </c>
      <c r="C804" s="10" t="s">
        <v>280</v>
      </c>
      <c r="D804" s="10" t="s">
        <v>248</v>
      </c>
      <c r="E804" s="10" t="s">
        <v>36</v>
      </c>
      <c r="F804" s="10" t="s">
        <v>339</v>
      </c>
      <c r="G804" s="10" t="s">
        <v>23</v>
      </c>
      <c r="H804" s="10" t="s">
        <v>212</v>
      </c>
      <c r="I804" s="10" t="s">
        <v>233</v>
      </c>
      <c r="J804" s="10" t="s">
        <v>115</v>
      </c>
      <c r="K804" s="10" t="s">
        <v>199</v>
      </c>
      <c r="L804" s="10" t="s">
        <v>2704</v>
      </c>
      <c r="M804" s="9">
        <v>45983</v>
      </c>
      <c r="N804" s="9">
        <v>46044</v>
      </c>
      <c r="O804" s="9">
        <v>46073</v>
      </c>
      <c r="P804" s="11">
        <v>50</v>
      </c>
      <c r="Q804" s="12">
        <v>4202983</v>
      </c>
      <c r="R804">
        <v>4202983</v>
      </c>
      <c r="S804" s="22">
        <v>0.23</v>
      </c>
      <c r="T804" s="22">
        <v>0.05</v>
      </c>
      <c r="U804" s="12">
        <v>3398111.76</v>
      </c>
      <c r="V804" s="24">
        <v>3398111.76</v>
      </c>
      <c r="W804" s="8">
        <v>2245777.48</v>
      </c>
      <c r="X804" s="24">
        <v>2245777.48</v>
      </c>
      <c r="Y804" s="22">
        <v>7.0000000000000007E-2</v>
      </c>
      <c r="Z804" s="22">
        <v>0.18</v>
      </c>
      <c r="AA804" s="8" t="s">
        <v>2705</v>
      </c>
      <c r="AB804" s="8">
        <v>1476445.28</v>
      </c>
      <c r="AC804" s="24">
        <v>1476445.28</v>
      </c>
      <c r="AD804" s="8">
        <v>699571.58</v>
      </c>
      <c r="AE804" s="24">
        <v>699571.58</v>
      </c>
      <c r="AF804" s="8">
        <v>90</v>
      </c>
      <c r="AG804" s="8">
        <v>18</v>
      </c>
      <c r="AH804" s="8" t="s">
        <v>353</v>
      </c>
      <c r="AI804" s="8" t="s">
        <v>320</v>
      </c>
      <c r="AJ804" s="22">
        <v>0.3</v>
      </c>
      <c r="AK804" s="8" t="s">
        <v>152</v>
      </c>
      <c r="AL804" s="22">
        <v>0.1</v>
      </c>
      <c r="AM804" s="22">
        <v>0.05</v>
      </c>
      <c r="AN804" s="8">
        <v>2</v>
      </c>
      <c r="AO804" s="8">
        <v>4888</v>
      </c>
      <c r="AP804" s="8">
        <v>88010.15</v>
      </c>
      <c r="AQ804" s="24">
        <v>88010.15</v>
      </c>
      <c r="AR804" s="8">
        <v>423271.65</v>
      </c>
      <c r="AS804" s="37">
        <v>423271.65</v>
      </c>
      <c r="AT804" s="8" t="s">
        <v>355</v>
      </c>
      <c r="AU804" s="8" t="s">
        <v>330</v>
      </c>
      <c r="AV804" s="8"/>
      <c r="AW804" s="8">
        <v>24</v>
      </c>
      <c r="AX804" s="8" t="s">
        <v>392</v>
      </c>
      <c r="AY804" s="8" t="s">
        <v>229</v>
      </c>
      <c r="AZ804" s="8" t="s">
        <v>332</v>
      </c>
      <c r="BA804" s="21">
        <f>IF(OR(tblsales[[#This Row],[Invoice Value USD]]="",tblsales[[#This Row],[Collected Amount USD]]=""),"",tblsales[[#This Row],[Invoice Value USD]]-tblsales[[#This Row],[Collected Amount USD]])</f>
        <v>776873.70000000007</v>
      </c>
      <c r="BB804" s="21">
        <f>IF(OR(tblsales[[#This Row],[Contract Value USD]]="",tblsales[[#This Row],[Cost Estimate USD]]=""),"",tblsales[[#This Row],[Contract Value USD]]-tblsales[[#This Row],[Cost Estimate USD]])</f>
        <v>1152334.2799999998</v>
      </c>
      <c r="BC804" s="21">
        <f>IF(OR(tblsales[[#This Row],[Contract Value USD]]="",tblsales[[#This Row],[Cost Estimate USD]]=""),"",tblsales[[#This Row],[Contract Value USD]]-tblsales[[#This Row],[Cost Estimate USD]])</f>
        <v>1152334.2799999998</v>
      </c>
      <c r="BD804" s="23">
        <f>IF(tblsales[[#This Row],[Invoice Value USD]]="","",tblsales[[#This Row],[Collected Amount USD]]/tblsales[[#This Row],[Invoice Value USD]])</f>
        <v>0.47382154250918118</v>
      </c>
      <c r="BE804" s="11">
        <f>IF(tblsales[[#This Row],[SalesStage]]="Won",1,0)</f>
        <v>1</v>
      </c>
      <c r="BF804" s="21" t="str">
        <f>IF(tblsales[[#This Row],[Win Flag]]=1,"Won","Lost")</f>
        <v>Won</v>
      </c>
      <c r="BG804" s="8"/>
    </row>
    <row r="805" spans="1:59" x14ac:dyDescent="0.3">
      <c r="A805" s="10" t="s">
        <v>2706</v>
      </c>
      <c r="B805" s="9">
        <v>45722</v>
      </c>
      <c r="C805" s="10" t="s">
        <v>268</v>
      </c>
      <c r="D805" s="10" t="s">
        <v>281</v>
      </c>
      <c r="E805" s="10" t="s">
        <v>113</v>
      </c>
      <c r="F805" s="10" t="s">
        <v>367</v>
      </c>
      <c r="G805" s="10" t="s">
        <v>38</v>
      </c>
      <c r="H805" s="10" t="s">
        <v>197</v>
      </c>
      <c r="I805" s="10" t="s">
        <v>203</v>
      </c>
      <c r="J805" s="10" t="s">
        <v>111</v>
      </c>
      <c r="K805" s="10" t="s">
        <v>326</v>
      </c>
      <c r="L805" s="10" t="s">
        <v>2707</v>
      </c>
      <c r="M805" s="9">
        <v>45992</v>
      </c>
      <c r="N805" s="9">
        <v>45721</v>
      </c>
      <c r="O805" s="9">
        <v>45801</v>
      </c>
      <c r="P805" s="11">
        <v>51</v>
      </c>
      <c r="Q805" s="12">
        <v>30137876</v>
      </c>
      <c r="R805">
        <v>8037771.5291999998</v>
      </c>
      <c r="S805" s="22">
        <v>0.19</v>
      </c>
      <c r="T805" s="22">
        <v>0.11</v>
      </c>
      <c r="U805" s="12">
        <v>27096964.309999999</v>
      </c>
      <c r="V805" s="24">
        <v>7226760.3814769993</v>
      </c>
      <c r="W805" s="8">
        <v>21738888.75</v>
      </c>
      <c r="X805" s="24">
        <v>5797761.6296250001</v>
      </c>
      <c r="Y805" s="22">
        <v>0.13</v>
      </c>
      <c r="Z805" s="22">
        <v>0.1</v>
      </c>
      <c r="AA805" s="8" t="s">
        <v>2708</v>
      </c>
      <c r="AB805" s="8">
        <v>23563257.460000001</v>
      </c>
      <c r="AC805" s="24">
        <v>6284320.7645819997</v>
      </c>
      <c r="AD805" s="8">
        <v>16001676.35</v>
      </c>
      <c r="AE805" s="24">
        <v>4267647.0825450001</v>
      </c>
      <c r="AF805" s="8">
        <v>90</v>
      </c>
      <c r="AG805" s="8">
        <v>98</v>
      </c>
      <c r="AH805" s="8" t="s">
        <v>376</v>
      </c>
      <c r="AI805" s="8" t="s">
        <v>354</v>
      </c>
      <c r="AJ805" s="22">
        <v>0.36</v>
      </c>
      <c r="AK805" s="8" t="s">
        <v>162</v>
      </c>
      <c r="AL805" s="22">
        <v>0.05</v>
      </c>
      <c r="AM805" s="22">
        <v>0.02</v>
      </c>
      <c r="AN805" s="8">
        <v>9</v>
      </c>
      <c r="AO805" s="8">
        <v>2942</v>
      </c>
      <c r="AP805" s="8">
        <v>3030561.28</v>
      </c>
      <c r="AQ805" s="24">
        <v>808250.69337599992</v>
      </c>
      <c r="AR805" s="8">
        <v>12888421.970000001</v>
      </c>
      <c r="AS805" s="37">
        <v>3437342.139399</v>
      </c>
      <c r="AT805" s="8" t="s">
        <v>73</v>
      </c>
      <c r="AU805" s="8" t="s">
        <v>356</v>
      </c>
      <c r="AV805" s="8">
        <v>87.8</v>
      </c>
      <c r="AW805" s="8">
        <v>12</v>
      </c>
      <c r="AX805" s="8" t="s">
        <v>337</v>
      </c>
      <c r="AY805" s="8" t="s">
        <v>229</v>
      </c>
      <c r="AZ805" s="8" t="s">
        <v>361</v>
      </c>
      <c r="BA805" s="21">
        <f>IF(OR(tblsales[[#This Row],[Invoice Value USD]]="",tblsales[[#This Row],[Collected Amount USD]]=""),"",tblsales[[#This Row],[Invoice Value USD]]-tblsales[[#This Row],[Collected Amount USD]])</f>
        <v>2016673.6820369996</v>
      </c>
      <c r="BB805" s="21">
        <f>IF(OR(tblsales[[#This Row],[Contract Value USD]]="",tblsales[[#This Row],[Cost Estimate USD]]=""),"",tblsales[[#This Row],[Contract Value USD]]-tblsales[[#This Row],[Cost Estimate USD]])</f>
        <v>1428998.7518519992</v>
      </c>
      <c r="BC805" s="21">
        <f>IF(OR(tblsales[[#This Row],[Contract Value USD]]="",tblsales[[#This Row],[Cost Estimate USD]]=""),"",tblsales[[#This Row],[Contract Value USD]]-tblsales[[#This Row],[Cost Estimate USD]])</f>
        <v>1428998.7518519992</v>
      </c>
      <c r="BD805" s="23">
        <f>IF(tblsales[[#This Row],[Invoice Value USD]]="","",tblsales[[#This Row],[Collected Amount USD]]/tblsales[[#This Row],[Invoice Value USD]])</f>
        <v>0.67909440692416057</v>
      </c>
      <c r="BE805" s="11">
        <f>IF(tblsales[[#This Row],[SalesStage]]="Won",1,0)</f>
        <v>0</v>
      </c>
      <c r="BF805" s="21" t="str">
        <f>IF(tblsales[[#This Row],[Win Flag]]=1,"Won","Lost")</f>
        <v>Lost</v>
      </c>
      <c r="BG805" s="8"/>
    </row>
    <row r="806" spans="1:59" x14ac:dyDescent="0.3">
      <c r="A806" s="10" t="s">
        <v>2709</v>
      </c>
      <c r="B806" s="9">
        <v>45841</v>
      </c>
      <c r="C806" s="10" t="s">
        <v>247</v>
      </c>
      <c r="D806" s="10" t="s">
        <v>262</v>
      </c>
      <c r="E806" s="10" t="s">
        <v>332</v>
      </c>
      <c r="F806" s="10" t="s">
        <v>196</v>
      </c>
      <c r="G806" s="10" t="s">
        <v>62</v>
      </c>
      <c r="H806" s="10" t="s">
        <v>236</v>
      </c>
      <c r="I806" s="10" t="s">
        <v>332</v>
      </c>
      <c r="J806" s="10" t="s">
        <v>99</v>
      </c>
      <c r="K806" s="10" t="s">
        <v>223</v>
      </c>
      <c r="L806" s="10" t="s">
        <v>2710</v>
      </c>
      <c r="M806" s="9">
        <v>45765</v>
      </c>
      <c r="N806" s="9"/>
      <c r="O806" s="9">
        <v>45905</v>
      </c>
      <c r="P806" s="11"/>
      <c r="Q806" s="12">
        <v>34044824</v>
      </c>
      <c r="R806">
        <v>39526040.664000005</v>
      </c>
      <c r="S806" s="22">
        <v>0.31</v>
      </c>
      <c r="T806" s="22">
        <v>0.12</v>
      </c>
      <c r="U806" s="12">
        <v>26309839.989999998</v>
      </c>
      <c r="V806" s="24">
        <v>30545724.228390001</v>
      </c>
      <c r="W806" s="8">
        <v>20678547.82</v>
      </c>
      <c r="X806" s="24">
        <v>24007794.019020002</v>
      </c>
      <c r="Y806" s="22">
        <v>0.36</v>
      </c>
      <c r="Z806" s="22">
        <v>0.09</v>
      </c>
      <c r="AA806" s="8" t="s">
        <v>2711</v>
      </c>
      <c r="AB806" s="8">
        <v>14964613.039999999</v>
      </c>
      <c r="AC806" s="24">
        <v>17373915.739439998</v>
      </c>
      <c r="AD806" s="8">
        <v>16202906.630000001</v>
      </c>
      <c r="AE806" s="24">
        <v>18811574.597430002</v>
      </c>
      <c r="AF806" s="8">
        <v>30</v>
      </c>
      <c r="AG806" s="8">
        <v>18</v>
      </c>
      <c r="AH806" s="8" t="s">
        <v>376</v>
      </c>
      <c r="AI806" s="8" t="s">
        <v>381</v>
      </c>
      <c r="AJ806" s="22">
        <v>0.94</v>
      </c>
      <c r="AK806" s="8" t="s">
        <v>159</v>
      </c>
      <c r="AL806" s="22">
        <v>0.15</v>
      </c>
      <c r="AM806" s="22">
        <v>7.0000000000000007E-2</v>
      </c>
      <c r="AN806" s="8">
        <v>12</v>
      </c>
      <c r="AO806" s="8">
        <v>2136</v>
      </c>
      <c r="AP806" s="8">
        <v>3767360.52</v>
      </c>
      <c r="AQ806" s="24">
        <v>4373905.56372</v>
      </c>
      <c r="AR806" s="8"/>
      <c r="AS806" s="37"/>
      <c r="AT806" s="8" t="s">
        <v>321</v>
      </c>
      <c r="AU806" s="8" t="s">
        <v>386</v>
      </c>
      <c r="AV806" s="8">
        <v>93.6</v>
      </c>
      <c r="AW806" s="8">
        <v>60</v>
      </c>
      <c r="AX806" s="8" t="s">
        <v>332</v>
      </c>
      <c r="AY806" s="8" t="s">
        <v>206</v>
      </c>
      <c r="AZ806" s="8" t="s">
        <v>188</v>
      </c>
      <c r="BA806" s="21">
        <f>IF(OR(tblsales[[#This Row],[Invoice Value USD]]="",tblsales[[#This Row],[Collected Amount USD]]=""),"",tblsales[[#This Row],[Invoice Value USD]]-tblsales[[#This Row],[Collected Amount USD]])</f>
        <v>-1437658.8579900041</v>
      </c>
      <c r="BB806" s="21">
        <f>IF(OR(tblsales[[#This Row],[Contract Value USD]]="",tblsales[[#This Row],[Cost Estimate USD]]=""),"",tblsales[[#This Row],[Contract Value USD]]-tblsales[[#This Row],[Cost Estimate USD]])</f>
        <v>6537930.2093699984</v>
      </c>
      <c r="BC806" s="21">
        <f>IF(OR(tblsales[[#This Row],[Contract Value USD]]="",tblsales[[#This Row],[Cost Estimate USD]]=""),"",tblsales[[#This Row],[Contract Value USD]]-tblsales[[#This Row],[Cost Estimate USD]])</f>
        <v>6537930.2093699984</v>
      </c>
      <c r="BD806" s="23">
        <f>IF(tblsales[[#This Row],[Invoice Value USD]]="","",tblsales[[#This Row],[Collected Amount USD]]/tblsales[[#This Row],[Invoice Value USD]])</f>
        <v>1.0827481196266204</v>
      </c>
      <c r="BE806" s="11">
        <f>IF(tblsales[[#This Row],[SalesStage]]="Won",1,0)</f>
        <v>0</v>
      </c>
      <c r="BF806" s="21" t="str">
        <f>IF(tblsales[[#This Row],[Win Flag]]=1,"Won","Lost")</f>
        <v>Lost</v>
      </c>
      <c r="BG806" s="8"/>
    </row>
    <row r="807" spans="1:59" x14ac:dyDescent="0.3">
      <c r="A807" s="10" t="s">
        <v>2712</v>
      </c>
      <c r="B807" s="9">
        <v>45681</v>
      </c>
      <c r="C807" s="10" t="s">
        <v>225</v>
      </c>
      <c r="D807" s="10" t="s">
        <v>245</v>
      </c>
      <c r="E807" s="10" t="s">
        <v>113</v>
      </c>
      <c r="F807" s="10" t="s">
        <v>367</v>
      </c>
      <c r="G807" s="10" t="s">
        <v>57</v>
      </c>
      <c r="H807" s="10" t="s">
        <v>182</v>
      </c>
      <c r="I807" s="10" t="s">
        <v>183</v>
      </c>
      <c r="J807" s="10" t="s">
        <v>111</v>
      </c>
      <c r="K807" s="10" t="s">
        <v>333</v>
      </c>
      <c r="L807" s="10" t="s">
        <v>2713</v>
      </c>
      <c r="M807" s="9">
        <v>45646</v>
      </c>
      <c r="N807" s="9"/>
      <c r="O807" s="9">
        <v>45738</v>
      </c>
      <c r="P807" s="11">
        <v>56</v>
      </c>
      <c r="Q807" s="12">
        <v>36389312</v>
      </c>
      <c r="R807">
        <v>42247991.232000001</v>
      </c>
      <c r="S807" s="22">
        <v>0.25</v>
      </c>
      <c r="T807" s="22">
        <v>0.05</v>
      </c>
      <c r="U807" s="12">
        <v>28656583.199999999</v>
      </c>
      <c r="V807" s="24">
        <v>33270293.095199998</v>
      </c>
      <c r="W807" s="8">
        <v>20849056.91</v>
      </c>
      <c r="X807" s="24">
        <v>24205755.07251</v>
      </c>
      <c r="Y807" s="22">
        <v>0.3</v>
      </c>
      <c r="Z807" s="22">
        <v>0.11</v>
      </c>
      <c r="AA807" s="8" t="s">
        <v>2714</v>
      </c>
      <c r="AB807" s="8">
        <v>23072030.989999998</v>
      </c>
      <c r="AC807" s="24">
        <v>26786627.979389999</v>
      </c>
      <c r="AD807" s="8">
        <v>22439019.629999999</v>
      </c>
      <c r="AE807" s="24">
        <v>26051701.790429998</v>
      </c>
      <c r="AF807" s="8">
        <v>45</v>
      </c>
      <c r="AG807" s="8">
        <v>125</v>
      </c>
      <c r="AH807" s="8" t="s">
        <v>353</v>
      </c>
      <c r="AI807" s="8" t="s">
        <v>406</v>
      </c>
      <c r="AJ807" s="22">
        <v>0.21</v>
      </c>
      <c r="AK807" s="8" t="s">
        <v>159</v>
      </c>
      <c r="AL807" s="22">
        <v>0.1</v>
      </c>
      <c r="AM807" s="22">
        <v>0.08</v>
      </c>
      <c r="AN807" s="8">
        <v>3</v>
      </c>
      <c r="AO807" s="8">
        <v>3545</v>
      </c>
      <c r="AP807" s="8">
        <v>6653563.9400000004</v>
      </c>
      <c r="AQ807" s="24">
        <v>7724787.7343400009</v>
      </c>
      <c r="AR807" s="8">
        <v>11308467.23</v>
      </c>
      <c r="AS807" s="37">
        <v>13129130.454030002</v>
      </c>
      <c r="AT807" s="8" t="s">
        <v>73</v>
      </c>
      <c r="AU807" s="8" t="s">
        <v>386</v>
      </c>
      <c r="AV807" s="8">
        <v>83.1</v>
      </c>
      <c r="AW807" s="8">
        <v>24</v>
      </c>
      <c r="AX807" s="8" t="s">
        <v>332</v>
      </c>
      <c r="AY807" s="8" t="s">
        <v>229</v>
      </c>
      <c r="AZ807" s="8" t="s">
        <v>357</v>
      </c>
      <c r="BA807" s="21">
        <f>IF(OR(tblsales[[#This Row],[Invoice Value USD]]="",tblsales[[#This Row],[Collected Amount USD]]=""),"",tblsales[[#This Row],[Invoice Value USD]]-tblsales[[#This Row],[Collected Amount USD]])</f>
        <v>734926.18896000087</v>
      </c>
      <c r="BB807" s="21">
        <f>IF(OR(tblsales[[#This Row],[Contract Value USD]]="",tblsales[[#This Row],[Cost Estimate USD]]=""),"",tblsales[[#This Row],[Contract Value USD]]-tblsales[[#This Row],[Cost Estimate USD]])</f>
        <v>9064538.0226899981</v>
      </c>
      <c r="BC807" s="21">
        <f>IF(OR(tblsales[[#This Row],[Contract Value USD]]="",tblsales[[#This Row],[Cost Estimate USD]]=""),"",tblsales[[#This Row],[Contract Value USD]]-tblsales[[#This Row],[Cost Estimate USD]])</f>
        <v>9064538.0226899981</v>
      </c>
      <c r="BD807" s="23">
        <f>IF(tblsales[[#This Row],[Invoice Value USD]]="","",tblsales[[#This Row],[Collected Amount USD]]/tblsales[[#This Row],[Invoice Value USD]])</f>
        <v>0.97256369149840494</v>
      </c>
      <c r="BE807" s="11">
        <f>IF(tblsales[[#This Row],[SalesStage]]="Won",1,0)</f>
        <v>0</v>
      </c>
      <c r="BF807" s="21" t="str">
        <f>IF(tblsales[[#This Row],[Win Flag]]=1,"Won","Lost")</f>
        <v>Lost</v>
      </c>
      <c r="BG807" s="8"/>
    </row>
    <row r="808" spans="1:59" x14ac:dyDescent="0.3">
      <c r="A808" s="10" t="s">
        <v>2715</v>
      </c>
      <c r="B808" s="9">
        <v>45865</v>
      </c>
      <c r="C808" s="10" t="s">
        <v>230</v>
      </c>
      <c r="D808" s="10" t="s">
        <v>209</v>
      </c>
      <c r="E808" s="10" t="s">
        <v>20</v>
      </c>
      <c r="F808" s="10" t="s">
        <v>196</v>
      </c>
      <c r="G808" s="10" t="s">
        <v>46</v>
      </c>
      <c r="H808" s="10" t="s">
        <v>182</v>
      </c>
      <c r="I808" s="10" t="s">
        <v>191</v>
      </c>
      <c r="J808" s="10" t="s">
        <v>136</v>
      </c>
      <c r="K808" s="10" t="s">
        <v>221</v>
      </c>
      <c r="L808" s="10" t="s">
        <v>2716</v>
      </c>
      <c r="M808" s="9">
        <v>45936</v>
      </c>
      <c r="N808" s="9"/>
      <c r="O808" s="9">
        <v>45927</v>
      </c>
      <c r="P808" s="11">
        <v>21</v>
      </c>
      <c r="Q808" s="12">
        <v>43971989</v>
      </c>
      <c r="R808">
        <v>51051479.229000002</v>
      </c>
      <c r="S808" s="22">
        <v>0.34</v>
      </c>
      <c r="T808" s="22">
        <v>0.18</v>
      </c>
      <c r="U808" s="12">
        <v>34245385.030000001</v>
      </c>
      <c r="V808" s="24">
        <v>39758892.019830003</v>
      </c>
      <c r="W808" s="8">
        <v>29505545.27</v>
      </c>
      <c r="X808" s="24">
        <v>34255938.058470003</v>
      </c>
      <c r="Y808" s="22">
        <v>0.39</v>
      </c>
      <c r="Z808" s="22">
        <v>0.1</v>
      </c>
      <c r="AA808" s="8" t="s">
        <v>2717</v>
      </c>
      <c r="AB808" s="8">
        <v>14042890.27</v>
      </c>
      <c r="AC808" s="24">
        <v>16303795.60347</v>
      </c>
      <c r="AD808" s="8">
        <v>4689373.03</v>
      </c>
      <c r="AE808" s="24">
        <v>5444362.0878300006</v>
      </c>
      <c r="AF808" s="8">
        <v>90</v>
      </c>
      <c r="AG808" s="8">
        <v>27</v>
      </c>
      <c r="AH808" s="8" t="s">
        <v>342</v>
      </c>
      <c r="AI808" s="8" t="s">
        <v>336</v>
      </c>
      <c r="AJ808" s="22">
        <v>0.42</v>
      </c>
      <c r="AK808" s="8" t="s">
        <v>159</v>
      </c>
      <c r="AL808" s="22">
        <v>0.1</v>
      </c>
      <c r="AM808" s="22">
        <v>0.02</v>
      </c>
      <c r="AN808" s="8">
        <v>8</v>
      </c>
      <c r="AO808" s="8">
        <v>4644</v>
      </c>
      <c r="AP808" s="8">
        <v>4186895.36</v>
      </c>
      <c r="AQ808" s="24">
        <v>4860985.51296</v>
      </c>
      <c r="AR808" s="8">
        <v>16683651.390000001</v>
      </c>
      <c r="AS808" s="37">
        <v>19369719.26379</v>
      </c>
      <c r="AT808" s="8" t="s">
        <v>73</v>
      </c>
      <c r="AU808" s="8" t="s">
        <v>386</v>
      </c>
      <c r="AV808" s="8">
        <v>59.3</v>
      </c>
      <c r="AW808" s="8">
        <v>12</v>
      </c>
      <c r="AX808" s="8" t="s">
        <v>387</v>
      </c>
      <c r="AY808" s="8" t="s">
        <v>192</v>
      </c>
      <c r="AZ808" s="8" t="s">
        <v>188</v>
      </c>
      <c r="BA808" s="21">
        <f>IF(OR(tblsales[[#This Row],[Invoice Value USD]]="",tblsales[[#This Row],[Collected Amount USD]]=""),"",tblsales[[#This Row],[Invoice Value USD]]-tblsales[[#This Row],[Collected Amount USD]])</f>
        <v>10859433.515639998</v>
      </c>
      <c r="BB808" s="21">
        <f>IF(OR(tblsales[[#This Row],[Contract Value USD]]="",tblsales[[#This Row],[Cost Estimate USD]]=""),"",tblsales[[#This Row],[Contract Value USD]]-tblsales[[#This Row],[Cost Estimate USD]])</f>
        <v>5502953.9613600001</v>
      </c>
      <c r="BC808" s="21">
        <f>IF(OR(tblsales[[#This Row],[Contract Value USD]]="",tblsales[[#This Row],[Cost Estimate USD]]=""),"",tblsales[[#This Row],[Contract Value USD]]-tblsales[[#This Row],[Cost Estimate USD]])</f>
        <v>5502953.9613600001</v>
      </c>
      <c r="BD808" s="23">
        <f>IF(tblsales[[#This Row],[Invoice Value USD]]="","",tblsales[[#This Row],[Collected Amount USD]]/tblsales[[#This Row],[Invoice Value USD]])</f>
        <v>0.33393218488774823</v>
      </c>
      <c r="BE808" s="11">
        <f>IF(tblsales[[#This Row],[SalesStage]]="Won",1,0)</f>
        <v>0</v>
      </c>
      <c r="BF808" s="21" t="str">
        <f>IF(tblsales[[#This Row],[Win Flag]]=1,"Won","Lost")</f>
        <v>Lost</v>
      </c>
      <c r="BG808" s="8"/>
    </row>
    <row r="809" spans="1:59" x14ac:dyDescent="0.3">
      <c r="A809" s="10" t="s">
        <v>2718</v>
      </c>
      <c r="B809" s="9">
        <v>45765</v>
      </c>
      <c r="C809" s="10" t="s">
        <v>225</v>
      </c>
      <c r="D809" s="10" t="s">
        <v>255</v>
      </c>
      <c r="E809" s="10" t="s">
        <v>113</v>
      </c>
      <c r="F809" s="10" t="s">
        <v>181</v>
      </c>
      <c r="G809" s="10" t="s">
        <v>46</v>
      </c>
      <c r="H809" s="10" t="s">
        <v>216</v>
      </c>
      <c r="I809" s="10" t="s">
        <v>183</v>
      </c>
      <c r="J809" s="10" t="s">
        <v>127</v>
      </c>
      <c r="K809" s="10" t="s">
        <v>210</v>
      </c>
      <c r="L809" s="10" t="s">
        <v>2719</v>
      </c>
      <c r="M809" s="9">
        <v>45718</v>
      </c>
      <c r="N809" s="9">
        <v>45783</v>
      </c>
      <c r="O809" s="9">
        <v>45824</v>
      </c>
      <c r="P809" s="11">
        <v>33</v>
      </c>
      <c r="Q809" s="12">
        <v>6722391</v>
      </c>
      <c r="R809">
        <v>6722391</v>
      </c>
      <c r="S809" s="22">
        <v>0.28000000000000003</v>
      </c>
      <c r="T809" s="22">
        <v>0.05</v>
      </c>
      <c r="U809" s="12">
        <v>5082127.5999999996</v>
      </c>
      <c r="V809" s="24">
        <v>5082127.5999999996</v>
      </c>
      <c r="W809" s="8"/>
      <c r="X809" s="24"/>
      <c r="Y809" s="22">
        <v>0.28000000000000003</v>
      </c>
      <c r="Z809" s="22">
        <v>7.0000000000000007E-2</v>
      </c>
      <c r="AA809" s="8" t="s">
        <v>2720</v>
      </c>
      <c r="AB809" s="8">
        <v>3984716.63</v>
      </c>
      <c r="AC809" s="24">
        <v>3984716.63</v>
      </c>
      <c r="AD809" s="8">
        <v>2192276.27</v>
      </c>
      <c r="AE809" s="24">
        <v>2192276.27</v>
      </c>
      <c r="AF809" s="8">
        <v>120</v>
      </c>
      <c r="AG809" s="8">
        <v>51</v>
      </c>
      <c r="AH809" s="8" t="s">
        <v>332</v>
      </c>
      <c r="AI809" s="8" t="s">
        <v>336</v>
      </c>
      <c r="AJ809" s="22">
        <v>0.23</v>
      </c>
      <c r="AK809" s="8" t="s">
        <v>152</v>
      </c>
      <c r="AL809" s="22">
        <v>0.1</v>
      </c>
      <c r="AM809" s="22">
        <v>0.02</v>
      </c>
      <c r="AN809" s="8">
        <v>10</v>
      </c>
      <c r="AO809" s="8">
        <v>3191</v>
      </c>
      <c r="AP809" s="8">
        <v>1111834.69</v>
      </c>
      <c r="AQ809" s="24">
        <v>1111834.69</v>
      </c>
      <c r="AR809" s="8">
        <v>2286531.96</v>
      </c>
      <c r="AS809" s="37">
        <v>2286531.96</v>
      </c>
      <c r="AT809" s="8" t="s">
        <v>355</v>
      </c>
      <c r="AU809" s="8" t="s">
        <v>348</v>
      </c>
      <c r="AV809" s="8">
        <v>52.1</v>
      </c>
      <c r="AW809" s="8">
        <v>60</v>
      </c>
      <c r="AX809" s="8" t="s">
        <v>387</v>
      </c>
      <c r="AY809" s="8" t="s">
        <v>229</v>
      </c>
      <c r="AZ809" s="8" t="s">
        <v>324</v>
      </c>
      <c r="BA809" s="21">
        <f>IF(OR(tblsales[[#This Row],[Invoice Value USD]]="",tblsales[[#This Row],[Collected Amount USD]]=""),"",tblsales[[#This Row],[Invoice Value USD]]-tblsales[[#This Row],[Collected Amount USD]])</f>
        <v>1792440.3599999999</v>
      </c>
      <c r="BB809" s="21" t="str">
        <f>IF(OR(tblsales[[#This Row],[Contract Value USD]]="",tblsales[[#This Row],[Cost Estimate USD]]=""),"",tblsales[[#This Row],[Contract Value USD]]-tblsales[[#This Row],[Cost Estimate USD]])</f>
        <v/>
      </c>
      <c r="BC809" s="21" t="str">
        <f>IF(OR(tblsales[[#This Row],[Contract Value USD]]="",tblsales[[#This Row],[Cost Estimate USD]]=""),"",tblsales[[#This Row],[Contract Value USD]]-tblsales[[#This Row],[Cost Estimate USD]])</f>
        <v/>
      </c>
      <c r="BD809" s="23">
        <f>IF(tblsales[[#This Row],[Invoice Value USD]]="","",tblsales[[#This Row],[Collected Amount USD]]/tblsales[[#This Row],[Invoice Value USD]])</f>
        <v>0.55017118494571593</v>
      </c>
      <c r="BE809" s="11">
        <f>IF(tblsales[[#This Row],[SalesStage]]="Won",1,0)</f>
        <v>0</v>
      </c>
      <c r="BF809" s="21" t="str">
        <f>IF(tblsales[[#This Row],[Win Flag]]=1,"Won","Lost")</f>
        <v>Lost</v>
      </c>
      <c r="BG809" s="8"/>
    </row>
    <row r="810" spans="1:59" x14ac:dyDescent="0.3">
      <c r="A810" s="10" t="s">
        <v>2721</v>
      </c>
      <c r="B810" s="9">
        <v>45981</v>
      </c>
      <c r="C810" s="10" t="s">
        <v>239</v>
      </c>
      <c r="D810" s="10" t="s">
        <v>265</v>
      </c>
      <c r="E810" s="10" t="s">
        <v>332</v>
      </c>
      <c r="F810" s="10" t="s">
        <v>35</v>
      </c>
      <c r="G810" s="10" t="s">
        <v>33</v>
      </c>
      <c r="H810" s="10" t="s">
        <v>263</v>
      </c>
      <c r="I810" s="10" t="s">
        <v>191</v>
      </c>
      <c r="J810" s="10" t="s">
        <v>99</v>
      </c>
      <c r="K810" s="10" t="s">
        <v>210</v>
      </c>
      <c r="L810" s="10" t="s">
        <v>2722</v>
      </c>
      <c r="M810" s="9">
        <v>45960</v>
      </c>
      <c r="N810" s="9"/>
      <c r="O810" s="9">
        <v>46038</v>
      </c>
      <c r="P810" s="11"/>
      <c r="Q810" s="12">
        <v>20352787</v>
      </c>
      <c r="R810">
        <v>20352787</v>
      </c>
      <c r="S810" s="22">
        <v>0.34</v>
      </c>
      <c r="T810" s="22">
        <v>0.03</v>
      </c>
      <c r="U810" s="12">
        <v>13835824.6</v>
      </c>
      <c r="V810" s="24">
        <v>13835824.6</v>
      </c>
      <c r="W810" s="8">
        <v>10307612.16</v>
      </c>
      <c r="X810" s="24">
        <v>10307612.16</v>
      </c>
      <c r="Y810" s="22">
        <v>7.0000000000000007E-2</v>
      </c>
      <c r="Z810" s="22">
        <v>0.14000000000000001</v>
      </c>
      <c r="AA810" s="8" t="s">
        <v>2723</v>
      </c>
      <c r="AB810" s="8">
        <v>4330801.91</v>
      </c>
      <c r="AC810" s="24">
        <v>4330801.91</v>
      </c>
      <c r="AD810" s="8">
        <v>3307167.3</v>
      </c>
      <c r="AE810" s="24">
        <v>3307167.3</v>
      </c>
      <c r="AF810" s="8">
        <v>30</v>
      </c>
      <c r="AG810" s="8">
        <v>8</v>
      </c>
      <c r="AH810" s="8" t="s">
        <v>347</v>
      </c>
      <c r="AI810" s="8" t="s">
        <v>320</v>
      </c>
      <c r="AJ810" s="22">
        <v>0.67</v>
      </c>
      <c r="AK810" s="8" t="s">
        <v>152</v>
      </c>
      <c r="AL810" s="22">
        <v>0.05</v>
      </c>
      <c r="AM810" s="22">
        <v>0.08</v>
      </c>
      <c r="AN810" s="8">
        <v>13</v>
      </c>
      <c r="AO810" s="8">
        <v>1775</v>
      </c>
      <c r="AP810" s="8">
        <v>2578416.23</v>
      </c>
      <c r="AQ810" s="24">
        <v>2578416.23</v>
      </c>
      <c r="AR810" s="8">
        <v>2446005.84</v>
      </c>
      <c r="AS810" s="37">
        <v>2446005.84</v>
      </c>
      <c r="AT810" s="8" t="s">
        <v>343</v>
      </c>
      <c r="AU810" s="8" t="s">
        <v>322</v>
      </c>
      <c r="AV810" s="8">
        <v>56.7</v>
      </c>
      <c r="AW810" s="8">
        <v>60</v>
      </c>
      <c r="AX810" s="8" t="s">
        <v>332</v>
      </c>
      <c r="AY810" s="8" t="s">
        <v>186</v>
      </c>
      <c r="AZ810" s="8" t="s">
        <v>332</v>
      </c>
      <c r="BA810" s="21">
        <f>IF(OR(tblsales[[#This Row],[Invoice Value USD]]="",tblsales[[#This Row],[Collected Amount USD]]=""),"",tblsales[[#This Row],[Invoice Value USD]]-tblsales[[#This Row],[Collected Amount USD]])</f>
        <v>1023634.6100000003</v>
      </c>
      <c r="BB810" s="21">
        <f>IF(OR(tblsales[[#This Row],[Contract Value USD]]="",tblsales[[#This Row],[Cost Estimate USD]]=""),"",tblsales[[#This Row],[Contract Value USD]]-tblsales[[#This Row],[Cost Estimate USD]])</f>
        <v>3528212.4399999995</v>
      </c>
      <c r="BC810" s="21">
        <f>IF(OR(tblsales[[#This Row],[Contract Value USD]]="",tblsales[[#This Row],[Cost Estimate USD]]=""),"",tblsales[[#This Row],[Contract Value USD]]-tblsales[[#This Row],[Cost Estimate USD]])</f>
        <v>3528212.4399999995</v>
      </c>
      <c r="BD810" s="23">
        <f>IF(tblsales[[#This Row],[Invoice Value USD]]="","",tblsales[[#This Row],[Collected Amount USD]]/tblsales[[#This Row],[Invoice Value USD]])</f>
        <v>0.76363855210362175</v>
      </c>
      <c r="BE810" s="11">
        <f>IF(tblsales[[#This Row],[SalesStage]]="Won",1,0)</f>
        <v>1</v>
      </c>
      <c r="BF810" s="21" t="str">
        <f>IF(tblsales[[#This Row],[Win Flag]]=1,"Won","Lost")</f>
        <v>Won</v>
      </c>
      <c r="BG810" s="8"/>
    </row>
    <row r="811" spans="1:59" x14ac:dyDescent="0.3">
      <c r="A811" s="10" t="s">
        <v>2724</v>
      </c>
      <c r="B811" s="9">
        <v>45810</v>
      </c>
      <c r="C811" s="10" t="s">
        <v>217</v>
      </c>
      <c r="D811" s="10" t="s">
        <v>220</v>
      </c>
      <c r="E811" s="10" t="s">
        <v>41</v>
      </c>
      <c r="F811" s="10" t="s">
        <v>350</v>
      </c>
      <c r="G811" s="10" t="s">
        <v>46</v>
      </c>
      <c r="H811" s="10" t="s">
        <v>216</v>
      </c>
      <c r="I811" s="10" t="s">
        <v>183</v>
      </c>
      <c r="J811" s="10" t="s">
        <v>105</v>
      </c>
      <c r="K811" s="10" t="s">
        <v>223</v>
      </c>
      <c r="L811" s="10" t="s">
        <v>2725</v>
      </c>
      <c r="M811" s="9">
        <v>45737</v>
      </c>
      <c r="N811" s="9"/>
      <c r="O811" s="9"/>
      <c r="P811" s="11">
        <v>10</v>
      </c>
      <c r="Q811" s="12">
        <v>33088120</v>
      </c>
      <c r="R811">
        <v>9089306.5639999993</v>
      </c>
      <c r="S811" s="22">
        <v>0.34</v>
      </c>
      <c r="T811" s="22">
        <v>-0.03</v>
      </c>
      <c r="U811" s="12">
        <v>21183014.420000002</v>
      </c>
      <c r="V811" s="24">
        <v>5818974.0611740006</v>
      </c>
      <c r="W811" s="8">
        <v>14896102.93</v>
      </c>
      <c r="X811" s="24">
        <v>4091959.4748709998</v>
      </c>
      <c r="Y811" s="22">
        <v>0.27</v>
      </c>
      <c r="Z811" s="22">
        <v>0.16</v>
      </c>
      <c r="AA811" s="8" t="s">
        <v>2726</v>
      </c>
      <c r="AB811" s="8">
        <v>11120859.01</v>
      </c>
      <c r="AC811" s="24">
        <v>3054899.9700469999</v>
      </c>
      <c r="AD811" s="8">
        <v>10026396.699999999</v>
      </c>
      <c r="AE811" s="24">
        <v>2754251.17349</v>
      </c>
      <c r="AF811" s="8">
        <v>90</v>
      </c>
      <c r="AG811" s="8">
        <v>132</v>
      </c>
      <c r="AH811" s="8" t="s">
        <v>347</v>
      </c>
      <c r="AI811" s="8" t="s">
        <v>406</v>
      </c>
      <c r="AJ811" s="22"/>
      <c r="AK811" s="8" t="s">
        <v>155</v>
      </c>
      <c r="AL811" s="22">
        <v>0.05</v>
      </c>
      <c r="AM811" s="22">
        <v>0.01</v>
      </c>
      <c r="AN811" s="8">
        <v>0</v>
      </c>
      <c r="AO811" s="8">
        <v>892</v>
      </c>
      <c r="AP811" s="8">
        <v>4528158.46</v>
      </c>
      <c r="AQ811" s="24">
        <v>1243885.1289619999</v>
      </c>
      <c r="AR811" s="8">
        <v>7384858.9699999997</v>
      </c>
      <c r="AS811" s="37">
        <v>2028620.7590589998</v>
      </c>
      <c r="AT811" s="8" t="s">
        <v>73</v>
      </c>
      <c r="AU811" s="8" t="s">
        <v>356</v>
      </c>
      <c r="AV811" s="8">
        <v>78.900000000000006</v>
      </c>
      <c r="AW811" s="8">
        <v>60</v>
      </c>
      <c r="AX811" s="8" t="s">
        <v>323</v>
      </c>
      <c r="AY811" s="8" t="s">
        <v>206</v>
      </c>
      <c r="AZ811" s="8" t="s">
        <v>377</v>
      </c>
      <c r="BA811" s="21">
        <f>IF(OR(tblsales[[#This Row],[Invoice Value USD]]="",tblsales[[#This Row],[Collected Amount USD]]=""),"",tblsales[[#This Row],[Invoice Value USD]]-tblsales[[#This Row],[Collected Amount USD]])</f>
        <v>300648.79655699991</v>
      </c>
      <c r="BB811" s="21">
        <f>IF(OR(tblsales[[#This Row],[Contract Value USD]]="",tblsales[[#This Row],[Cost Estimate USD]]=""),"",tblsales[[#This Row],[Contract Value USD]]-tblsales[[#This Row],[Cost Estimate USD]])</f>
        <v>1727014.5863030008</v>
      </c>
      <c r="BC811" s="21">
        <f>IF(OR(tblsales[[#This Row],[Contract Value USD]]="",tblsales[[#This Row],[Cost Estimate USD]]=""),"",tblsales[[#This Row],[Contract Value USD]]-tblsales[[#This Row],[Cost Estimate USD]])</f>
        <v>1727014.5863030008</v>
      </c>
      <c r="BD811" s="23">
        <f>IF(tblsales[[#This Row],[Invoice Value USD]]="","",tblsales[[#This Row],[Collected Amount USD]]/tblsales[[#This Row],[Invoice Value USD]])</f>
        <v>0.90158473288656504</v>
      </c>
      <c r="BE811" s="11">
        <f>IF(tblsales[[#This Row],[SalesStage]]="Won",1,0)</f>
        <v>0</v>
      </c>
      <c r="BF811" s="21" t="str">
        <f>IF(tblsales[[#This Row],[Win Flag]]=1,"Won","Lost")</f>
        <v>Lost</v>
      </c>
      <c r="BG811" s="8"/>
    </row>
    <row r="812" spans="1:59" x14ac:dyDescent="0.3">
      <c r="A812" s="10" t="s">
        <v>2727</v>
      </c>
      <c r="B812" s="9">
        <v>45841</v>
      </c>
      <c r="C812" s="10" t="s">
        <v>283</v>
      </c>
      <c r="D812" s="10" t="s">
        <v>220</v>
      </c>
      <c r="E812" s="10" t="s">
        <v>36</v>
      </c>
      <c r="F812" s="10" t="s">
        <v>19</v>
      </c>
      <c r="G812" s="10" t="s">
        <v>16</v>
      </c>
      <c r="H812" s="10" t="s">
        <v>263</v>
      </c>
      <c r="I812" s="10" t="s">
        <v>240</v>
      </c>
      <c r="J812" s="10" t="s">
        <v>115</v>
      </c>
      <c r="K812" s="10" t="s">
        <v>221</v>
      </c>
      <c r="L812" s="10" t="s">
        <v>2728</v>
      </c>
      <c r="M812" s="9">
        <v>45679</v>
      </c>
      <c r="N812" s="9"/>
      <c r="O812" s="9"/>
      <c r="P812" s="11">
        <v>29</v>
      </c>
      <c r="Q812" s="12">
        <v>1412574</v>
      </c>
      <c r="R812">
        <v>1412574</v>
      </c>
      <c r="S812" s="22">
        <v>0.32</v>
      </c>
      <c r="T812" s="22">
        <v>0.16</v>
      </c>
      <c r="U812" s="12">
        <v>1114238.3700000001</v>
      </c>
      <c r="V812" s="24">
        <v>1114238.3700000001</v>
      </c>
      <c r="W812" s="8"/>
      <c r="X812" s="24"/>
      <c r="Y812" s="22">
        <v>0.12</v>
      </c>
      <c r="Z812" s="22">
        <v>0.08</v>
      </c>
      <c r="AA812" s="8" t="s">
        <v>2729</v>
      </c>
      <c r="AB812" s="8">
        <v>982234.18</v>
      </c>
      <c r="AC812" s="24">
        <v>982234.18</v>
      </c>
      <c r="AD812" s="8">
        <v>532472.31000000006</v>
      </c>
      <c r="AE812" s="24">
        <v>532472.31000000006</v>
      </c>
      <c r="AF812" s="8">
        <v>45</v>
      </c>
      <c r="AG812" s="8">
        <v>102</v>
      </c>
      <c r="AH812" s="8" t="s">
        <v>332</v>
      </c>
      <c r="AI812" s="8" t="s">
        <v>455</v>
      </c>
      <c r="AJ812" s="22">
        <v>7.0000000000000007E-2</v>
      </c>
      <c r="AK812" s="8" t="s">
        <v>152</v>
      </c>
      <c r="AL812" s="22">
        <v>0.15</v>
      </c>
      <c r="AM812" s="22">
        <v>0.1</v>
      </c>
      <c r="AN812" s="8">
        <v>2</v>
      </c>
      <c r="AO812" s="8">
        <v>2827</v>
      </c>
      <c r="AP812" s="8">
        <v>213214.34</v>
      </c>
      <c r="AQ812" s="24">
        <v>213214.34</v>
      </c>
      <c r="AR812" s="8">
        <v>413230.44</v>
      </c>
      <c r="AS812" s="37">
        <v>413230.44</v>
      </c>
      <c r="AT812" s="8" t="s">
        <v>343</v>
      </c>
      <c r="AU812" s="8" t="s">
        <v>356</v>
      </c>
      <c r="AV812" s="8">
        <v>89.6</v>
      </c>
      <c r="AW812" s="8">
        <v>60</v>
      </c>
      <c r="AX812" s="8" t="s">
        <v>332</v>
      </c>
      <c r="AY812" s="8" t="s">
        <v>186</v>
      </c>
      <c r="AZ812" s="8" t="s">
        <v>332</v>
      </c>
      <c r="BA812" s="21">
        <f>IF(OR(tblsales[[#This Row],[Invoice Value USD]]="",tblsales[[#This Row],[Collected Amount USD]]=""),"",tblsales[[#This Row],[Invoice Value USD]]-tblsales[[#This Row],[Collected Amount USD]])</f>
        <v>449761.87</v>
      </c>
      <c r="BB812" s="21" t="str">
        <f>IF(OR(tblsales[[#This Row],[Contract Value USD]]="",tblsales[[#This Row],[Cost Estimate USD]]=""),"",tblsales[[#This Row],[Contract Value USD]]-tblsales[[#This Row],[Cost Estimate USD]])</f>
        <v/>
      </c>
      <c r="BC812" s="21" t="str">
        <f>IF(OR(tblsales[[#This Row],[Contract Value USD]]="",tblsales[[#This Row],[Cost Estimate USD]]=""),"",tblsales[[#This Row],[Contract Value USD]]-tblsales[[#This Row],[Cost Estimate USD]])</f>
        <v/>
      </c>
      <c r="BD812" s="23">
        <f>IF(tblsales[[#This Row],[Invoice Value USD]]="","",tblsales[[#This Row],[Collected Amount USD]]/tblsales[[#This Row],[Invoice Value USD]])</f>
        <v>0.54210321819588891</v>
      </c>
      <c r="BE812" s="11">
        <f>IF(tblsales[[#This Row],[SalesStage]]="Won",1,0)</f>
        <v>0</v>
      </c>
      <c r="BF812" s="21" t="str">
        <f>IF(tblsales[[#This Row],[Win Flag]]=1,"Won","Lost")</f>
        <v>Lost</v>
      </c>
      <c r="BG812" s="8"/>
    </row>
    <row r="813" spans="1:59" x14ac:dyDescent="0.3">
      <c r="A813" s="10" t="s">
        <v>2730</v>
      </c>
      <c r="B813" s="9">
        <v>45963</v>
      </c>
      <c r="C813" s="10" t="s">
        <v>214</v>
      </c>
      <c r="D813" s="10" t="s">
        <v>232</v>
      </c>
      <c r="E813" s="10" t="s">
        <v>113</v>
      </c>
      <c r="F813" s="10" t="s">
        <v>332</v>
      </c>
      <c r="G813" s="10" t="s">
        <v>16</v>
      </c>
      <c r="H813" s="10" t="s">
        <v>212</v>
      </c>
      <c r="I813" s="10" t="s">
        <v>213</v>
      </c>
      <c r="J813" s="10" t="s">
        <v>111</v>
      </c>
      <c r="K813" s="10" t="s">
        <v>184</v>
      </c>
      <c r="L813" s="10" t="s">
        <v>2731</v>
      </c>
      <c r="M813" s="9">
        <v>45923</v>
      </c>
      <c r="N813" s="9">
        <v>46015</v>
      </c>
      <c r="O813" s="9">
        <v>46080</v>
      </c>
      <c r="P813" s="11">
        <v>46</v>
      </c>
      <c r="Q813" s="12">
        <v>33449458</v>
      </c>
      <c r="R813">
        <v>33449458</v>
      </c>
      <c r="S813" s="22">
        <v>0.02</v>
      </c>
      <c r="T813" s="22">
        <v>0.05</v>
      </c>
      <c r="U813" s="12">
        <v>34419492.280000001</v>
      </c>
      <c r="V813" s="24">
        <v>34419492.280000001</v>
      </c>
      <c r="W813" s="8">
        <v>22253993.940000001</v>
      </c>
      <c r="X813" s="24">
        <v>22253993.940000001</v>
      </c>
      <c r="Y813" s="22">
        <v>0.37</v>
      </c>
      <c r="Z813" s="22">
        <v>0.1</v>
      </c>
      <c r="AA813" s="8" t="s">
        <v>2732</v>
      </c>
      <c r="AB813" s="8">
        <v>17852104.93</v>
      </c>
      <c r="AC813" s="24">
        <v>17852104.93</v>
      </c>
      <c r="AD813" s="8">
        <v>15366885.92</v>
      </c>
      <c r="AE813" s="24">
        <v>15366885.92</v>
      </c>
      <c r="AF813" s="8">
        <v>60</v>
      </c>
      <c r="AG813" s="8">
        <v>92</v>
      </c>
      <c r="AH813" s="8" t="s">
        <v>332</v>
      </c>
      <c r="AI813" s="8" t="s">
        <v>226</v>
      </c>
      <c r="AJ813" s="22">
        <v>0.97</v>
      </c>
      <c r="AK813" s="8" t="s">
        <v>152</v>
      </c>
      <c r="AL813" s="22">
        <v>0.05</v>
      </c>
      <c r="AM813" s="22">
        <v>7.0000000000000007E-2</v>
      </c>
      <c r="AN813" s="8">
        <v>6</v>
      </c>
      <c r="AO813" s="8">
        <v>1559</v>
      </c>
      <c r="AP813" s="8">
        <v>1831560.73</v>
      </c>
      <c r="AQ813" s="24">
        <v>1831560.73</v>
      </c>
      <c r="AR813" s="8"/>
      <c r="AS813" s="37"/>
      <c r="AT813" s="8" t="s">
        <v>355</v>
      </c>
      <c r="AU813" s="8" t="s">
        <v>348</v>
      </c>
      <c r="AV813" s="8">
        <v>68.900000000000006</v>
      </c>
      <c r="AW813" s="8">
        <v>60</v>
      </c>
      <c r="AX813" s="8" t="s">
        <v>392</v>
      </c>
      <c r="AY813" s="8" t="s">
        <v>186</v>
      </c>
      <c r="AZ813" s="8" t="s">
        <v>361</v>
      </c>
      <c r="BA813" s="21">
        <f>IF(OR(tblsales[[#This Row],[Invoice Value USD]]="",tblsales[[#This Row],[Collected Amount USD]]=""),"",tblsales[[#This Row],[Invoice Value USD]]-tblsales[[#This Row],[Collected Amount USD]])</f>
        <v>2485219.0099999998</v>
      </c>
      <c r="BB813" s="21">
        <f>IF(OR(tblsales[[#This Row],[Contract Value USD]]="",tblsales[[#This Row],[Cost Estimate USD]]=""),"",tblsales[[#This Row],[Contract Value USD]]-tblsales[[#This Row],[Cost Estimate USD]])</f>
        <v>12165498.34</v>
      </c>
      <c r="BC813" s="21">
        <f>IF(OR(tblsales[[#This Row],[Contract Value USD]]="",tblsales[[#This Row],[Cost Estimate USD]]=""),"",tblsales[[#This Row],[Contract Value USD]]-tblsales[[#This Row],[Cost Estimate USD]])</f>
        <v>12165498.34</v>
      </c>
      <c r="BD813" s="23">
        <f>IF(tblsales[[#This Row],[Invoice Value USD]]="","",tblsales[[#This Row],[Collected Amount USD]]/tblsales[[#This Row],[Invoice Value USD]])</f>
        <v>0.86078846053477687</v>
      </c>
      <c r="BE813" s="11">
        <f>IF(tblsales[[#This Row],[SalesStage]]="Won",1,0)</f>
        <v>0</v>
      </c>
      <c r="BF813" s="21" t="str">
        <f>IF(tblsales[[#This Row],[Win Flag]]=1,"Won","Lost")</f>
        <v>Lost</v>
      </c>
      <c r="BG813" s="8"/>
    </row>
    <row r="814" spans="1:59" x14ac:dyDescent="0.3">
      <c r="A814" s="10" t="s">
        <v>2733</v>
      </c>
      <c r="B814" s="9">
        <v>45905</v>
      </c>
      <c r="C814" s="10" t="s">
        <v>260</v>
      </c>
      <c r="D814" s="10" t="s">
        <v>562</v>
      </c>
      <c r="E814" s="10" t="s">
        <v>113</v>
      </c>
      <c r="F814" s="10" t="s">
        <v>181</v>
      </c>
      <c r="G814" s="10" t="s">
        <v>57</v>
      </c>
      <c r="H814" s="10" t="s">
        <v>332</v>
      </c>
      <c r="I814" s="10" t="s">
        <v>198</v>
      </c>
      <c r="J814" s="10" t="s">
        <v>127</v>
      </c>
      <c r="K814" s="10" t="s">
        <v>184</v>
      </c>
      <c r="L814" s="10" t="s">
        <v>2734</v>
      </c>
      <c r="M814" s="9">
        <v>45820</v>
      </c>
      <c r="N814" s="9">
        <v>46000</v>
      </c>
      <c r="O814" s="9"/>
      <c r="P814" s="11"/>
      <c r="Q814" s="12">
        <v>34688705</v>
      </c>
      <c r="R814">
        <v>34688705</v>
      </c>
      <c r="S814" s="22">
        <v>0.28000000000000003</v>
      </c>
      <c r="T814" s="22">
        <v>0.1</v>
      </c>
      <c r="U814" s="12">
        <v>27473454.359999999</v>
      </c>
      <c r="V814" s="24">
        <v>27473454.359999999</v>
      </c>
      <c r="W814" s="8">
        <v>17316329.800000001</v>
      </c>
      <c r="X814" s="24">
        <v>17316329.800000001</v>
      </c>
      <c r="Y814" s="22">
        <v>0.3</v>
      </c>
      <c r="Z814" s="22">
        <v>0.06</v>
      </c>
      <c r="AA814" s="8"/>
      <c r="AB814" s="8">
        <v>20496817.699999999</v>
      </c>
      <c r="AC814" s="24">
        <v>20496817.699999999</v>
      </c>
      <c r="AD814" s="8">
        <v>15074679.619999999</v>
      </c>
      <c r="AE814" s="24">
        <v>15074679.619999999</v>
      </c>
      <c r="AF814" s="8">
        <v>45</v>
      </c>
      <c r="AG814" s="8">
        <v>123</v>
      </c>
      <c r="AH814" s="8" t="s">
        <v>347</v>
      </c>
      <c r="AI814" s="8" t="s">
        <v>381</v>
      </c>
      <c r="AJ814" s="22">
        <v>7.0000000000000007E-2</v>
      </c>
      <c r="AK814" s="8" t="s">
        <v>152</v>
      </c>
      <c r="AL814" s="22">
        <v>0.1</v>
      </c>
      <c r="AM814" s="22">
        <v>0.05</v>
      </c>
      <c r="AN814" s="8">
        <v>2</v>
      </c>
      <c r="AO814" s="8">
        <v>904</v>
      </c>
      <c r="AP814" s="8">
        <v>5421081.6600000001</v>
      </c>
      <c r="AQ814" s="24">
        <v>5421081.6600000001</v>
      </c>
      <c r="AR814" s="8">
        <v>10242308.130000001</v>
      </c>
      <c r="AS814" s="37">
        <v>10242308.130000001</v>
      </c>
      <c r="AT814" s="8" t="s">
        <v>332</v>
      </c>
      <c r="AU814" s="8" t="s">
        <v>321</v>
      </c>
      <c r="AV814" s="8"/>
      <c r="AW814" s="8">
        <v>60</v>
      </c>
      <c r="AX814" s="8" t="s">
        <v>332</v>
      </c>
      <c r="AY814" s="8" t="s">
        <v>186</v>
      </c>
      <c r="AZ814" s="8" t="s">
        <v>324</v>
      </c>
      <c r="BA814" s="21">
        <f>IF(OR(tblsales[[#This Row],[Invoice Value USD]]="",tblsales[[#This Row],[Collected Amount USD]]=""),"",tblsales[[#This Row],[Invoice Value USD]]-tblsales[[#This Row],[Collected Amount USD]])</f>
        <v>5422138.0800000001</v>
      </c>
      <c r="BB814" s="21">
        <f>IF(OR(tblsales[[#This Row],[Contract Value USD]]="",tblsales[[#This Row],[Cost Estimate USD]]=""),"",tblsales[[#This Row],[Contract Value USD]]-tblsales[[#This Row],[Cost Estimate USD]])</f>
        <v>10157124.559999999</v>
      </c>
      <c r="BC814" s="21">
        <f>IF(OR(tblsales[[#This Row],[Contract Value USD]]="",tblsales[[#This Row],[Cost Estimate USD]]=""),"",tblsales[[#This Row],[Contract Value USD]]-tblsales[[#This Row],[Cost Estimate USD]])</f>
        <v>10157124.559999999</v>
      </c>
      <c r="BD814" s="23">
        <f>IF(tblsales[[#This Row],[Invoice Value USD]]="","",tblsales[[#This Row],[Collected Amount USD]]/tblsales[[#This Row],[Invoice Value USD]])</f>
        <v>0.7354643945533067</v>
      </c>
      <c r="BE814" s="11">
        <f>IF(tblsales[[#This Row],[SalesStage]]="Won",1,0)</f>
        <v>0</v>
      </c>
      <c r="BF814" s="21" t="str">
        <f>IF(tblsales[[#This Row],[Win Flag]]=1,"Won","Lost")</f>
        <v>Lost</v>
      </c>
      <c r="BG814" s="8"/>
    </row>
    <row r="815" spans="1:59" x14ac:dyDescent="0.3">
      <c r="A815" s="10" t="s">
        <v>2735</v>
      </c>
      <c r="B815" s="9">
        <v>45742</v>
      </c>
      <c r="C815" s="10" t="s">
        <v>273</v>
      </c>
      <c r="D815" s="10" t="s">
        <v>562</v>
      </c>
      <c r="E815" s="10" t="s">
        <v>20</v>
      </c>
      <c r="F815" s="10" t="s">
        <v>35</v>
      </c>
      <c r="G815" s="10" t="s">
        <v>73</v>
      </c>
      <c r="H815" s="10" t="s">
        <v>332</v>
      </c>
      <c r="I815" s="10" t="s">
        <v>240</v>
      </c>
      <c r="J815" s="10" t="s">
        <v>136</v>
      </c>
      <c r="K815" s="10" t="s">
        <v>326</v>
      </c>
      <c r="L815" s="10" t="s">
        <v>2736</v>
      </c>
      <c r="M815" s="9">
        <v>45691</v>
      </c>
      <c r="N815" s="9"/>
      <c r="O815" s="9">
        <v>45837</v>
      </c>
      <c r="P815" s="11">
        <v>51</v>
      </c>
      <c r="Q815" s="12">
        <v>21562524</v>
      </c>
      <c r="R815">
        <v>21562524</v>
      </c>
      <c r="S815" s="22">
        <v>0.12</v>
      </c>
      <c r="T815" s="22">
        <v>0.01</v>
      </c>
      <c r="U815" s="12">
        <v>19164771.329999998</v>
      </c>
      <c r="V815" s="24">
        <v>19164771.329999998</v>
      </c>
      <c r="W815" s="8">
        <v>14942264.01</v>
      </c>
      <c r="X815" s="24">
        <v>14942264.01</v>
      </c>
      <c r="Y815" s="22">
        <v>0.37</v>
      </c>
      <c r="Z815" s="22">
        <v>7.0000000000000007E-2</v>
      </c>
      <c r="AA815" s="8" t="s">
        <v>2737</v>
      </c>
      <c r="AB815" s="8">
        <v>10279165.1</v>
      </c>
      <c r="AC815" s="24">
        <v>10279165.1</v>
      </c>
      <c r="AD815" s="8">
        <v>4285243</v>
      </c>
      <c r="AE815" s="24">
        <v>4285243</v>
      </c>
      <c r="AF815" s="8">
        <v>60</v>
      </c>
      <c r="AG815" s="8">
        <v>111</v>
      </c>
      <c r="AH815" s="8" t="s">
        <v>347</v>
      </c>
      <c r="AI815" s="8" t="s">
        <v>455</v>
      </c>
      <c r="AJ815" s="22">
        <v>0.12</v>
      </c>
      <c r="AK815" s="8" t="s">
        <v>152</v>
      </c>
      <c r="AL815" s="22">
        <v>0.1</v>
      </c>
      <c r="AM815" s="22">
        <v>0.02</v>
      </c>
      <c r="AN815" s="8">
        <v>4</v>
      </c>
      <c r="AO815" s="8">
        <v>4626</v>
      </c>
      <c r="AP815" s="8">
        <v>771375.59</v>
      </c>
      <c r="AQ815" s="24">
        <v>771375.59</v>
      </c>
      <c r="AR815" s="8">
        <v>6800522.0700000003</v>
      </c>
      <c r="AS815" s="37">
        <v>6800522.0700000003</v>
      </c>
      <c r="AT815" s="8" t="s">
        <v>332</v>
      </c>
      <c r="AU815" s="8" t="s">
        <v>356</v>
      </c>
      <c r="AV815" s="8">
        <v>53.8</v>
      </c>
      <c r="AW815" s="8"/>
      <c r="AX815" s="8" t="s">
        <v>392</v>
      </c>
      <c r="AY815" s="8" t="s">
        <v>229</v>
      </c>
      <c r="AZ815" s="8" t="s">
        <v>188</v>
      </c>
      <c r="BA815" s="21">
        <f>IF(OR(tblsales[[#This Row],[Invoice Value USD]]="",tblsales[[#This Row],[Collected Amount USD]]=""),"",tblsales[[#This Row],[Invoice Value USD]]-tblsales[[#This Row],[Collected Amount USD]])</f>
        <v>5993922.0999999996</v>
      </c>
      <c r="BB815" s="21">
        <f>IF(OR(tblsales[[#This Row],[Contract Value USD]]="",tblsales[[#This Row],[Cost Estimate USD]]=""),"",tblsales[[#This Row],[Contract Value USD]]-tblsales[[#This Row],[Cost Estimate USD]])</f>
        <v>4222507.3199999984</v>
      </c>
      <c r="BC815" s="21">
        <f>IF(OR(tblsales[[#This Row],[Contract Value USD]]="",tblsales[[#This Row],[Cost Estimate USD]]=""),"",tblsales[[#This Row],[Contract Value USD]]-tblsales[[#This Row],[Cost Estimate USD]])</f>
        <v>4222507.3199999984</v>
      </c>
      <c r="BD815" s="23">
        <f>IF(tblsales[[#This Row],[Invoice Value USD]]="","",tblsales[[#This Row],[Collected Amount USD]]/tblsales[[#This Row],[Invoice Value USD]])</f>
        <v>0.4168862897240555</v>
      </c>
      <c r="BE815" s="11">
        <f>IF(tblsales[[#This Row],[SalesStage]]="Won",1,0)</f>
        <v>0</v>
      </c>
      <c r="BF815" s="21" t="str">
        <f>IF(tblsales[[#This Row],[Win Flag]]=1,"Won","Lost")</f>
        <v>Lost</v>
      </c>
      <c r="BG815" s="8"/>
    </row>
    <row r="816" spans="1:59" x14ac:dyDescent="0.3">
      <c r="A816" s="10" t="s">
        <v>2738</v>
      </c>
      <c r="B816" s="9">
        <v>45890</v>
      </c>
      <c r="C816" s="10" t="s">
        <v>189</v>
      </c>
      <c r="D816" s="10" t="s">
        <v>253</v>
      </c>
      <c r="E816" s="10" t="s">
        <v>41</v>
      </c>
      <c r="F816" s="10" t="s">
        <v>363</v>
      </c>
      <c r="G816" s="10" t="s">
        <v>23</v>
      </c>
      <c r="H816" s="10" t="s">
        <v>212</v>
      </c>
      <c r="I816" s="10" t="s">
        <v>183</v>
      </c>
      <c r="J816" s="10" t="s">
        <v>130</v>
      </c>
      <c r="K816" s="10" t="s">
        <v>184</v>
      </c>
      <c r="L816" s="10" t="s">
        <v>2739</v>
      </c>
      <c r="M816" s="9">
        <v>45837</v>
      </c>
      <c r="N816" s="9"/>
      <c r="O816" s="9">
        <v>45954</v>
      </c>
      <c r="P816" s="11">
        <v>7</v>
      </c>
      <c r="Q816" s="12">
        <v>39103258</v>
      </c>
      <c r="R816">
        <v>10741664.9726</v>
      </c>
      <c r="S816" s="22">
        <v>0.28999999999999998</v>
      </c>
      <c r="T816" s="22">
        <v>0.03</v>
      </c>
      <c r="U816" s="12">
        <v>28596212.579999998</v>
      </c>
      <c r="V816" s="24">
        <v>7855379.5957259992</v>
      </c>
      <c r="W816" s="8">
        <v>19143162.280000001</v>
      </c>
      <c r="X816" s="24">
        <v>5258626.6783159999</v>
      </c>
      <c r="Y816" s="22">
        <v>0.38</v>
      </c>
      <c r="Z816" s="22">
        <v>0.12</v>
      </c>
      <c r="AA816" s="8" t="s">
        <v>2740</v>
      </c>
      <c r="AB816" s="8">
        <v>10391204.41</v>
      </c>
      <c r="AC816" s="24">
        <v>2854463.851427</v>
      </c>
      <c r="AD816" s="8">
        <v>11321823.880000001</v>
      </c>
      <c r="AE816" s="24">
        <v>3110105.0198360002</v>
      </c>
      <c r="AF816" s="8">
        <v>90</v>
      </c>
      <c r="AG816" s="8">
        <v>63</v>
      </c>
      <c r="AH816" s="8" t="s">
        <v>332</v>
      </c>
      <c r="AI816" s="8" t="s">
        <v>406</v>
      </c>
      <c r="AJ816" s="22">
        <v>0.23</v>
      </c>
      <c r="AK816" s="8" t="s">
        <v>155</v>
      </c>
      <c r="AL816" s="22">
        <v>0.15</v>
      </c>
      <c r="AM816" s="22">
        <v>0.08</v>
      </c>
      <c r="AN816" s="8">
        <v>6</v>
      </c>
      <c r="AO816" s="8">
        <v>1011</v>
      </c>
      <c r="AP816" s="8">
        <v>6048556.4800000004</v>
      </c>
      <c r="AQ816" s="24">
        <v>1661538.465056</v>
      </c>
      <c r="AR816" s="8">
        <v>3769756.06</v>
      </c>
      <c r="AS816" s="37">
        <v>1035551.989682</v>
      </c>
      <c r="AT816" s="8" t="s">
        <v>343</v>
      </c>
      <c r="AU816" s="8" t="s">
        <v>321</v>
      </c>
      <c r="AV816" s="8"/>
      <c r="AW816" s="8">
        <v>36</v>
      </c>
      <c r="AX816" s="8" t="s">
        <v>332</v>
      </c>
      <c r="AY816" s="8" t="s">
        <v>186</v>
      </c>
      <c r="AZ816" s="8" t="s">
        <v>188</v>
      </c>
      <c r="BA816" s="21">
        <f>IF(OR(tblsales[[#This Row],[Invoice Value USD]]="",tblsales[[#This Row],[Collected Amount USD]]=""),"",tblsales[[#This Row],[Invoice Value USD]]-tblsales[[#This Row],[Collected Amount USD]])</f>
        <v>-255641.16840900015</v>
      </c>
      <c r="BB816" s="21">
        <f>IF(OR(tblsales[[#This Row],[Contract Value USD]]="",tblsales[[#This Row],[Cost Estimate USD]]=""),"",tblsales[[#This Row],[Contract Value USD]]-tblsales[[#This Row],[Cost Estimate USD]])</f>
        <v>2596752.9174099993</v>
      </c>
      <c r="BC816" s="21">
        <f>IF(OR(tblsales[[#This Row],[Contract Value USD]]="",tblsales[[#This Row],[Cost Estimate USD]]=""),"",tblsales[[#This Row],[Contract Value USD]]-tblsales[[#This Row],[Cost Estimate USD]])</f>
        <v>2596752.9174099993</v>
      </c>
      <c r="BD816" s="23">
        <f>IF(tblsales[[#This Row],[Invoice Value USD]]="","",tblsales[[#This Row],[Collected Amount USD]]/tblsales[[#This Row],[Invoice Value USD]])</f>
        <v>1.089558383540643</v>
      </c>
      <c r="BE816" s="11">
        <f>IF(tblsales[[#This Row],[SalesStage]]="Won",1,0)</f>
        <v>0</v>
      </c>
      <c r="BF816" s="21" t="str">
        <f>IF(tblsales[[#This Row],[Win Flag]]=1,"Won","Lost")</f>
        <v>Lost</v>
      </c>
      <c r="BG816" s="8"/>
    </row>
    <row r="817" spans="1:59" x14ac:dyDescent="0.3">
      <c r="A817" s="10" t="s">
        <v>2741</v>
      </c>
      <c r="B817" s="9">
        <v>45830</v>
      </c>
      <c r="C817" s="10" t="s">
        <v>270</v>
      </c>
      <c r="D817" s="10" t="s">
        <v>209</v>
      </c>
      <c r="E817" s="10" t="s">
        <v>20</v>
      </c>
      <c r="F817" s="10" t="s">
        <v>196</v>
      </c>
      <c r="G817" s="10" t="s">
        <v>33</v>
      </c>
      <c r="H817" s="10" t="s">
        <v>236</v>
      </c>
      <c r="I817" s="10" t="s">
        <v>198</v>
      </c>
      <c r="J817" s="10" t="s">
        <v>136</v>
      </c>
      <c r="K817" s="10" t="s">
        <v>333</v>
      </c>
      <c r="L817" s="10" t="s">
        <v>2742</v>
      </c>
      <c r="M817" s="9">
        <v>45798</v>
      </c>
      <c r="N817" s="9">
        <v>45836</v>
      </c>
      <c r="O817" s="9">
        <v>45908</v>
      </c>
      <c r="P817" s="11">
        <v>24</v>
      </c>
      <c r="Q817" s="12">
        <v>6311995</v>
      </c>
      <c r="R817">
        <v>1733905.0264999999</v>
      </c>
      <c r="S817" s="22">
        <v>0.2</v>
      </c>
      <c r="T817" s="22">
        <v>0.1</v>
      </c>
      <c r="U817" s="12">
        <v>5554555.5999999996</v>
      </c>
      <c r="V817" s="24">
        <v>1525836.4233199998</v>
      </c>
      <c r="W817" s="8">
        <v>4192068.74</v>
      </c>
      <c r="X817" s="24">
        <v>1151561.2828780001</v>
      </c>
      <c r="Y817" s="22">
        <v>0.4</v>
      </c>
      <c r="Z817" s="22">
        <v>7.0000000000000007E-2</v>
      </c>
      <c r="AA817" s="8" t="s">
        <v>2743</v>
      </c>
      <c r="AB817" s="8">
        <v>3668536.95</v>
      </c>
      <c r="AC817" s="24">
        <v>1007747.1001650001</v>
      </c>
      <c r="AD817" s="8">
        <v>3419238.49</v>
      </c>
      <c r="AE817" s="24">
        <v>939264.81320300011</v>
      </c>
      <c r="AF817" s="8">
        <v>45</v>
      </c>
      <c r="AG817" s="8">
        <v>160</v>
      </c>
      <c r="AH817" s="8" t="s">
        <v>347</v>
      </c>
      <c r="AI817" s="8" t="s">
        <v>226</v>
      </c>
      <c r="AJ817" s="22">
        <v>0.45</v>
      </c>
      <c r="AK817" s="8" t="s">
        <v>155</v>
      </c>
      <c r="AL817" s="22">
        <v>0.05</v>
      </c>
      <c r="AM817" s="22">
        <v>7.0000000000000007E-2</v>
      </c>
      <c r="AN817" s="8">
        <v>4</v>
      </c>
      <c r="AO817" s="8">
        <v>505</v>
      </c>
      <c r="AP817" s="8">
        <v>469606.25</v>
      </c>
      <c r="AQ817" s="24">
        <v>129000.83687499999</v>
      </c>
      <c r="AR817" s="8"/>
      <c r="AS817" s="37"/>
      <c r="AT817" s="8" t="s">
        <v>343</v>
      </c>
      <c r="AU817" s="8" t="s">
        <v>386</v>
      </c>
      <c r="AV817" s="8">
        <v>93.2</v>
      </c>
      <c r="AW817" s="8"/>
      <c r="AX817" s="8" t="s">
        <v>337</v>
      </c>
      <c r="AY817" s="8" t="s">
        <v>186</v>
      </c>
      <c r="AZ817" s="8" t="s">
        <v>377</v>
      </c>
      <c r="BA817" s="21">
        <f>IF(OR(tblsales[[#This Row],[Invoice Value USD]]="",tblsales[[#This Row],[Collected Amount USD]]=""),"",tblsales[[#This Row],[Invoice Value USD]]-tblsales[[#This Row],[Collected Amount USD]])</f>
        <v>68482.286961999955</v>
      </c>
      <c r="BB817" s="21">
        <f>IF(OR(tblsales[[#This Row],[Contract Value USD]]="",tblsales[[#This Row],[Cost Estimate USD]]=""),"",tblsales[[#This Row],[Contract Value USD]]-tblsales[[#This Row],[Cost Estimate USD]])</f>
        <v>374275.14044199977</v>
      </c>
      <c r="BC817" s="21">
        <f>IF(OR(tblsales[[#This Row],[Contract Value USD]]="",tblsales[[#This Row],[Cost Estimate USD]]=""),"",tblsales[[#This Row],[Contract Value USD]]-tblsales[[#This Row],[Cost Estimate USD]])</f>
        <v>374275.14044199977</v>
      </c>
      <c r="BD817" s="23">
        <f>IF(tblsales[[#This Row],[Invoice Value USD]]="","",tblsales[[#This Row],[Collected Amount USD]]/tblsales[[#This Row],[Invoice Value USD]])</f>
        <v>0.9320441736316708</v>
      </c>
      <c r="BE817" s="11">
        <f>IF(tblsales[[#This Row],[SalesStage]]="Won",1,0)</f>
        <v>0</v>
      </c>
      <c r="BF817" s="21" t="str">
        <f>IF(tblsales[[#This Row],[Win Flag]]=1,"Won","Lost")</f>
        <v>Lost</v>
      </c>
      <c r="BG817" s="8"/>
    </row>
    <row r="818" spans="1:59" x14ac:dyDescent="0.3">
      <c r="A818" s="10" t="s">
        <v>2744</v>
      </c>
      <c r="B818" s="9">
        <v>45752</v>
      </c>
      <c r="C818" s="10" t="s">
        <v>273</v>
      </c>
      <c r="D818" s="10" t="s">
        <v>245</v>
      </c>
      <c r="E818" s="10" t="s">
        <v>41</v>
      </c>
      <c r="F818" s="10" t="s">
        <v>228</v>
      </c>
      <c r="G818" s="10" t="s">
        <v>16</v>
      </c>
      <c r="H818" s="10" t="s">
        <v>216</v>
      </c>
      <c r="I818" s="10" t="s">
        <v>191</v>
      </c>
      <c r="J818" s="10" t="s">
        <v>105</v>
      </c>
      <c r="K818" s="10" t="s">
        <v>204</v>
      </c>
      <c r="L818" s="10" t="s">
        <v>2745</v>
      </c>
      <c r="M818" s="9">
        <v>45932</v>
      </c>
      <c r="N818" s="9">
        <v>45693</v>
      </c>
      <c r="O818" s="9"/>
      <c r="P818" s="11">
        <v>3</v>
      </c>
      <c r="Q818" s="12">
        <v>5813626</v>
      </c>
      <c r="R818">
        <v>5813626</v>
      </c>
      <c r="S818" s="22">
        <v>0.11</v>
      </c>
      <c r="T818" s="22">
        <v>7.0000000000000007E-2</v>
      </c>
      <c r="U818" s="12">
        <v>5536316.04</v>
      </c>
      <c r="V818" s="24">
        <v>5536316.04</v>
      </c>
      <c r="W818" s="8">
        <v>4469458.2699999996</v>
      </c>
      <c r="X818" s="24">
        <v>4469458.2699999996</v>
      </c>
      <c r="Y818" s="22">
        <v>0.27</v>
      </c>
      <c r="Z818" s="22">
        <v>0.11</v>
      </c>
      <c r="AA818" s="8" t="s">
        <v>2746</v>
      </c>
      <c r="AB818" s="8">
        <v>2526828.33</v>
      </c>
      <c r="AC818" s="24">
        <v>2526828.33</v>
      </c>
      <c r="AD818" s="8">
        <v>2128374.7999999998</v>
      </c>
      <c r="AE818" s="24">
        <v>2128374.7999999998</v>
      </c>
      <c r="AF818" s="8">
        <v>30</v>
      </c>
      <c r="AG818" s="8">
        <v>96</v>
      </c>
      <c r="AH818" s="8" t="s">
        <v>347</v>
      </c>
      <c r="AI818" s="8" t="s">
        <v>455</v>
      </c>
      <c r="AJ818" s="22">
        <v>0.37</v>
      </c>
      <c r="AK818" s="8" t="s">
        <v>152</v>
      </c>
      <c r="AL818" s="22">
        <v>0.15</v>
      </c>
      <c r="AM818" s="22">
        <v>0.02</v>
      </c>
      <c r="AN818" s="8">
        <v>4</v>
      </c>
      <c r="AO818" s="8">
        <v>225</v>
      </c>
      <c r="AP818" s="8">
        <v>674684.9</v>
      </c>
      <c r="AQ818" s="24">
        <v>674684.9</v>
      </c>
      <c r="AR818" s="8">
        <v>1917682.68</v>
      </c>
      <c r="AS818" s="37">
        <v>1917682.68</v>
      </c>
      <c r="AT818" s="8" t="s">
        <v>73</v>
      </c>
      <c r="AU818" s="8" t="s">
        <v>322</v>
      </c>
      <c r="AV818" s="8">
        <v>85.3</v>
      </c>
      <c r="AW818" s="8">
        <v>36</v>
      </c>
      <c r="AX818" s="8" t="s">
        <v>332</v>
      </c>
      <c r="AY818" s="8" t="s">
        <v>192</v>
      </c>
      <c r="AZ818" s="8" t="s">
        <v>357</v>
      </c>
      <c r="BA818" s="21">
        <f>IF(OR(tblsales[[#This Row],[Invoice Value USD]]="",tblsales[[#This Row],[Collected Amount USD]]=""),"",tblsales[[#This Row],[Invoice Value USD]]-tblsales[[#This Row],[Collected Amount USD]])</f>
        <v>398453.53000000026</v>
      </c>
      <c r="BB818" s="21">
        <f>IF(OR(tblsales[[#This Row],[Contract Value USD]]="",tblsales[[#This Row],[Cost Estimate USD]]=""),"",tblsales[[#This Row],[Contract Value USD]]-tblsales[[#This Row],[Cost Estimate USD]])</f>
        <v>1066857.7700000005</v>
      </c>
      <c r="BC818" s="21">
        <f>IF(OR(tblsales[[#This Row],[Contract Value USD]]="",tblsales[[#This Row],[Cost Estimate USD]]=""),"",tblsales[[#This Row],[Contract Value USD]]-tblsales[[#This Row],[Cost Estimate USD]])</f>
        <v>1066857.7700000005</v>
      </c>
      <c r="BD818" s="23">
        <f>IF(tblsales[[#This Row],[Invoice Value USD]]="","",tblsales[[#This Row],[Collected Amount USD]]/tblsales[[#This Row],[Invoice Value USD]])</f>
        <v>0.84231080312448448</v>
      </c>
      <c r="BE818" s="11">
        <f>IF(tblsales[[#This Row],[SalesStage]]="Won",1,0)</f>
        <v>0</v>
      </c>
      <c r="BF818" s="21" t="str">
        <f>IF(tblsales[[#This Row],[Win Flag]]=1,"Won","Lost")</f>
        <v>Lost</v>
      </c>
      <c r="BG818" s="8"/>
    </row>
    <row r="819" spans="1:59" x14ac:dyDescent="0.3">
      <c r="A819" s="10" t="s">
        <v>2747</v>
      </c>
      <c r="B819" s="9">
        <v>45691</v>
      </c>
      <c r="C819" s="10" t="s">
        <v>256</v>
      </c>
      <c r="D819" s="10" t="s">
        <v>255</v>
      </c>
      <c r="E819" s="10" t="s">
        <v>36</v>
      </c>
      <c r="F819" s="10" t="s">
        <v>339</v>
      </c>
      <c r="G819" s="10" t="s">
        <v>80</v>
      </c>
      <c r="H819" s="10" t="s">
        <v>236</v>
      </c>
      <c r="I819" s="10" t="s">
        <v>183</v>
      </c>
      <c r="J819" s="10" t="s">
        <v>115</v>
      </c>
      <c r="K819" s="10" t="s">
        <v>333</v>
      </c>
      <c r="L819" s="10" t="s">
        <v>2748</v>
      </c>
      <c r="M819" s="9">
        <v>45642</v>
      </c>
      <c r="N819" s="9">
        <v>45660</v>
      </c>
      <c r="O819" s="9"/>
      <c r="P819" s="11">
        <v>41</v>
      </c>
      <c r="Q819" s="12">
        <v>9865924</v>
      </c>
      <c r="R819">
        <v>2686491.1051999996</v>
      </c>
      <c r="S819" s="22">
        <v>0.31</v>
      </c>
      <c r="T819" s="22">
        <v>0.15</v>
      </c>
      <c r="U819" s="12">
        <v>7828610.6900000004</v>
      </c>
      <c r="V819" s="24">
        <v>2131730.6908869999</v>
      </c>
      <c r="W819" s="8">
        <v>6592686.4199999999</v>
      </c>
      <c r="X819" s="24">
        <v>1795188.512166</v>
      </c>
      <c r="Y819" s="22">
        <v>0.36</v>
      </c>
      <c r="Z819" s="22">
        <v>0.17</v>
      </c>
      <c r="AA819" s="8" t="s">
        <v>2749</v>
      </c>
      <c r="AB819" s="8">
        <v>3609358.48</v>
      </c>
      <c r="AC819" s="24">
        <v>982828.31410399999</v>
      </c>
      <c r="AD819" s="8">
        <v>3423838.7</v>
      </c>
      <c r="AE819" s="24">
        <v>932311.27801000001</v>
      </c>
      <c r="AF819" s="8">
        <v>30</v>
      </c>
      <c r="AG819" s="8">
        <v>73</v>
      </c>
      <c r="AH819" s="8" t="s">
        <v>342</v>
      </c>
      <c r="AI819" s="8" t="s">
        <v>381</v>
      </c>
      <c r="AJ819" s="22">
        <v>0.18</v>
      </c>
      <c r="AK819" s="8" t="s">
        <v>153</v>
      </c>
      <c r="AL819" s="22">
        <v>0.15</v>
      </c>
      <c r="AM819" s="22">
        <v>0.04</v>
      </c>
      <c r="AN819" s="8">
        <v>7</v>
      </c>
      <c r="AO819" s="8">
        <v>1625</v>
      </c>
      <c r="AP819" s="8">
        <v>736298.33</v>
      </c>
      <c r="AQ819" s="24">
        <v>200494.03525899997</v>
      </c>
      <c r="AR819" s="8">
        <v>3671139.06</v>
      </c>
      <c r="AS819" s="37">
        <v>999651.16603799991</v>
      </c>
      <c r="AT819" s="8" t="s">
        <v>343</v>
      </c>
      <c r="AU819" s="8" t="s">
        <v>321</v>
      </c>
      <c r="AV819" s="8">
        <v>77.3</v>
      </c>
      <c r="AW819" s="8">
        <v>24</v>
      </c>
      <c r="AX819" s="8" t="s">
        <v>387</v>
      </c>
      <c r="AY819" s="8" t="s">
        <v>186</v>
      </c>
      <c r="AZ819" s="8" t="s">
        <v>332</v>
      </c>
      <c r="BA819" s="21">
        <f>IF(OR(tblsales[[#This Row],[Invoice Value USD]]="",tblsales[[#This Row],[Collected Amount USD]]=""),"",tblsales[[#This Row],[Invoice Value USD]]-tblsales[[#This Row],[Collected Amount USD]])</f>
        <v>50517.036093999981</v>
      </c>
      <c r="BB819" s="21">
        <f>IF(OR(tblsales[[#This Row],[Contract Value USD]]="",tblsales[[#This Row],[Cost Estimate USD]]=""),"",tblsales[[#This Row],[Contract Value USD]]-tblsales[[#This Row],[Cost Estimate USD]])</f>
        <v>336542.17872099997</v>
      </c>
      <c r="BC819" s="21">
        <f>IF(OR(tblsales[[#This Row],[Contract Value USD]]="",tblsales[[#This Row],[Cost Estimate USD]]=""),"",tblsales[[#This Row],[Contract Value USD]]-tblsales[[#This Row],[Cost Estimate USD]])</f>
        <v>336542.17872099997</v>
      </c>
      <c r="BD819" s="23">
        <f>IF(tblsales[[#This Row],[Invoice Value USD]]="","",tblsales[[#This Row],[Collected Amount USD]]/tblsales[[#This Row],[Invoice Value USD]])</f>
        <v>0.94860034517823788</v>
      </c>
      <c r="BE819" s="11">
        <f>IF(tblsales[[#This Row],[SalesStage]]="Won",1,0)</f>
        <v>0</v>
      </c>
      <c r="BF819" s="21" t="str">
        <f>IF(tblsales[[#This Row],[Win Flag]]=1,"Won","Lost")</f>
        <v>Lost</v>
      </c>
      <c r="BG819" s="8"/>
    </row>
    <row r="820" spans="1:59" x14ac:dyDescent="0.3">
      <c r="A820" s="10" t="s">
        <v>2750</v>
      </c>
      <c r="B820" s="9">
        <v>45831</v>
      </c>
      <c r="C820" s="10" t="s">
        <v>267</v>
      </c>
      <c r="D820" s="10" t="s">
        <v>202</v>
      </c>
      <c r="E820" s="10" t="s">
        <v>20</v>
      </c>
      <c r="F820" s="10" t="s">
        <v>35</v>
      </c>
      <c r="G820" s="10" t="s">
        <v>57</v>
      </c>
      <c r="H820" s="10" t="s">
        <v>216</v>
      </c>
      <c r="I820" s="10" t="s">
        <v>198</v>
      </c>
      <c r="J820" s="10" t="s">
        <v>136</v>
      </c>
      <c r="K820" s="10" t="s">
        <v>199</v>
      </c>
      <c r="L820" s="10" t="s">
        <v>2751</v>
      </c>
      <c r="M820" s="9">
        <v>45904</v>
      </c>
      <c r="N820" s="9"/>
      <c r="O820" s="9">
        <v>45890</v>
      </c>
      <c r="P820" s="11">
        <v>16</v>
      </c>
      <c r="Q820" s="12">
        <v>34390777</v>
      </c>
      <c r="R820">
        <v>9364608.5770999994</v>
      </c>
      <c r="S820" s="22">
        <v>0.19</v>
      </c>
      <c r="T820" s="22">
        <v>0.2</v>
      </c>
      <c r="U820" s="12">
        <v>33427835.239999998</v>
      </c>
      <c r="V820" s="24">
        <v>9102399.5358519983</v>
      </c>
      <c r="W820" s="8">
        <v>24346480.66</v>
      </c>
      <c r="X820" s="24">
        <v>6629546.6837179996</v>
      </c>
      <c r="Y820" s="22">
        <v>0.16</v>
      </c>
      <c r="Z820" s="22">
        <v>0.16</v>
      </c>
      <c r="AA820" s="8" t="s">
        <v>2752</v>
      </c>
      <c r="AB820" s="8">
        <v>21880914.649999999</v>
      </c>
      <c r="AC820" s="24">
        <v>5958173.0591949997</v>
      </c>
      <c r="AD820" s="8">
        <v>19531210.59</v>
      </c>
      <c r="AE820" s="24">
        <v>5318348.6436569998</v>
      </c>
      <c r="AF820" s="8">
        <v>45</v>
      </c>
      <c r="AG820" s="8">
        <v>115</v>
      </c>
      <c r="AH820" s="8" t="s">
        <v>342</v>
      </c>
      <c r="AI820" s="8" t="s">
        <v>406</v>
      </c>
      <c r="AJ820" s="22">
        <v>0.12</v>
      </c>
      <c r="AK820" s="8" t="s">
        <v>153</v>
      </c>
      <c r="AL820" s="22">
        <v>0.1</v>
      </c>
      <c r="AM820" s="22">
        <v>0.05</v>
      </c>
      <c r="AN820" s="8">
        <v>15</v>
      </c>
      <c r="AO820" s="8">
        <v>565</v>
      </c>
      <c r="AP820" s="8">
        <v>6356642.5899999999</v>
      </c>
      <c r="AQ820" s="24">
        <v>1730913.7772569999</v>
      </c>
      <c r="AR820" s="8">
        <v>11962036.6</v>
      </c>
      <c r="AS820" s="37">
        <v>3257262.5661799996</v>
      </c>
      <c r="AT820" s="8" t="s">
        <v>73</v>
      </c>
      <c r="AU820" s="8" t="s">
        <v>332</v>
      </c>
      <c r="AV820" s="8">
        <v>72.900000000000006</v>
      </c>
      <c r="AW820" s="8">
        <v>48</v>
      </c>
      <c r="AX820" s="8" t="s">
        <v>387</v>
      </c>
      <c r="AY820" s="8" t="s">
        <v>224</v>
      </c>
      <c r="AZ820" s="8" t="s">
        <v>324</v>
      </c>
      <c r="BA820" s="21">
        <f>IF(OR(tblsales[[#This Row],[Invoice Value USD]]="",tblsales[[#This Row],[Collected Amount USD]]=""),"",tblsales[[#This Row],[Invoice Value USD]]-tblsales[[#This Row],[Collected Amount USD]])</f>
        <v>639824.41553799994</v>
      </c>
      <c r="BB820" s="21">
        <f>IF(OR(tblsales[[#This Row],[Contract Value USD]]="",tblsales[[#This Row],[Cost Estimate USD]]=""),"",tblsales[[#This Row],[Contract Value USD]]-tblsales[[#This Row],[Cost Estimate USD]])</f>
        <v>2472852.8521339986</v>
      </c>
      <c r="BC820" s="21">
        <f>IF(OR(tblsales[[#This Row],[Contract Value USD]]="",tblsales[[#This Row],[Cost Estimate USD]]=""),"",tblsales[[#This Row],[Contract Value USD]]-tblsales[[#This Row],[Cost Estimate USD]])</f>
        <v>2472852.8521339986</v>
      </c>
      <c r="BD820" s="23">
        <f>IF(tblsales[[#This Row],[Invoice Value USD]]="","",tblsales[[#This Row],[Collected Amount USD]]/tblsales[[#This Row],[Invoice Value USD]])</f>
        <v>0.89261399271533648</v>
      </c>
      <c r="BE820" s="11">
        <f>IF(tblsales[[#This Row],[SalesStage]]="Won",1,0)</f>
        <v>0</v>
      </c>
      <c r="BF820" s="21" t="str">
        <f>IF(tblsales[[#This Row],[Win Flag]]=1,"Won","Lost")</f>
        <v>Lost</v>
      </c>
      <c r="BG820" s="8"/>
    </row>
    <row r="821" spans="1:59" x14ac:dyDescent="0.3">
      <c r="A821" s="10" t="s">
        <v>2753</v>
      </c>
      <c r="B821" s="9">
        <v>45894</v>
      </c>
      <c r="C821" s="10" t="s">
        <v>275</v>
      </c>
      <c r="D821" s="10" t="s">
        <v>242</v>
      </c>
      <c r="E821" s="10" t="s">
        <v>20</v>
      </c>
      <c r="F821" s="10" t="s">
        <v>196</v>
      </c>
      <c r="G821" s="10" t="s">
        <v>73</v>
      </c>
      <c r="H821" s="10" t="s">
        <v>197</v>
      </c>
      <c r="I821" s="10" t="s">
        <v>240</v>
      </c>
      <c r="J821" s="10" t="s">
        <v>136</v>
      </c>
      <c r="K821" s="10" t="s">
        <v>333</v>
      </c>
      <c r="L821" s="10" t="s">
        <v>2754</v>
      </c>
      <c r="M821" s="9">
        <v>45877</v>
      </c>
      <c r="N821" s="9">
        <v>45917</v>
      </c>
      <c r="O821" s="9">
        <v>45927</v>
      </c>
      <c r="P821" s="11"/>
      <c r="Q821" s="12">
        <v>15974398</v>
      </c>
      <c r="R821">
        <v>15974398</v>
      </c>
      <c r="S821" s="22">
        <v>0.25</v>
      </c>
      <c r="T821" s="22">
        <v>0.01</v>
      </c>
      <c r="U821" s="12">
        <v>12100606.48</v>
      </c>
      <c r="V821" s="24">
        <v>12100606.48</v>
      </c>
      <c r="W821" s="8">
        <v>10078195.210000001</v>
      </c>
      <c r="X821" s="24">
        <v>10078195.210000001</v>
      </c>
      <c r="Y821" s="22">
        <v>0.1</v>
      </c>
      <c r="Z821" s="22">
        <v>0.08</v>
      </c>
      <c r="AA821" s="8" t="s">
        <v>2755</v>
      </c>
      <c r="AB821" s="8">
        <v>7126147.3200000003</v>
      </c>
      <c r="AC821" s="24">
        <v>7126147.3200000003</v>
      </c>
      <c r="AD821" s="8">
        <v>2721304.52</v>
      </c>
      <c r="AE821" s="24">
        <v>2721304.52</v>
      </c>
      <c r="AF821" s="8">
        <v>120</v>
      </c>
      <c r="AG821" s="8">
        <v>134</v>
      </c>
      <c r="AH821" s="8" t="s">
        <v>353</v>
      </c>
      <c r="AI821" s="8" t="s">
        <v>381</v>
      </c>
      <c r="AJ821" s="22">
        <v>0.15</v>
      </c>
      <c r="AK821" s="8" t="s">
        <v>152</v>
      </c>
      <c r="AL821" s="22">
        <v>0.1</v>
      </c>
      <c r="AM821" s="22">
        <v>0.05</v>
      </c>
      <c r="AN821" s="8">
        <v>9</v>
      </c>
      <c r="AO821" s="8">
        <v>3138</v>
      </c>
      <c r="AP821" s="8">
        <v>595966.51</v>
      </c>
      <c r="AQ821" s="24">
        <v>595966.51</v>
      </c>
      <c r="AR821" s="8"/>
      <c r="AS821" s="37"/>
      <c r="AT821" s="8" t="s">
        <v>385</v>
      </c>
      <c r="AU821" s="8" t="s">
        <v>386</v>
      </c>
      <c r="AV821" s="8">
        <v>55.4</v>
      </c>
      <c r="AW821" s="8">
        <v>24</v>
      </c>
      <c r="AX821" s="8" t="s">
        <v>387</v>
      </c>
      <c r="AY821" s="8" t="s">
        <v>206</v>
      </c>
      <c r="AZ821" s="8" t="s">
        <v>377</v>
      </c>
      <c r="BA821" s="21">
        <f>IF(OR(tblsales[[#This Row],[Invoice Value USD]]="",tblsales[[#This Row],[Collected Amount USD]]=""),"",tblsales[[#This Row],[Invoice Value USD]]-tblsales[[#This Row],[Collected Amount USD]])</f>
        <v>4404842.8000000007</v>
      </c>
      <c r="BB821" s="21">
        <f>IF(OR(tblsales[[#This Row],[Contract Value USD]]="",tblsales[[#This Row],[Cost Estimate USD]]=""),"",tblsales[[#This Row],[Contract Value USD]]-tblsales[[#This Row],[Cost Estimate USD]])</f>
        <v>2022411.2699999996</v>
      </c>
      <c r="BC821" s="21">
        <f>IF(OR(tblsales[[#This Row],[Contract Value USD]]="",tblsales[[#This Row],[Cost Estimate USD]]=""),"",tblsales[[#This Row],[Contract Value USD]]-tblsales[[#This Row],[Cost Estimate USD]])</f>
        <v>2022411.2699999996</v>
      </c>
      <c r="BD821" s="23">
        <f>IF(tblsales[[#This Row],[Invoice Value USD]]="","",tblsales[[#This Row],[Collected Amount USD]]/tblsales[[#This Row],[Invoice Value USD]])</f>
        <v>0.38187598400646028</v>
      </c>
      <c r="BE821" s="11">
        <f>IF(tblsales[[#This Row],[SalesStage]]="Won",1,0)</f>
        <v>0</v>
      </c>
      <c r="BF821" s="21" t="str">
        <f>IF(tblsales[[#This Row],[Win Flag]]=1,"Won","Lost")</f>
        <v>Lost</v>
      </c>
      <c r="BG821" s="8"/>
    </row>
    <row r="822" spans="1:59" x14ac:dyDescent="0.3">
      <c r="A822" s="10" t="s">
        <v>5794</v>
      </c>
      <c r="B822" s="9">
        <v>45839</v>
      </c>
      <c r="C822" s="10" t="s">
        <v>195</v>
      </c>
      <c r="D822" s="10" t="s">
        <v>245</v>
      </c>
      <c r="E822" s="10" t="s">
        <v>332</v>
      </c>
      <c r="F822" s="10" t="s">
        <v>228</v>
      </c>
      <c r="G822" s="10" t="s">
        <v>28</v>
      </c>
      <c r="H822" s="10" t="s">
        <v>236</v>
      </c>
      <c r="I822" s="10" t="s">
        <v>198</v>
      </c>
      <c r="J822" s="10" t="s">
        <v>99</v>
      </c>
      <c r="K822" s="10" t="s">
        <v>210</v>
      </c>
      <c r="L822" s="10" t="s">
        <v>4187</v>
      </c>
      <c r="M822" s="9">
        <v>45794</v>
      </c>
      <c r="N822" s="9">
        <v>45908</v>
      </c>
      <c r="O822" s="9">
        <v>45898</v>
      </c>
      <c r="P822" s="11">
        <v>5</v>
      </c>
      <c r="Q822" s="12">
        <v>29128623</v>
      </c>
      <c r="R822">
        <v>8001632.7380999997</v>
      </c>
      <c r="S822" s="22">
        <v>0.12</v>
      </c>
      <c r="T822" s="22">
        <v>0.18</v>
      </c>
      <c r="U822" s="12">
        <v>30247162.120000001</v>
      </c>
      <c r="V822" s="24">
        <v>8308895.4343640003</v>
      </c>
      <c r="W822" s="8">
        <v>20313599.809999999</v>
      </c>
      <c r="X822" s="24">
        <v>5580145.8678069999</v>
      </c>
      <c r="Y822" s="22">
        <v>0.09</v>
      </c>
      <c r="Z822" s="22">
        <v>0.14000000000000001</v>
      </c>
      <c r="AA822" s="8" t="s">
        <v>4189</v>
      </c>
      <c r="AB822" s="8">
        <v>11887777.279999999</v>
      </c>
      <c r="AC822" s="24">
        <v>3265572.4188159998</v>
      </c>
      <c r="AD822" s="8">
        <v>12244741.74</v>
      </c>
      <c r="AE822" s="24">
        <v>3363630.5559780002</v>
      </c>
      <c r="AF822" s="8">
        <v>60</v>
      </c>
      <c r="AG822" s="8">
        <v>56</v>
      </c>
      <c r="AH822" s="8" t="s">
        <v>332</v>
      </c>
      <c r="AI822" s="8" t="s">
        <v>406</v>
      </c>
      <c r="AJ822" s="22">
        <v>0.46</v>
      </c>
      <c r="AK822" s="8" t="s">
        <v>155</v>
      </c>
      <c r="AL822" s="22">
        <v>0.05</v>
      </c>
      <c r="AM822" s="22">
        <v>0.06</v>
      </c>
      <c r="AN822" s="8">
        <v>4</v>
      </c>
      <c r="AO822" s="8">
        <v>18</v>
      </c>
      <c r="AP822" s="8">
        <v>3021573.76</v>
      </c>
      <c r="AQ822" s="24">
        <v>830026.31187199999</v>
      </c>
      <c r="AR822" s="8">
        <v>9900822.5199999996</v>
      </c>
      <c r="AS822" s="37">
        <v>2719755.946244</v>
      </c>
      <c r="AT822" s="8" t="s">
        <v>321</v>
      </c>
      <c r="AU822" s="8" t="s">
        <v>330</v>
      </c>
      <c r="AV822" s="8">
        <v>99.5</v>
      </c>
      <c r="AW822" s="8">
        <v>12</v>
      </c>
      <c r="AX822" s="8" t="s">
        <v>332</v>
      </c>
      <c r="AY822" s="8" t="s">
        <v>186</v>
      </c>
      <c r="AZ822" s="8" t="s">
        <v>324</v>
      </c>
      <c r="BA822" s="21">
        <f>IF(OR(tblsales[[#This Row],[Invoice Value USD]]="",tblsales[[#This Row],[Collected Amount USD]]=""),"",tblsales[[#This Row],[Invoice Value USD]]-tblsales[[#This Row],[Collected Amount USD]])</f>
        <v>-98058.137162000407</v>
      </c>
      <c r="BB822" s="21">
        <f>IF(OR(tblsales[[#This Row],[Contract Value USD]]="",tblsales[[#This Row],[Cost Estimate USD]]=""),"",tblsales[[#This Row],[Contract Value USD]]-tblsales[[#This Row],[Cost Estimate USD]])</f>
        <v>2728749.5665570004</v>
      </c>
      <c r="BC822" s="21">
        <f>IF(OR(tblsales[[#This Row],[Contract Value USD]]="",tblsales[[#This Row],[Cost Estimate USD]]=""),"",tblsales[[#This Row],[Contract Value USD]]-tblsales[[#This Row],[Cost Estimate USD]])</f>
        <v>2728749.5665570004</v>
      </c>
      <c r="BD822" s="23">
        <f>IF(tblsales[[#This Row],[Invoice Value USD]]="","",tblsales[[#This Row],[Collected Amount USD]]/tblsales[[#This Row],[Invoice Value USD]])</f>
        <v>1.0300278556362725</v>
      </c>
      <c r="BE822" s="11">
        <f>IF(tblsales[[#This Row],[SalesStage]]="Won",1,0)</f>
        <v>0</v>
      </c>
      <c r="BF822" s="21" t="str">
        <f>IF(tblsales[[#This Row],[Win Flag]]=1,"Won","Lost")</f>
        <v>Lost</v>
      </c>
      <c r="BG822" s="8"/>
    </row>
    <row r="823" spans="1:59" x14ac:dyDescent="0.3">
      <c r="A823" s="10" t="s">
        <v>2756</v>
      </c>
      <c r="B823" s="9">
        <v>45722</v>
      </c>
      <c r="C823" s="10" t="s">
        <v>217</v>
      </c>
      <c r="D823" s="10" t="s">
        <v>190</v>
      </c>
      <c r="E823" s="10" t="s">
        <v>113</v>
      </c>
      <c r="F823" s="10" t="s">
        <v>181</v>
      </c>
      <c r="G823" s="10" t="s">
        <v>16</v>
      </c>
      <c r="H823" s="10" t="s">
        <v>212</v>
      </c>
      <c r="I823" s="10" t="s">
        <v>198</v>
      </c>
      <c r="J823" s="10" t="s">
        <v>127</v>
      </c>
      <c r="K823" s="10" t="s">
        <v>204</v>
      </c>
      <c r="L823" s="10" t="s">
        <v>2757</v>
      </c>
      <c r="M823" s="9">
        <v>45639</v>
      </c>
      <c r="N823" s="9"/>
      <c r="O823" s="9">
        <v>45797</v>
      </c>
      <c r="P823" s="11"/>
      <c r="Q823" s="12">
        <v>14790863</v>
      </c>
      <c r="R823">
        <v>14790863</v>
      </c>
      <c r="S823" s="22">
        <v>0.14000000000000001</v>
      </c>
      <c r="T823" s="22">
        <v>0.1</v>
      </c>
      <c r="U823" s="12">
        <v>13992156.4</v>
      </c>
      <c r="V823" s="24">
        <v>13992156.4</v>
      </c>
      <c r="W823" s="8">
        <v>11739043.43</v>
      </c>
      <c r="X823" s="24">
        <v>11739043.43</v>
      </c>
      <c r="Y823" s="22">
        <v>0.11</v>
      </c>
      <c r="Z823" s="22">
        <v>0.05</v>
      </c>
      <c r="AA823" s="8" t="s">
        <v>2758</v>
      </c>
      <c r="AB823" s="8">
        <v>3844051.38</v>
      </c>
      <c r="AC823" s="24">
        <v>3844051.38</v>
      </c>
      <c r="AD823" s="8">
        <v>1471452.1</v>
      </c>
      <c r="AE823" s="24">
        <v>1471452.1</v>
      </c>
      <c r="AF823" s="8">
        <v>30</v>
      </c>
      <c r="AG823" s="8">
        <v>9</v>
      </c>
      <c r="AH823" s="8" t="s">
        <v>353</v>
      </c>
      <c r="AI823" s="8" t="s">
        <v>354</v>
      </c>
      <c r="AJ823" s="22">
        <v>0.8</v>
      </c>
      <c r="AK823" s="8" t="s">
        <v>152</v>
      </c>
      <c r="AL823" s="22">
        <v>0.15</v>
      </c>
      <c r="AM823" s="22">
        <v>0.03</v>
      </c>
      <c r="AN823" s="8">
        <v>12</v>
      </c>
      <c r="AO823" s="8">
        <v>380</v>
      </c>
      <c r="AP823" s="8">
        <v>1751887.98</v>
      </c>
      <c r="AQ823" s="24">
        <v>1751887.98</v>
      </c>
      <c r="AR823" s="8">
        <v>4541059.22</v>
      </c>
      <c r="AS823" s="37">
        <v>4541059.22</v>
      </c>
      <c r="AT823" s="8" t="s">
        <v>321</v>
      </c>
      <c r="AU823" s="8" t="s">
        <v>332</v>
      </c>
      <c r="AV823" s="8"/>
      <c r="AW823" s="8">
        <v>60</v>
      </c>
      <c r="AX823" s="8" t="s">
        <v>392</v>
      </c>
      <c r="AY823" s="8" t="s">
        <v>186</v>
      </c>
      <c r="AZ823" s="8" t="s">
        <v>188</v>
      </c>
      <c r="BA823" s="21">
        <f>IF(OR(tblsales[[#This Row],[Invoice Value USD]]="",tblsales[[#This Row],[Collected Amount USD]]=""),"",tblsales[[#This Row],[Invoice Value USD]]-tblsales[[#This Row],[Collected Amount USD]])</f>
        <v>2372599.2799999998</v>
      </c>
      <c r="BB823" s="21">
        <f>IF(OR(tblsales[[#This Row],[Contract Value USD]]="",tblsales[[#This Row],[Cost Estimate USD]]=""),"",tblsales[[#This Row],[Contract Value USD]]-tblsales[[#This Row],[Cost Estimate USD]])</f>
        <v>2253112.9700000007</v>
      </c>
      <c r="BC823" s="21">
        <f>IF(OR(tblsales[[#This Row],[Contract Value USD]]="",tblsales[[#This Row],[Cost Estimate USD]]=""),"",tblsales[[#This Row],[Contract Value USD]]-tblsales[[#This Row],[Cost Estimate USD]])</f>
        <v>2253112.9700000007</v>
      </c>
      <c r="BD823" s="23">
        <f>IF(tblsales[[#This Row],[Invoice Value USD]]="","",tblsales[[#This Row],[Collected Amount USD]]/tblsales[[#This Row],[Invoice Value USD]])</f>
        <v>0.38278679303188712</v>
      </c>
      <c r="BE823" s="11">
        <f>IF(tblsales[[#This Row],[SalesStage]]="Won",1,0)</f>
        <v>0</v>
      </c>
      <c r="BF823" s="21" t="str">
        <f>IF(tblsales[[#This Row],[Win Flag]]=1,"Won","Lost")</f>
        <v>Lost</v>
      </c>
      <c r="BG823" s="8"/>
    </row>
    <row r="824" spans="1:59" x14ac:dyDescent="0.3">
      <c r="A824" s="10" t="s">
        <v>2759</v>
      </c>
      <c r="B824" s="9">
        <v>45742</v>
      </c>
      <c r="C824" s="10" t="s">
        <v>231</v>
      </c>
      <c r="D824" s="10" t="s">
        <v>281</v>
      </c>
      <c r="E824" s="10" t="s">
        <v>41</v>
      </c>
      <c r="F824" s="10" t="s">
        <v>332</v>
      </c>
      <c r="G824" s="10" t="s">
        <v>73</v>
      </c>
      <c r="H824" s="10" t="s">
        <v>216</v>
      </c>
      <c r="I824" s="10" t="s">
        <v>198</v>
      </c>
      <c r="J824" s="10" t="s">
        <v>130</v>
      </c>
      <c r="K824" s="10" t="s">
        <v>223</v>
      </c>
      <c r="L824" s="10" t="s">
        <v>2760</v>
      </c>
      <c r="M824" s="9">
        <v>45964</v>
      </c>
      <c r="N824" s="9"/>
      <c r="O824" s="9">
        <v>45775</v>
      </c>
      <c r="P824" s="11">
        <v>43</v>
      </c>
      <c r="Q824" s="12">
        <v>36488254</v>
      </c>
      <c r="R824">
        <v>36488254</v>
      </c>
      <c r="S824" s="22">
        <v>0.26</v>
      </c>
      <c r="T824" s="22">
        <v>-0.04</v>
      </c>
      <c r="U824" s="12">
        <v>25921255.640000001</v>
      </c>
      <c r="V824" s="24">
        <v>25921255.640000001</v>
      </c>
      <c r="W824" s="8">
        <v>17719695.48</v>
      </c>
      <c r="X824" s="24">
        <v>17719695.48</v>
      </c>
      <c r="Y824" s="22">
        <v>0.19</v>
      </c>
      <c r="Z824" s="22">
        <v>0.09</v>
      </c>
      <c r="AA824" s="8" t="s">
        <v>2761</v>
      </c>
      <c r="AB824" s="8">
        <v>12007346.9</v>
      </c>
      <c r="AC824" s="24">
        <v>12007346.9</v>
      </c>
      <c r="AD824" s="8">
        <v>7366561.0599999996</v>
      </c>
      <c r="AE824" s="24">
        <v>7366561.0599999996</v>
      </c>
      <c r="AF824" s="8">
        <v>90</v>
      </c>
      <c r="AG824" s="8">
        <v>171</v>
      </c>
      <c r="AH824" s="8" t="s">
        <v>342</v>
      </c>
      <c r="AI824" s="8" t="s">
        <v>455</v>
      </c>
      <c r="AJ824" s="22">
        <v>0.86</v>
      </c>
      <c r="AK824" s="8" t="s">
        <v>152</v>
      </c>
      <c r="AL824" s="22">
        <v>0.1</v>
      </c>
      <c r="AM824" s="22">
        <v>0.1</v>
      </c>
      <c r="AN824" s="8">
        <v>1</v>
      </c>
      <c r="AO824" s="8">
        <v>3011</v>
      </c>
      <c r="AP824" s="8">
        <v>2372531.83</v>
      </c>
      <c r="AQ824" s="24">
        <v>2372531.83</v>
      </c>
      <c r="AR824" s="8">
        <v>5159695.79</v>
      </c>
      <c r="AS824" s="37">
        <v>5159695.79</v>
      </c>
      <c r="AT824" s="8" t="s">
        <v>391</v>
      </c>
      <c r="AU824" s="8" t="s">
        <v>321</v>
      </c>
      <c r="AV824" s="8">
        <v>55.5</v>
      </c>
      <c r="AW824" s="8">
        <v>60</v>
      </c>
      <c r="AX824" s="8" t="s">
        <v>337</v>
      </c>
      <c r="AY824" s="8" t="s">
        <v>229</v>
      </c>
      <c r="AZ824" s="8" t="s">
        <v>188</v>
      </c>
      <c r="BA824" s="21">
        <f>IF(OR(tblsales[[#This Row],[Invoice Value USD]]="",tblsales[[#This Row],[Collected Amount USD]]=""),"",tblsales[[#This Row],[Invoice Value USD]]-tblsales[[#This Row],[Collected Amount USD]])</f>
        <v>4640785.8400000008</v>
      </c>
      <c r="BB824" s="21">
        <f>IF(OR(tblsales[[#This Row],[Contract Value USD]]="",tblsales[[#This Row],[Cost Estimate USD]]=""),"",tblsales[[#This Row],[Contract Value USD]]-tblsales[[#This Row],[Cost Estimate USD]])</f>
        <v>8201560.1600000001</v>
      </c>
      <c r="BC824" s="21">
        <f>IF(OR(tblsales[[#This Row],[Contract Value USD]]="",tblsales[[#This Row],[Cost Estimate USD]]=""),"",tblsales[[#This Row],[Contract Value USD]]-tblsales[[#This Row],[Cost Estimate USD]])</f>
        <v>8201560.1600000001</v>
      </c>
      <c r="BD824" s="23">
        <f>IF(tblsales[[#This Row],[Invoice Value USD]]="","",tblsales[[#This Row],[Collected Amount USD]]/tblsales[[#This Row],[Invoice Value USD]])</f>
        <v>0.61350447533084929</v>
      </c>
      <c r="BE824" s="11">
        <f>IF(tblsales[[#This Row],[SalesStage]]="Won",1,0)</f>
        <v>0</v>
      </c>
      <c r="BF824" s="21" t="str">
        <f>IF(tblsales[[#This Row],[Win Flag]]=1,"Won","Lost")</f>
        <v>Lost</v>
      </c>
      <c r="BG824" s="8"/>
    </row>
    <row r="825" spans="1:59" x14ac:dyDescent="0.3">
      <c r="A825" s="10" t="s">
        <v>2762</v>
      </c>
      <c r="B825" s="9">
        <v>45941</v>
      </c>
      <c r="C825" s="10" t="s">
        <v>273</v>
      </c>
      <c r="D825" s="10" t="s">
        <v>209</v>
      </c>
      <c r="E825" s="10" t="s">
        <v>113</v>
      </c>
      <c r="F825" s="10" t="s">
        <v>367</v>
      </c>
      <c r="G825" s="10" t="s">
        <v>62</v>
      </c>
      <c r="H825" s="10" t="s">
        <v>332</v>
      </c>
      <c r="I825" s="10" t="s">
        <v>198</v>
      </c>
      <c r="J825" s="10" t="s">
        <v>111</v>
      </c>
      <c r="K825" s="10" t="s">
        <v>326</v>
      </c>
      <c r="L825" s="10" t="s">
        <v>2763</v>
      </c>
      <c r="M825" s="9">
        <v>45940</v>
      </c>
      <c r="N825" s="9">
        <v>46023</v>
      </c>
      <c r="O825" s="9">
        <v>46036</v>
      </c>
      <c r="P825" s="11">
        <v>52</v>
      </c>
      <c r="Q825" s="12">
        <v>2534936</v>
      </c>
      <c r="R825">
        <v>696346.9192</v>
      </c>
      <c r="S825" s="22">
        <v>0.12</v>
      </c>
      <c r="T825" s="22">
        <v>0.12</v>
      </c>
      <c r="U825" s="12">
        <v>2498432.92</v>
      </c>
      <c r="V825" s="24">
        <v>686319.52312399994</v>
      </c>
      <c r="W825" s="8">
        <v>2241680.8199999998</v>
      </c>
      <c r="X825" s="24">
        <v>615789.72125399997</v>
      </c>
      <c r="Y825" s="22">
        <v>0.15</v>
      </c>
      <c r="Z825" s="22">
        <v>0.16</v>
      </c>
      <c r="AA825" s="8" t="s">
        <v>2764</v>
      </c>
      <c r="AB825" s="8">
        <v>279653</v>
      </c>
      <c r="AC825" s="24">
        <v>76820.679099999994</v>
      </c>
      <c r="AD825" s="8">
        <v>117189.37</v>
      </c>
      <c r="AE825" s="24">
        <v>32191.919938999999</v>
      </c>
      <c r="AF825" s="8">
        <v>120</v>
      </c>
      <c r="AG825" s="8">
        <v>110</v>
      </c>
      <c r="AH825" s="8" t="s">
        <v>347</v>
      </c>
      <c r="AI825" s="8" t="s">
        <v>406</v>
      </c>
      <c r="AJ825" s="22">
        <v>0.67</v>
      </c>
      <c r="AK825" s="8" t="s">
        <v>155</v>
      </c>
      <c r="AL825" s="22">
        <v>0.15</v>
      </c>
      <c r="AM825" s="22">
        <v>7.0000000000000007E-2</v>
      </c>
      <c r="AN825" s="8">
        <v>11</v>
      </c>
      <c r="AO825" s="8">
        <v>3228</v>
      </c>
      <c r="AP825" s="8">
        <v>151071.64000000001</v>
      </c>
      <c r="AQ825" s="24">
        <v>41499.379508000005</v>
      </c>
      <c r="AR825" s="8">
        <v>653849.18999999994</v>
      </c>
      <c r="AS825" s="37">
        <v>179612.37249299997</v>
      </c>
      <c r="AT825" s="8" t="s">
        <v>391</v>
      </c>
      <c r="AU825" s="8" t="s">
        <v>386</v>
      </c>
      <c r="AV825" s="8">
        <v>54.3</v>
      </c>
      <c r="AW825" s="8">
        <v>12</v>
      </c>
      <c r="AX825" s="8" t="s">
        <v>337</v>
      </c>
      <c r="AY825" s="8" t="s">
        <v>206</v>
      </c>
      <c r="AZ825" s="8" t="s">
        <v>332</v>
      </c>
      <c r="BA825" s="21">
        <f>IF(OR(tblsales[[#This Row],[Invoice Value USD]]="",tblsales[[#This Row],[Collected Amount USD]]=""),"",tblsales[[#This Row],[Invoice Value USD]]-tblsales[[#This Row],[Collected Amount USD]])</f>
        <v>44628.759160999994</v>
      </c>
      <c r="BB825" s="21">
        <f>IF(OR(tblsales[[#This Row],[Contract Value USD]]="",tblsales[[#This Row],[Cost Estimate USD]]=""),"",tblsales[[#This Row],[Contract Value USD]]-tblsales[[#This Row],[Cost Estimate USD]])</f>
        <v>70529.801869999967</v>
      </c>
      <c r="BC825" s="21">
        <f>IF(OR(tblsales[[#This Row],[Contract Value USD]]="",tblsales[[#This Row],[Cost Estimate USD]]=""),"",tblsales[[#This Row],[Contract Value USD]]-tblsales[[#This Row],[Cost Estimate USD]])</f>
        <v>70529.801869999967</v>
      </c>
      <c r="BD825" s="23">
        <f>IF(tblsales[[#This Row],[Invoice Value USD]]="","",tblsales[[#This Row],[Collected Amount USD]]/tblsales[[#This Row],[Invoice Value USD]])</f>
        <v>0.41905279042241639</v>
      </c>
      <c r="BE825" s="11">
        <f>IF(tblsales[[#This Row],[SalesStage]]="Won",1,0)</f>
        <v>0</v>
      </c>
      <c r="BF825" s="21" t="str">
        <f>IF(tblsales[[#This Row],[Win Flag]]=1,"Won","Lost")</f>
        <v>Lost</v>
      </c>
      <c r="BG825" s="8"/>
    </row>
    <row r="826" spans="1:59" x14ac:dyDescent="0.3">
      <c r="A826" s="10" t="s">
        <v>2765</v>
      </c>
      <c r="B826" s="9">
        <v>46022</v>
      </c>
      <c r="C826" s="10" t="s">
        <v>211</v>
      </c>
      <c r="D826" s="10" t="s">
        <v>245</v>
      </c>
      <c r="E826" s="10" t="s">
        <v>20</v>
      </c>
      <c r="F826" s="10" t="s">
        <v>35</v>
      </c>
      <c r="G826" s="10" t="s">
        <v>38</v>
      </c>
      <c r="H826" s="10" t="s">
        <v>263</v>
      </c>
      <c r="I826" s="10" t="s">
        <v>198</v>
      </c>
      <c r="J826" s="10" t="s">
        <v>136</v>
      </c>
      <c r="K826" s="10" t="s">
        <v>223</v>
      </c>
      <c r="L826" s="10" t="s">
        <v>2766</v>
      </c>
      <c r="M826" s="9">
        <v>45946</v>
      </c>
      <c r="N826" s="9" t="s">
        <v>2767</v>
      </c>
      <c r="O826" s="9">
        <v>46079</v>
      </c>
      <c r="P826" s="11">
        <v>21</v>
      </c>
      <c r="Q826" s="12">
        <v>11700128</v>
      </c>
      <c r="R826">
        <v>13583848.608000001</v>
      </c>
      <c r="S826" s="22">
        <v>0.24</v>
      </c>
      <c r="T826" s="22">
        <v>-0.01</v>
      </c>
      <c r="U826" s="12">
        <v>8803176.3100000005</v>
      </c>
      <c r="V826" s="24">
        <v>10220487.695910001</v>
      </c>
      <c r="W826" s="8"/>
      <c r="X826" s="24"/>
      <c r="Y826" s="22">
        <v>0.33</v>
      </c>
      <c r="Z826" s="22">
        <v>0.08</v>
      </c>
      <c r="AA826" s="8" t="s">
        <v>2768</v>
      </c>
      <c r="AB826" s="8">
        <v>7679956.4699999997</v>
      </c>
      <c r="AC826" s="24">
        <v>8916429.4616700001</v>
      </c>
      <c r="AD826" s="8">
        <v>2778167.24</v>
      </c>
      <c r="AE826" s="24">
        <v>3225452.1656400003</v>
      </c>
      <c r="AF826" s="8">
        <v>120</v>
      </c>
      <c r="AG826" s="8">
        <v>75</v>
      </c>
      <c r="AH826" s="8" t="s">
        <v>347</v>
      </c>
      <c r="AI826" s="8" t="s">
        <v>455</v>
      </c>
      <c r="AJ826" s="22">
        <v>0.94</v>
      </c>
      <c r="AK826" s="8" t="s">
        <v>159</v>
      </c>
      <c r="AL826" s="22">
        <v>0.05</v>
      </c>
      <c r="AM826" s="22">
        <v>0.02</v>
      </c>
      <c r="AN826" s="8">
        <v>4</v>
      </c>
      <c r="AO826" s="8">
        <v>1505</v>
      </c>
      <c r="AP826" s="8">
        <v>1015614.06</v>
      </c>
      <c r="AQ826" s="24">
        <v>1179127.9236600001</v>
      </c>
      <c r="AR826" s="8">
        <v>3149598.52</v>
      </c>
      <c r="AS826" s="37">
        <v>3656683.8817199999</v>
      </c>
      <c r="AT826" s="8" t="s">
        <v>332</v>
      </c>
      <c r="AU826" s="8" t="s">
        <v>348</v>
      </c>
      <c r="AV826" s="8">
        <v>92.5</v>
      </c>
      <c r="AW826" s="8"/>
      <c r="AX826" s="8" t="s">
        <v>387</v>
      </c>
      <c r="AY826" s="8" t="s">
        <v>192</v>
      </c>
      <c r="AZ826" s="8" t="s">
        <v>361</v>
      </c>
      <c r="BA826" s="21">
        <f>IF(OR(tblsales[[#This Row],[Invoice Value USD]]="",tblsales[[#This Row],[Collected Amount USD]]=""),"",tblsales[[#This Row],[Invoice Value USD]]-tblsales[[#This Row],[Collected Amount USD]])</f>
        <v>5690977.2960299999</v>
      </c>
      <c r="BB826" s="21" t="str">
        <f>IF(OR(tblsales[[#This Row],[Contract Value USD]]="",tblsales[[#This Row],[Cost Estimate USD]]=""),"",tblsales[[#This Row],[Contract Value USD]]-tblsales[[#This Row],[Cost Estimate USD]])</f>
        <v/>
      </c>
      <c r="BC826" s="21" t="str">
        <f>IF(OR(tblsales[[#This Row],[Contract Value USD]]="",tblsales[[#This Row],[Cost Estimate USD]]=""),"",tblsales[[#This Row],[Contract Value USD]]-tblsales[[#This Row],[Cost Estimate USD]])</f>
        <v/>
      </c>
      <c r="BD826" s="23">
        <f>IF(tblsales[[#This Row],[Invoice Value USD]]="","",tblsales[[#This Row],[Collected Amount USD]]/tblsales[[#This Row],[Invoice Value USD]])</f>
        <v>0.36174257638728519</v>
      </c>
      <c r="BE826" s="11">
        <f>IF(tblsales[[#This Row],[SalesStage]]="Won",1,0)</f>
        <v>0</v>
      </c>
      <c r="BF826" s="21" t="str">
        <f>IF(tblsales[[#This Row],[Win Flag]]=1,"Won","Lost")</f>
        <v>Lost</v>
      </c>
      <c r="BG826" s="8"/>
    </row>
    <row r="827" spans="1:59" x14ac:dyDescent="0.3">
      <c r="A827" s="10" t="s">
        <v>2769</v>
      </c>
      <c r="B827" s="9">
        <v>45683</v>
      </c>
      <c r="C827" s="10" t="s">
        <v>261</v>
      </c>
      <c r="D827" s="10" t="s">
        <v>220</v>
      </c>
      <c r="E827" s="10" t="s">
        <v>41</v>
      </c>
      <c r="F827" s="10" t="s">
        <v>228</v>
      </c>
      <c r="G827" s="10" t="s">
        <v>16</v>
      </c>
      <c r="H827" s="10" t="s">
        <v>216</v>
      </c>
      <c r="I827" s="10" t="s">
        <v>183</v>
      </c>
      <c r="J827" s="10" t="s">
        <v>130</v>
      </c>
      <c r="K827" s="10" t="s">
        <v>204</v>
      </c>
      <c r="L827" s="10" t="s">
        <v>2770</v>
      </c>
      <c r="M827" s="9">
        <v>45621</v>
      </c>
      <c r="N827" s="9">
        <v>45703</v>
      </c>
      <c r="O827" s="9"/>
      <c r="P827" s="11">
        <v>50</v>
      </c>
      <c r="Q827" s="12">
        <v>12710147</v>
      </c>
      <c r="R827">
        <v>14756480.667000001</v>
      </c>
      <c r="S827" s="22">
        <v>0.28999999999999998</v>
      </c>
      <c r="T827" s="22">
        <v>7.0000000000000007E-2</v>
      </c>
      <c r="U827" s="12">
        <v>9655898.6799999997</v>
      </c>
      <c r="V827" s="24">
        <v>11210498.36748</v>
      </c>
      <c r="W827" s="8">
        <v>7562723.8499999996</v>
      </c>
      <c r="X827" s="24">
        <v>8780322.3898499999</v>
      </c>
      <c r="Y827" s="22">
        <v>0.32</v>
      </c>
      <c r="Z827" s="22">
        <v>0.19</v>
      </c>
      <c r="AA827" s="8" t="s">
        <v>2771</v>
      </c>
      <c r="AB827" s="8">
        <v>3475219.17</v>
      </c>
      <c r="AC827" s="24">
        <v>4034729.4563699998</v>
      </c>
      <c r="AD827" s="8">
        <v>2754912.04</v>
      </c>
      <c r="AE827" s="24">
        <v>3198452.8784400001</v>
      </c>
      <c r="AF827" s="8">
        <v>90</v>
      </c>
      <c r="AG827" s="8">
        <v>169</v>
      </c>
      <c r="AH827" s="8" t="s">
        <v>376</v>
      </c>
      <c r="AI827" s="8" t="s">
        <v>455</v>
      </c>
      <c r="AJ827" s="22">
        <v>0.82</v>
      </c>
      <c r="AK827" s="8" t="s">
        <v>159</v>
      </c>
      <c r="AL827" s="22">
        <v>0.1</v>
      </c>
      <c r="AM827" s="22">
        <v>0.05</v>
      </c>
      <c r="AN827" s="8">
        <v>0</v>
      </c>
      <c r="AO827" s="8">
        <v>3871</v>
      </c>
      <c r="AP827" s="8">
        <v>2228656.5</v>
      </c>
      <c r="AQ827" s="24">
        <v>2587470.1965000001</v>
      </c>
      <c r="AR827" s="8">
        <v>4797570.99</v>
      </c>
      <c r="AS827" s="37">
        <v>5569979.9193900004</v>
      </c>
      <c r="AT827" s="8" t="s">
        <v>332</v>
      </c>
      <c r="AU827" s="8" t="s">
        <v>356</v>
      </c>
      <c r="AV827" s="8">
        <v>98.3</v>
      </c>
      <c r="AW827" s="8">
        <v>60</v>
      </c>
      <c r="AX827" s="8" t="s">
        <v>387</v>
      </c>
      <c r="AY827" s="8" t="s">
        <v>206</v>
      </c>
      <c r="AZ827" s="8" t="s">
        <v>332</v>
      </c>
      <c r="BA827" s="21">
        <f>IF(OR(tblsales[[#This Row],[Invoice Value USD]]="",tblsales[[#This Row],[Collected Amount USD]]=""),"",tblsales[[#This Row],[Invoice Value USD]]-tblsales[[#This Row],[Collected Amount USD]])</f>
        <v>836276.57792999968</v>
      </c>
      <c r="BB827" s="21">
        <f>IF(OR(tblsales[[#This Row],[Contract Value USD]]="",tblsales[[#This Row],[Cost Estimate USD]]=""),"",tblsales[[#This Row],[Contract Value USD]]-tblsales[[#This Row],[Cost Estimate USD]])</f>
        <v>2430175.9776300006</v>
      </c>
      <c r="BC827" s="21">
        <f>IF(OR(tblsales[[#This Row],[Contract Value USD]]="",tblsales[[#This Row],[Cost Estimate USD]]=""),"",tblsales[[#This Row],[Contract Value USD]]-tblsales[[#This Row],[Cost Estimate USD]])</f>
        <v>2430175.9776300006</v>
      </c>
      <c r="BD827" s="23">
        <f>IF(tblsales[[#This Row],[Invoice Value USD]]="","",tblsales[[#This Row],[Collected Amount USD]]/tblsales[[#This Row],[Invoice Value USD]])</f>
        <v>0.79273044525706859</v>
      </c>
      <c r="BE827" s="11">
        <f>IF(tblsales[[#This Row],[SalesStage]]="Won",1,0)</f>
        <v>0</v>
      </c>
      <c r="BF827" s="21" t="str">
        <f>IF(tblsales[[#This Row],[Win Flag]]=1,"Won","Lost")</f>
        <v>Lost</v>
      </c>
      <c r="BG827" s="8"/>
    </row>
    <row r="828" spans="1:59" x14ac:dyDescent="0.3">
      <c r="A828" s="10" t="s">
        <v>2772</v>
      </c>
      <c r="B828" s="9">
        <v>46067</v>
      </c>
      <c r="C828" s="10" t="s">
        <v>219</v>
      </c>
      <c r="D828" s="10" t="s">
        <v>180</v>
      </c>
      <c r="E828" s="10" t="s">
        <v>36</v>
      </c>
      <c r="F828" s="10" t="s">
        <v>19</v>
      </c>
      <c r="G828" s="10" t="s">
        <v>38</v>
      </c>
      <c r="H828" s="10" t="s">
        <v>332</v>
      </c>
      <c r="I828" s="10" t="s">
        <v>240</v>
      </c>
      <c r="J828" s="10" t="s">
        <v>115</v>
      </c>
      <c r="K828" s="10" t="s">
        <v>204</v>
      </c>
      <c r="L828" s="10" t="s">
        <v>2773</v>
      </c>
      <c r="M828" s="9">
        <v>46357</v>
      </c>
      <c r="N828" s="9"/>
      <c r="O828" s="9">
        <v>46141</v>
      </c>
      <c r="P828" s="11">
        <v>6</v>
      </c>
      <c r="Q828" s="12">
        <v>34168309</v>
      </c>
      <c r="R828">
        <v>9304030.5406999998</v>
      </c>
      <c r="S828" s="22">
        <v>0.28999999999999998</v>
      </c>
      <c r="T828" s="22">
        <v>-0.04</v>
      </c>
      <c r="U828" s="12">
        <v>23289119.41</v>
      </c>
      <c r="V828" s="24">
        <v>6341627.2153429994</v>
      </c>
      <c r="W828" s="8">
        <v>16714728.07</v>
      </c>
      <c r="X828" s="24">
        <v>4551420.4534609998</v>
      </c>
      <c r="Y828" s="22">
        <v>0.12</v>
      </c>
      <c r="Z828" s="22">
        <v>0.18</v>
      </c>
      <c r="AA828" s="8" t="s">
        <v>2774</v>
      </c>
      <c r="AB828" s="8">
        <v>11740530.359999999</v>
      </c>
      <c r="AC828" s="24">
        <v>3196946.4170279996</v>
      </c>
      <c r="AD828" s="8">
        <v>10320686.890000001</v>
      </c>
      <c r="AE828" s="24">
        <v>2810323.040147</v>
      </c>
      <c r="AF828" s="8">
        <v>60</v>
      </c>
      <c r="AG828" s="8">
        <v>5</v>
      </c>
      <c r="AH828" s="8" t="s">
        <v>342</v>
      </c>
      <c r="AI828" s="8" t="s">
        <v>455</v>
      </c>
      <c r="AJ828" s="22">
        <v>0.64</v>
      </c>
      <c r="AK828" s="8" t="s">
        <v>153</v>
      </c>
      <c r="AL828" s="22">
        <v>0.05</v>
      </c>
      <c r="AM828" s="22">
        <v>0.05</v>
      </c>
      <c r="AN828" s="8">
        <v>5</v>
      </c>
      <c r="AO828" s="8">
        <v>3242</v>
      </c>
      <c r="AP828" s="8">
        <v>4227708.25</v>
      </c>
      <c r="AQ828" s="24">
        <v>1151204.9564749999</v>
      </c>
      <c r="AR828" s="8">
        <v>2966998.77</v>
      </c>
      <c r="AS828" s="37">
        <v>807913.76507099997</v>
      </c>
      <c r="AT828" s="8" t="s">
        <v>321</v>
      </c>
      <c r="AU828" s="8" t="s">
        <v>348</v>
      </c>
      <c r="AV828" s="8">
        <v>72.099999999999994</v>
      </c>
      <c r="AW828" s="8"/>
      <c r="AX828" s="8" t="s">
        <v>332</v>
      </c>
      <c r="AY828" s="8" t="s">
        <v>224</v>
      </c>
      <c r="AZ828" s="8" t="s">
        <v>332</v>
      </c>
      <c r="BA828" s="21">
        <f>IF(OR(tblsales[[#This Row],[Invoice Value USD]]="",tblsales[[#This Row],[Collected Amount USD]]=""),"",tblsales[[#This Row],[Invoice Value USD]]-tblsales[[#This Row],[Collected Amount USD]])</f>
        <v>386623.37688099965</v>
      </c>
      <c r="BB828" s="21">
        <f>IF(OR(tblsales[[#This Row],[Contract Value USD]]="",tblsales[[#This Row],[Cost Estimate USD]]=""),"",tblsales[[#This Row],[Contract Value USD]]-tblsales[[#This Row],[Cost Estimate USD]])</f>
        <v>1790206.7618819997</v>
      </c>
      <c r="BC828" s="21">
        <f>IF(OR(tblsales[[#This Row],[Contract Value USD]]="",tblsales[[#This Row],[Cost Estimate USD]]=""),"",tblsales[[#This Row],[Contract Value USD]]-tblsales[[#This Row],[Cost Estimate USD]])</f>
        <v>1790206.7618819997</v>
      </c>
      <c r="BD828" s="23">
        <f>IF(tblsales[[#This Row],[Invoice Value USD]]="","",tblsales[[#This Row],[Collected Amount USD]]/tblsales[[#This Row],[Invoice Value USD]])</f>
        <v>0.87906479294688367</v>
      </c>
      <c r="BE828" s="11">
        <f>IF(tblsales[[#This Row],[SalesStage]]="Won",1,0)</f>
        <v>0</v>
      </c>
      <c r="BF828" s="21" t="str">
        <f>IF(tblsales[[#This Row],[Win Flag]]=1,"Won","Lost")</f>
        <v>Lost</v>
      </c>
      <c r="BG828" s="8"/>
    </row>
    <row r="829" spans="1:59" x14ac:dyDescent="0.3">
      <c r="A829" s="10" t="s">
        <v>2775</v>
      </c>
      <c r="B829" s="9">
        <v>45760</v>
      </c>
      <c r="C829" s="10" t="s">
        <v>277</v>
      </c>
      <c r="D829" s="10" t="s">
        <v>281</v>
      </c>
      <c r="E829" s="10" t="s">
        <v>36</v>
      </c>
      <c r="F829" s="10" t="s">
        <v>19</v>
      </c>
      <c r="G829" s="10" t="s">
        <v>80</v>
      </c>
      <c r="H829" s="10" t="s">
        <v>182</v>
      </c>
      <c r="I829" s="10" t="s">
        <v>203</v>
      </c>
      <c r="J829" s="10" t="s">
        <v>115</v>
      </c>
      <c r="K829" s="10" t="s">
        <v>199</v>
      </c>
      <c r="L829" s="10" t="s">
        <v>2776</v>
      </c>
      <c r="M829" s="9">
        <v>45699</v>
      </c>
      <c r="N829" s="9">
        <v>45844</v>
      </c>
      <c r="O829" s="9">
        <v>45906</v>
      </c>
      <c r="P829" s="11">
        <v>45</v>
      </c>
      <c r="Q829" s="12"/>
      <c r="S829" s="22">
        <v>0.15</v>
      </c>
      <c r="T829" s="22">
        <v>0.15</v>
      </c>
      <c r="U829" s="12">
        <v>38312508.399999999</v>
      </c>
      <c r="V829" s="24">
        <v>38312508.399999999</v>
      </c>
      <c r="W829" s="8">
        <v>26897905.199999999</v>
      </c>
      <c r="X829" s="24">
        <v>26897905.199999999</v>
      </c>
      <c r="Y829" s="22">
        <v>7.0000000000000007E-2</v>
      </c>
      <c r="Z829" s="22">
        <v>0.11</v>
      </c>
      <c r="AA829" s="8" t="s">
        <v>2777</v>
      </c>
      <c r="AB829" s="8">
        <v>2067158.61</v>
      </c>
      <c r="AC829" s="24">
        <v>2067158.61</v>
      </c>
      <c r="AD829" s="8">
        <v>1836375.55</v>
      </c>
      <c r="AE829" s="24">
        <v>1836375.55</v>
      </c>
      <c r="AF829" s="8">
        <v>60</v>
      </c>
      <c r="AG829" s="8">
        <v>119</v>
      </c>
      <c r="AH829" s="8" t="s">
        <v>342</v>
      </c>
      <c r="AI829" s="8" t="s">
        <v>406</v>
      </c>
      <c r="AJ829" s="22">
        <v>0.35</v>
      </c>
      <c r="AK829" s="8" t="s">
        <v>152</v>
      </c>
      <c r="AL829" s="22">
        <v>0.05</v>
      </c>
      <c r="AM829" s="22">
        <v>7.0000000000000007E-2</v>
      </c>
      <c r="AN829" s="8">
        <v>12</v>
      </c>
      <c r="AO829" s="8">
        <v>4765</v>
      </c>
      <c r="AP829" s="8"/>
      <c r="AQ829" s="24"/>
      <c r="AR829" s="8">
        <v>9640843.8699999992</v>
      </c>
      <c r="AS829" s="37">
        <v>9640843.8699999992</v>
      </c>
      <c r="AT829" s="8" t="s">
        <v>73</v>
      </c>
      <c r="AU829" s="8" t="s">
        <v>356</v>
      </c>
      <c r="AV829" s="8">
        <v>82.4</v>
      </c>
      <c r="AW829" s="8">
        <v>60</v>
      </c>
      <c r="AX829" s="8" t="s">
        <v>392</v>
      </c>
      <c r="AY829" s="8" t="s">
        <v>186</v>
      </c>
      <c r="AZ829" s="8" t="s">
        <v>357</v>
      </c>
      <c r="BA829" s="21">
        <f>IF(OR(tblsales[[#This Row],[Invoice Value USD]]="",tblsales[[#This Row],[Collected Amount USD]]=""),"",tblsales[[#This Row],[Invoice Value USD]]-tblsales[[#This Row],[Collected Amount USD]])</f>
        <v>230783.06000000006</v>
      </c>
      <c r="BB829" s="21">
        <f>IF(OR(tblsales[[#This Row],[Contract Value USD]]="",tblsales[[#This Row],[Cost Estimate USD]]=""),"",tblsales[[#This Row],[Contract Value USD]]-tblsales[[#This Row],[Cost Estimate USD]])</f>
        <v>11414603.199999999</v>
      </c>
      <c r="BC829" s="21">
        <f>IF(OR(tblsales[[#This Row],[Contract Value USD]]="",tblsales[[#This Row],[Cost Estimate USD]]=""),"",tblsales[[#This Row],[Contract Value USD]]-tblsales[[#This Row],[Cost Estimate USD]])</f>
        <v>11414603.199999999</v>
      </c>
      <c r="BD829" s="23">
        <f>IF(tblsales[[#This Row],[Invoice Value USD]]="","",tblsales[[#This Row],[Collected Amount USD]]/tblsales[[#This Row],[Invoice Value USD]])</f>
        <v>0.88835735251103931</v>
      </c>
      <c r="BE829" s="11">
        <f>IF(tblsales[[#This Row],[SalesStage]]="Won",1,0)</f>
        <v>0</v>
      </c>
      <c r="BF829" s="21" t="str">
        <f>IF(tblsales[[#This Row],[Win Flag]]=1,"Won","Lost")</f>
        <v>Lost</v>
      </c>
      <c r="BG829" s="8"/>
    </row>
    <row r="830" spans="1:59" x14ac:dyDescent="0.3">
      <c r="A830" s="10" t="s">
        <v>2778</v>
      </c>
      <c r="B830" s="9">
        <v>45950</v>
      </c>
      <c r="C830" s="10" t="s">
        <v>284</v>
      </c>
      <c r="D830" s="10" t="s">
        <v>202</v>
      </c>
      <c r="E830" s="10" t="s">
        <v>20</v>
      </c>
      <c r="F830" s="10" t="s">
        <v>31</v>
      </c>
      <c r="G830" s="10" t="s">
        <v>23</v>
      </c>
      <c r="H830" s="10" t="s">
        <v>212</v>
      </c>
      <c r="I830" s="10" t="s">
        <v>233</v>
      </c>
      <c r="J830" s="10" t="s">
        <v>136</v>
      </c>
      <c r="K830" s="10" t="s">
        <v>199</v>
      </c>
      <c r="L830" s="10" t="s">
        <v>2779</v>
      </c>
      <c r="M830" s="9">
        <v>45924</v>
      </c>
      <c r="N830" s="9">
        <v>45912</v>
      </c>
      <c r="O830" s="9"/>
      <c r="P830" s="11">
        <v>45</v>
      </c>
      <c r="Q830" s="12">
        <v>47796347</v>
      </c>
      <c r="R830">
        <v>55491558.866999999</v>
      </c>
      <c r="S830" s="22">
        <v>0.2</v>
      </c>
      <c r="T830" s="22">
        <v>0.15</v>
      </c>
      <c r="U830" s="12">
        <v>43972639.240000002</v>
      </c>
      <c r="V830" s="24">
        <v>51052234.157640003</v>
      </c>
      <c r="W830" s="8">
        <v>36966305.090000004</v>
      </c>
      <c r="X830" s="24">
        <v>42917880.209490009</v>
      </c>
      <c r="Y830" s="22">
        <v>0.37</v>
      </c>
      <c r="Z830" s="22">
        <v>0.09</v>
      </c>
      <c r="AA830" s="8" t="s">
        <v>2780</v>
      </c>
      <c r="AB830" s="8">
        <v>27849631.039999999</v>
      </c>
      <c r="AC830" s="24">
        <v>32333421.63744</v>
      </c>
      <c r="AD830" s="8">
        <v>27237970.300000001</v>
      </c>
      <c r="AE830" s="24">
        <v>31623283.518300001</v>
      </c>
      <c r="AF830" s="8">
        <v>45</v>
      </c>
      <c r="AG830" s="8">
        <v>116</v>
      </c>
      <c r="AH830" s="8" t="s">
        <v>342</v>
      </c>
      <c r="AI830" s="8" t="s">
        <v>455</v>
      </c>
      <c r="AJ830" s="22">
        <v>0.68</v>
      </c>
      <c r="AK830" s="8" t="s">
        <v>159</v>
      </c>
      <c r="AL830" s="22">
        <v>0.15</v>
      </c>
      <c r="AM830" s="22">
        <v>0.03</v>
      </c>
      <c r="AN830" s="8">
        <v>8</v>
      </c>
      <c r="AO830" s="8">
        <v>3002</v>
      </c>
      <c r="AP830" s="8">
        <v>8249732.0999999996</v>
      </c>
      <c r="AQ830" s="24">
        <v>9577938.9681000002</v>
      </c>
      <c r="AR830" s="8">
        <v>13299379.029999999</v>
      </c>
      <c r="AS830" s="37">
        <v>15440579.05383</v>
      </c>
      <c r="AT830" s="8" t="s">
        <v>343</v>
      </c>
      <c r="AU830" s="8" t="s">
        <v>322</v>
      </c>
      <c r="AV830" s="8">
        <v>66.3</v>
      </c>
      <c r="AW830" s="8">
        <v>24</v>
      </c>
      <c r="AX830" s="8" t="s">
        <v>337</v>
      </c>
      <c r="AY830" s="8" t="s">
        <v>224</v>
      </c>
      <c r="AZ830" s="8" t="s">
        <v>357</v>
      </c>
      <c r="BA830" s="21">
        <f>IF(OR(tblsales[[#This Row],[Invoice Value USD]]="",tblsales[[#This Row],[Collected Amount USD]]=""),"",tblsales[[#This Row],[Invoice Value USD]]-tblsales[[#This Row],[Collected Amount USD]])</f>
        <v>710138.11913999915</v>
      </c>
      <c r="BB830" s="21">
        <f>IF(OR(tblsales[[#This Row],[Contract Value USD]]="",tblsales[[#This Row],[Cost Estimate USD]]=""),"",tblsales[[#This Row],[Contract Value USD]]-tblsales[[#This Row],[Cost Estimate USD]])</f>
        <v>8134353.948149994</v>
      </c>
      <c r="BC830" s="21">
        <f>IF(OR(tblsales[[#This Row],[Contract Value USD]]="",tblsales[[#This Row],[Cost Estimate USD]]=""),"",tblsales[[#This Row],[Contract Value USD]]-tblsales[[#This Row],[Cost Estimate USD]])</f>
        <v>8134353.948149994</v>
      </c>
      <c r="BD830" s="23">
        <f>IF(tblsales[[#This Row],[Invoice Value USD]]="","",tblsales[[#This Row],[Collected Amount USD]]/tblsales[[#This Row],[Invoice Value USD]])</f>
        <v>0.97803702536951098</v>
      </c>
      <c r="BE830" s="11">
        <f>IF(tblsales[[#This Row],[SalesStage]]="Won",1,0)</f>
        <v>0</v>
      </c>
      <c r="BF830" s="21" t="str">
        <f>IF(tblsales[[#This Row],[Win Flag]]=1,"Won","Lost")</f>
        <v>Lost</v>
      </c>
      <c r="BG830" s="8"/>
    </row>
    <row r="831" spans="1:59" x14ac:dyDescent="0.3">
      <c r="A831" s="10" t="s">
        <v>2781</v>
      </c>
      <c r="B831" s="9">
        <v>45820</v>
      </c>
      <c r="C831" s="10" t="s">
        <v>237</v>
      </c>
      <c r="D831" s="10" t="s">
        <v>190</v>
      </c>
      <c r="E831" s="10" t="s">
        <v>41</v>
      </c>
      <c r="F831" s="10" t="s">
        <v>363</v>
      </c>
      <c r="G831" s="10" t="s">
        <v>73</v>
      </c>
      <c r="H831" s="10" t="s">
        <v>216</v>
      </c>
      <c r="I831" s="10" t="s">
        <v>240</v>
      </c>
      <c r="J831" s="10" t="s">
        <v>130</v>
      </c>
      <c r="K831" s="10" t="s">
        <v>204</v>
      </c>
      <c r="L831" s="10" t="s">
        <v>2782</v>
      </c>
      <c r="M831" s="9">
        <v>45769</v>
      </c>
      <c r="N831" s="9"/>
      <c r="O831" s="9">
        <v>45919</v>
      </c>
      <c r="P831" s="11">
        <v>12</v>
      </c>
      <c r="Q831" s="12">
        <v>43833407</v>
      </c>
      <c r="R831">
        <v>11935836.7261</v>
      </c>
      <c r="S831" s="22">
        <v>0.16</v>
      </c>
      <c r="T831" s="22">
        <v>0</v>
      </c>
      <c r="U831" s="12">
        <v>36820061.880000003</v>
      </c>
      <c r="V831" s="24">
        <v>10026102.849924</v>
      </c>
      <c r="W831" s="8"/>
      <c r="X831" s="24"/>
      <c r="Y831" s="22">
        <v>0.1</v>
      </c>
      <c r="Z831" s="22">
        <v>0.19</v>
      </c>
      <c r="AA831" s="8" t="s">
        <v>2783</v>
      </c>
      <c r="AB831" s="8">
        <v>22875064.199999999</v>
      </c>
      <c r="AC831" s="24">
        <v>6228879.9816599991</v>
      </c>
      <c r="AD831" s="8">
        <v>12256585.609999999</v>
      </c>
      <c r="AE831" s="24">
        <v>3337468.2616029996</v>
      </c>
      <c r="AF831" s="8">
        <v>45</v>
      </c>
      <c r="AG831" s="8">
        <v>17</v>
      </c>
      <c r="AH831" s="8" t="s">
        <v>376</v>
      </c>
      <c r="AI831" s="8" t="s">
        <v>406</v>
      </c>
      <c r="AJ831" s="22">
        <v>0.7</v>
      </c>
      <c r="AK831" s="8" t="s">
        <v>153</v>
      </c>
      <c r="AL831" s="22">
        <v>0.05</v>
      </c>
      <c r="AM831" s="22">
        <v>0.06</v>
      </c>
      <c r="AN831" s="8">
        <v>2</v>
      </c>
      <c r="AO831" s="8">
        <v>2497</v>
      </c>
      <c r="AP831" s="8">
        <v>1739901.92</v>
      </c>
      <c r="AQ831" s="24">
        <v>473775.29281599994</v>
      </c>
      <c r="AR831" s="8">
        <v>12119745.84</v>
      </c>
      <c r="AS831" s="37">
        <v>3300206.7922319998</v>
      </c>
      <c r="AT831" s="8" t="s">
        <v>343</v>
      </c>
      <c r="AU831" s="8" t="s">
        <v>348</v>
      </c>
      <c r="AV831" s="8">
        <v>62.7</v>
      </c>
      <c r="AW831" s="8">
        <v>12</v>
      </c>
      <c r="AX831" s="8" t="s">
        <v>323</v>
      </c>
      <c r="AY831" s="8" t="s">
        <v>186</v>
      </c>
      <c r="AZ831" s="8" t="s">
        <v>377</v>
      </c>
      <c r="BA831" s="21">
        <f>IF(OR(tblsales[[#This Row],[Invoice Value USD]]="",tblsales[[#This Row],[Collected Amount USD]]=""),"",tblsales[[#This Row],[Invoice Value USD]]-tblsales[[#This Row],[Collected Amount USD]])</f>
        <v>2891411.7200569995</v>
      </c>
      <c r="BB831" s="21" t="str">
        <f>IF(OR(tblsales[[#This Row],[Contract Value USD]]="",tblsales[[#This Row],[Cost Estimate USD]]=""),"",tblsales[[#This Row],[Contract Value USD]]-tblsales[[#This Row],[Cost Estimate USD]])</f>
        <v/>
      </c>
      <c r="BC831" s="21" t="str">
        <f>IF(OR(tblsales[[#This Row],[Contract Value USD]]="",tblsales[[#This Row],[Cost Estimate USD]]=""),"",tblsales[[#This Row],[Contract Value USD]]-tblsales[[#This Row],[Cost Estimate USD]])</f>
        <v/>
      </c>
      <c r="BD831" s="23">
        <f>IF(tblsales[[#This Row],[Invoice Value USD]]="","",tblsales[[#This Row],[Collected Amount USD]]/tblsales[[#This Row],[Invoice Value USD]])</f>
        <v>0.53580551743325822</v>
      </c>
      <c r="BE831" s="11">
        <f>IF(tblsales[[#This Row],[SalesStage]]="Won",1,0)</f>
        <v>0</v>
      </c>
      <c r="BF831" s="21" t="str">
        <f>IF(tblsales[[#This Row],[Win Flag]]=1,"Won","Lost")</f>
        <v>Lost</v>
      </c>
      <c r="BG831" s="8"/>
    </row>
    <row r="832" spans="1:59" x14ac:dyDescent="0.3">
      <c r="A832" s="10" t="s">
        <v>2784</v>
      </c>
      <c r="B832" s="9">
        <v>45963</v>
      </c>
      <c r="C832" s="10" t="s">
        <v>244</v>
      </c>
      <c r="D832" s="10" t="s">
        <v>265</v>
      </c>
      <c r="E832" s="10" t="s">
        <v>332</v>
      </c>
      <c r="F832" s="10" t="s">
        <v>367</v>
      </c>
      <c r="G832" s="10" t="s">
        <v>66</v>
      </c>
      <c r="H832" s="10" t="s">
        <v>332</v>
      </c>
      <c r="I832" s="10" t="s">
        <v>240</v>
      </c>
      <c r="J832" s="10" t="s">
        <v>99</v>
      </c>
      <c r="K832" s="10" t="s">
        <v>221</v>
      </c>
      <c r="L832" s="10" t="s">
        <v>2785</v>
      </c>
      <c r="M832" s="9">
        <v>45786</v>
      </c>
      <c r="N832" s="9"/>
      <c r="O832" s="9">
        <v>46113</v>
      </c>
      <c r="P832" s="11"/>
      <c r="Q832" s="12">
        <v>40804005</v>
      </c>
      <c r="R832">
        <v>40804005</v>
      </c>
      <c r="S832" s="22">
        <v>0.08</v>
      </c>
      <c r="T832" s="22">
        <v>0.18</v>
      </c>
      <c r="U832" s="12">
        <v>44296827.829999998</v>
      </c>
      <c r="V832" s="24">
        <v>44296827.829999998</v>
      </c>
      <c r="W832" s="8">
        <v>38729811.159999996</v>
      </c>
      <c r="X832" s="24">
        <v>38729811.159999996</v>
      </c>
      <c r="Y832" s="22">
        <v>0.13</v>
      </c>
      <c r="Z832" s="22">
        <v>0.06</v>
      </c>
      <c r="AA832" s="8" t="s">
        <v>2786</v>
      </c>
      <c r="AB832" s="8">
        <v>14348034.619999999</v>
      </c>
      <c r="AC832" s="24">
        <v>14348034.619999999</v>
      </c>
      <c r="AD832" s="8">
        <v>12679656.029999999</v>
      </c>
      <c r="AE832" s="24">
        <v>12679656.029999999</v>
      </c>
      <c r="AF832" s="8">
        <v>60</v>
      </c>
      <c r="AG832" s="8">
        <v>26</v>
      </c>
      <c r="AH832" s="8" t="s">
        <v>347</v>
      </c>
      <c r="AI832" s="8" t="s">
        <v>336</v>
      </c>
      <c r="AJ832" s="22">
        <v>0.24</v>
      </c>
      <c r="AK832" s="8" t="s">
        <v>152</v>
      </c>
      <c r="AL832" s="22">
        <v>0.15</v>
      </c>
      <c r="AM832" s="22">
        <v>0.1</v>
      </c>
      <c r="AN832" s="8">
        <v>3</v>
      </c>
      <c r="AO832" s="8"/>
      <c r="AP832" s="8">
        <v>7220934.1299999999</v>
      </c>
      <c r="AQ832" s="24">
        <v>7220934.1299999999</v>
      </c>
      <c r="AR832" s="8">
        <v>21922964.870000001</v>
      </c>
      <c r="AS832" s="37">
        <v>21922964.870000001</v>
      </c>
      <c r="AT832" s="8" t="s">
        <v>332</v>
      </c>
      <c r="AU832" s="8" t="s">
        <v>321</v>
      </c>
      <c r="AV832" s="8">
        <v>76.400000000000006</v>
      </c>
      <c r="AW832" s="8">
        <v>24</v>
      </c>
      <c r="AX832" s="8" t="s">
        <v>387</v>
      </c>
      <c r="AY832" s="8" t="s">
        <v>192</v>
      </c>
      <c r="AZ832" s="8" t="s">
        <v>357</v>
      </c>
      <c r="BA832" s="21">
        <f>IF(OR(tblsales[[#This Row],[Invoice Value USD]]="",tblsales[[#This Row],[Collected Amount USD]]=""),"",tblsales[[#This Row],[Invoice Value USD]]-tblsales[[#This Row],[Collected Amount USD]])</f>
        <v>1668378.5899999999</v>
      </c>
      <c r="BB832" s="21">
        <f>IF(OR(tblsales[[#This Row],[Contract Value USD]]="",tblsales[[#This Row],[Cost Estimate USD]]=""),"",tblsales[[#This Row],[Contract Value USD]]-tblsales[[#This Row],[Cost Estimate USD]])</f>
        <v>5567016.6700000018</v>
      </c>
      <c r="BC832" s="21">
        <f>IF(OR(tblsales[[#This Row],[Contract Value USD]]="",tblsales[[#This Row],[Cost Estimate USD]]=""),"",tblsales[[#This Row],[Contract Value USD]]-tblsales[[#This Row],[Cost Estimate USD]])</f>
        <v>5567016.6700000018</v>
      </c>
      <c r="BD832" s="23">
        <f>IF(tblsales[[#This Row],[Invoice Value USD]]="","",tblsales[[#This Row],[Collected Amount USD]]/tblsales[[#This Row],[Invoice Value USD]])</f>
        <v>0.8837207579862949</v>
      </c>
      <c r="BE832" s="11">
        <f>IF(tblsales[[#This Row],[SalesStage]]="Won",1,0)</f>
        <v>0</v>
      </c>
      <c r="BF832" s="21" t="str">
        <f>IF(tblsales[[#This Row],[Win Flag]]=1,"Won","Lost")</f>
        <v>Lost</v>
      </c>
      <c r="BG832" s="8"/>
    </row>
    <row r="833" spans="1:59" x14ac:dyDescent="0.3">
      <c r="A833" s="10" t="s">
        <v>2787</v>
      </c>
      <c r="B833" s="9">
        <v>45973</v>
      </c>
      <c r="C833" s="10" t="s">
        <v>258</v>
      </c>
      <c r="D833" s="10" t="s">
        <v>255</v>
      </c>
      <c r="E833" s="10" t="s">
        <v>20</v>
      </c>
      <c r="F833" s="10" t="s">
        <v>35</v>
      </c>
      <c r="G833" s="10" t="s">
        <v>16</v>
      </c>
      <c r="H833" s="10" t="s">
        <v>332</v>
      </c>
      <c r="I833" s="10" t="s">
        <v>203</v>
      </c>
      <c r="J833" s="10" t="s">
        <v>136</v>
      </c>
      <c r="K833" s="10" t="s">
        <v>210</v>
      </c>
      <c r="L833" s="10" t="s">
        <v>2788</v>
      </c>
      <c r="M833" s="9">
        <v>45926</v>
      </c>
      <c r="N833" s="9">
        <v>46019</v>
      </c>
      <c r="O833" s="9"/>
      <c r="P833" s="11">
        <v>32</v>
      </c>
      <c r="Q833" s="12">
        <v>7294341</v>
      </c>
      <c r="R833">
        <v>1986249.0543</v>
      </c>
      <c r="S833" s="22">
        <v>0.23</v>
      </c>
      <c r="T833" s="22">
        <v>0.17</v>
      </c>
      <c r="U833" s="12">
        <v>6571471.8099999996</v>
      </c>
      <c r="V833" s="24">
        <v>1789411.7738629999</v>
      </c>
      <c r="W833" s="8">
        <v>4689343.1500000004</v>
      </c>
      <c r="X833" s="24">
        <v>1276908.1397450001</v>
      </c>
      <c r="Y833" s="22">
        <v>0.17</v>
      </c>
      <c r="Z833" s="22">
        <v>0.11</v>
      </c>
      <c r="AA833" s="8" t="s">
        <v>2789</v>
      </c>
      <c r="AB833" s="8">
        <v>3411650.97</v>
      </c>
      <c r="AC833" s="24">
        <v>928992.55913099996</v>
      </c>
      <c r="AD833" s="8"/>
      <c r="AE833" s="24"/>
      <c r="AF833" s="8">
        <v>90</v>
      </c>
      <c r="AG833" s="8">
        <v>81</v>
      </c>
      <c r="AH833" s="8" t="s">
        <v>332</v>
      </c>
      <c r="AI833" s="8" t="s">
        <v>455</v>
      </c>
      <c r="AJ833" s="22">
        <v>0.75</v>
      </c>
      <c r="AK833" s="8" t="s">
        <v>153</v>
      </c>
      <c r="AL833" s="22">
        <v>0.15</v>
      </c>
      <c r="AM833" s="22">
        <v>0.04</v>
      </c>
      <c r="AN833" s="8">
        <v>8</v>
      </c>
      <c r="AO833" s="8">
        <v>516</v>
      </c>
      <c r="AP833" s="8">
        <v>724392.57</v>
      </c>
      <c r="AQ833" s="24">
        <v>197252.09681099997</v>
      </c>
      <c r="AR833" s="8">
        <v>2579282.17</v>
      </c>
      <c r="AS833" s="37">
        <v>702338.5348909999</v>
      </c>
      <c r="AT833" s="8" t="s">
        <v>343</v>
      </c>
      <c r="AU833" s="8" t="s">
        <v>348</v>
      </c>
      <c r="AV833" s="8">
        <v>79.099999999999994</v>
      </c>
      <c r="AW833" s="8">
        <v>36</v>
      </c>
      <c r="AX833" s="8" t="s">
        <v>332</v>
      </c>
      <c r="AY833" s="8" t="s">
        <v>224</v>
      </c>
      <c r="AZ833" s="8" t="s">
        <v>357</v>
      </c>
      <c r="BA833" s="21" t="str">
        <f>IF(OR(tblsales[[#This Row],[Invoice Value USD]]="",tblsales[[#This Row],[Collected Amount USD]]=""),"",tblsales[[#This Row],[Invoice Value USD]]-tblsales[[#This Row],[Collected Amount USD]])</f>
        <v/>
      </c>
      <c r="BB833" s="21">
        <f>IF(OR(tblsales[[#This Row],[Contract Value USD]]="",tblsales[[#This Row],[Cost Estimate USD]]=""),"",tblsales[[#This Row],[Contract Value USD]]-tblsales[[#This Row],[Cost Estimate USD]])</f>
        <v>512503.63411799981</v>
      </c>
      <c r="BC833" s="21">
        <f>IF(OR(tblsales[[#This Row],[Contract Value USD]]="",tblsales[[#This Row],[Cost Estimate USD]]=""),"",tblsales[[#This Row],[Contract Value USD]]-tblsales[[#This Row],[Cost Estimate USD]])</f>
        <v>512503.63411799981</v>
      </c>
      <c r="BD833" s="23">
        <f>IF(tblsales[[#This Row],[Invoice Value USD]]="","",tblsales[[#This Row],[Collected Amount USD]]/tblsales[[#This Row],[Invoice Value USD]])</f>
        <v>0</v>
      </c>
      <c r="BE833" s="11">
        <f>IF(tblsales[[#This Row],[SalesStage]]="Won",1,0)</f>
        <v>0</v>
      </c>
      <c r="BF833" s="21" t="str">
        <f>IF(tblsales[[#This Row],[Win Flag]]=1,"Won","Lost")</f>
        <v>Lost</v>
      </c>
      <c r="BG833" s="8"/>
    </row>
    <row r="834" spans="1:59" x14ac:dyDescent="0.3">
      <c r="A834" s="10" t="s">
        <v>2790</v>
      </c>
      <c r="B834" s="9">
        <v>45734</v>
      </c>
      <c r="C834" s="10" t="s">
        <v>280</v>
      </c>
      <c r="D834" s="10" t="s">
        <v>245</v>
      </c>
      <c r="E834" s="10" t="s">
        <v>36</v>
      </c>
      <c r="F834" s="10" t="s">
        <v>19</v>
      </c>
      <c r="G834" s="10" t="s">
        <v>78</v>
      </c>
      <c r="H834" s="10" t="s">
        <v>263</v>
      </c>
      <c r="I834" s="10" t="s">
        <v>246</v>
      </c>
      <c r="J834" s="10" t="s">
        <v>115</v>
      </c>
      <c r="K834" s="10" t="s">
        <v>199</v>
      </c>
      <c r="L834" s="10" t="s">
        <v>2791</v>
      </c>
      <c r="M834" s="9">
        <v>45840</v>
      </c>
      <c r="N834" s="9">
        <v>45746</v>
      </c>
      <c r="O834" s="9">
        <v>45828</v>
      </c>
      <c r="P834" s="11"/>
      <c r="Q834" s="12">
        <v>41655972</v>
      </c>
      <c r="R834">
        <v>48362583.491999999</v>
      </c>
      <c r="S834" s="22">
        <v>0.22</v>
      </c>
      <c r="T834" s="22">
        <v>0.06</v>
      </c>
      <c r="U834" s="12">
        <v>34441157.649999999</v>
      </c>
      <c r="V834" s="24">
        <v>39986184.031649999</v>
      </c>
      <c r="W834" s="8">
        <v>21861951.690000001</v>
      </c>
      <c r="X834" s="24">
        <v>25381725.912090003</v>
      </c>
      <c r="Y834" s="22">
        <v>0.18</v>
      </c>
      <c r="Z834" s="22">
        <v>0.08</v>
      </c>
      <c r="AA834" s="8" t="s">
        <v>2792</v>
      </c>
      <c r="AB834" s="8">
        <v>16703309.539999999</v>
      </c>
      <c r="AC834" s="24">
        <v>19392542.375939999</v>
      </c>
      <c r="AD834" s="8">
        <v>16957738.16</v>
      </c>
      <c r="AE834" s="24">
        <v>19687934.003760003</v>
      </c>
      <c r="AF834" s="8">
        <v>60</v>
      </c>
      <c r="AG834" s="8">
        <v>52</v>
      </c>
      <c r="AH834" s="8" t="s">
        <v>376</v>
      </c>
      <c r="AI834" s="8" t="s">
        <v>320</v>
      </c>
      <c r="AJ834" s="22">
        <v>0.93</v>
      </c>
      <c r="AK834" s="8" t="s">
        <v>159</v>
      </c>
      <c r="AL834" s="22">
        <v>0.15</v>
      </c>
      <c r="AM834" s="22">
        <v>7.0000000000000007E-2</v>
      </c>
      <c r="AN834" s="8">
        <v>11</v>
      </c>
      <c r="AO834" s="8">
        <v>3035</v>
      </c>
      <c r="AP834" s="8">
        <v>4055376.92</v>
      </c>
      <c r="AQ834" s="24">
        <v>4708292.6041200003</v>
      </c>
      <c r="AR834" s="8">
        <v>11921262.710000001</v>
      </c>
      <c r="AS834" s="37">
        <v>13840586.006310001</v>
      </c>
      <c r="AT834" s="8" t="s">
        <v>73</v>
      </c>
      <c r="AU834" s="8" t="s">
        <v>356</v>
      </c>
      <c r="AV834" s="8">
        <v>87.9</v>
      </c>
      <c r="AW834" s="8">
        <v>24</v>
      </c>
      <c r="AX834" s="8" t="s">
        <v>392</v>
      </c>
      <c r="AY834" s="8" t="s">
        <v>206</v>
      </c>
      <c r="AZ834" s="8" t="s">
        <v>332</v>
      </c>
      <c r="BA834" s="21">
        <f>IF(OR(tblsales[[#This Row],[Invoice Value USD]]="",tblsales[[#This Row],[Collected Amount USD]]=""),"",tblsales[[#This Row],[Invoice Value USD]]-tblsales[[#This Row],[Collected Amount USD]])</f>
        <v>-295391.62782000378</v>
      </c>
      <c r="BB834" s="21">
        <f>IF(OR(tblsales[[#This Row],[Contract Value USD]]="",tblsales[[#This Row],[Cost Estimate USD]]=""),"",tblsales[[#This Row],[Contract Value USD]]-tblsales[[#This Row],[Cost Estimate USD]])</f>
        <v>14604458.119559996</v>
      </c>
      <c r="BC834" s="21">
        <f>IF(OR(tblsales[[#This Row],[Contract Value USD]]="",tblsales[[#This Row],[Cost Estimate USD]]=""),"",tblsales[[#This Row],[Contract Value USD]]-tblsales[[#This Row],[Cost Estimate USD]])</f>
        <v>14604458.119559996</v>
      </c>
      <c r="BD834" s="23">
        <f>IF(tblsales[[#This Row],[Invoice Value USD]]="","",tblsales[[#This Row],[Collected Amount USD]]/tblsales[[#This Row],[Invoice Value USD]])</f>
        <v>1.0152322280438326</v>
      </c>
      <c r="BE834" s="11">
        <f>IF(tblsales[[#This Row],[SalesStage]]="Won",1,0)</f>
        <v>1</v>
      </c>
      <c r="BF834" s="21" t="str">
        <f>IF(tblsales[[#This Row],[Win Flag]]=1,"Won","Lost")</f>
        <v>Won</v>
      </c>
      <c r="BG834" s="8"/>
    </row>
    <row r="835" spans="1:59" x14ac:dyDescent="0.3">
      <c r="A835" s="10" t="s">
        <v>2793</v>
      </c>
      <c r="B835" s="9">
        <v>46032</v>
      </c>
      <c r="C835" s="10" t="s">
        <v>243</v>
      </c>
      <c r="D835" s="10" t="s">
        <v>180</v>
      </c>
      <c r="E835" s="10" t="s">
        <v>36</v>
      </c>
      <c r="F835" s="10" t="s">
        <v>19</v>
      </c>
      <c r="G835" s="10" t="s">
        <v>80</v>
      </c>
      <c r="H835" s="10" t="s">
        <v>263</v>
      </c>
      <c r="I835" s="10" t="s">
        <v>183</v>
      </c>
      <c r="J835" s="10" t="s">
        <v>115</v>
      </c>
      <c r="K835" s="10" t="s">
        <v>204</v>
      </c>
      <c r="L835" s="10" t="s">
        <v>2794</v>
      </c>
      <c r="M835" s="9">
        <v>45983</v>
      </c>
      <c r="N835" s="9">
        <v>46092</v>
      </c>
      <c r="O835" s="9">
        <v>46066</v>
      </c>
      <c r="P835" s="11"/>
      <c r="Q835" s="12">
        <v>31185336</v>
      </c>
      <c r="R835">
        <v>31185336</v>
      </c>
      <c r="S835" s="22">
        <v>0.25</v>
      </c>
      <c r="T835" s="22">
        <v>0.08</v>
      </c>
      <c r="U835" s="12">
        <v>25260122.16</v>
      </c>
      <c r="V835" s="24">
        <v>25260122.16</v>
      </c>
      <c r="W835" s="8">
        <v>16360104.630000001</v>
      </c>
      <c r="X835" s="24">
        <v>16360104.630000001</v>
      </c>
      <c r="Y835" s="22">
        <v>0.22</v>
      </c>
      <c r="Z835" s="22">
        <v>0.15</v>
      </c>
      <c r="AA835" s="8" t="s">
        <v>2795</v>
      </c>
      <c r="AB835" s="8">
        <v>8246932.5800000001</v>
      </c>
      <c r="AC835" s="24">
        <v>8246932.5800000001</v>
      </c>
      <c r="AD835" s="8">
        <v>6616495.8899999997</v>
      </c>
      <c r="AE835" s="24">
        <v>6616495.8899999997</v>
      </c>
      <c r="AF835" s="8">
        <v>30</v>
      </c>
      <c r="AG835" s="8">
        <v>115</v>
      </c>
      <c r="AH835" s="8" t="s">
        <v>376</v>
      </c>
      <c r="AI835" s="8" t="s">
        <v>320</v>
      </c>
      <c r="AJ835" s="22">
        <v>0.6</v>
      </c>
      <c r="AK835" s="8" t="s">
        <v>152</v>
      </c>
      <c r="AL835" s="22">
        <v>0.15</v>
      </c>
      <c r="AM835" s="22">
        <v>0.08</v>
      </c>
      <c r="AN835" s="8">
        <v>9</v>
      </c>
      <c r="AO835" s="8">
        <v>1906</v>
      </c>
      <c r="AP835" s="8"/>
      <c r="AQ835" s="24"/>
      <c r="AR835" s="8">
        <v>12272241.130000001</v>
      </c>
      <c r="AS835" s="37">
        <v>12272241.130000001</v>
      </c>
      <c r="AT835" s="8" t="s">
        <v>391</v>
      </c>
      <c r="AU835" s="8" t="s">
        <v>332</v>
      </c>
      <c r="AV835" s="8"/>
      <c r="AW835" s="8">
        <v>60</v>
      </c>
      <c r="AX835" s="8" t="s">
        <v>332</v>
      </c>
      <c r="AY835" s="8" t="s">
        <v>192</v>
      </c>
      <c r="AZ835" s="8" t="s">
        <v>188</v>
      </c>
      <c r="BA835" s="21">
        <f>IF(OR(tblsales[[#This Row],[Invoice Value USD]]="",tblsales[[#This Row],[Collected Amount USD]]=""),"",tblsales[[#This Row],[Invoice Value USD]]-tblsales[[#This Row],[Collected Amount USD]])</f>
        <v>1630436.6900000004</v>
      </c>
      <c r="BB835" s="21">
        <f>IF(OR(tblsales[[#This Row],[Contract Value USD]]="",tblsales[[#This Row],[Cost Estimate USD]]=""),"",tblsales[[#This Row],[Contract Value USD]]-tblsales[[#This Row],[Cost Estimate USD]])</f>
        <v>8900017.5299999993</v>
      </c>
      <c r="BC835" s="21">
        <f>IF(OR(tblsales[[#This Row],[Contract Value USD]]="",tblsales[[#This Row],[Cost Estimate USD]]=""),"",tblsales[[#This Row],[Contract Value USD]]-tblsales[[#This Row],[Cost Estimate USD]])</f>
        <v>8900017.5299999993</v>
      </c>
      <c r="BD835" s="23">
        <f>IF(tblsales[[#This Row],[Invoice Value USD]]="","",tblsales[[#This Row],[Collected Amount USD]]/tblsales[[#This Row],[Invoice Value USD]])</f>
        <v>0.80229780294869335</v>
      </c>
      <c r="BE835" s="11">
        <f>IF(tblsales[[#This Row],[SalesStage]]="Won",1,0)</f>
        <v>1</v>
      </c>
      <c r="BF835" s="21" t="str">
        <f>IF(tblsales[[#This Row],[Win Flag]]=1,"Won","Lost")</f>
        <v>Won</v>
      </c>
      <c r="BG835" s="8"/>
    </row>
    <row r="836" spans="1:59" x14ac:dyDescent="0.3">
      <c r="A836" s="10" t="s">
        <v>2796</v>
      </c>
      <c r="B836" s="9">
        <v>45860</v>
      </c>
      <c r="C836" s="10" t="s">
        <v>222</v>
      </c>
      <c r="D836" s="10" t="s">
        <v>394</v>
      </c>
      <c r="E836" s="10" t="s">
        <v>36</v>
      </c>
      <c r="F836" s="10" t="s">
        <v>19</v>
      </c>
      <c r="G836" s="10" t="s">
        <v>16</v>
      </c>
      <c r="H836" s="10" t="s">
        <v>212</v>
      </c>
      <c r="I836" s="10" t="s">
        <v>203</v>
      </c>
      <c r="J836" s="10" t="s">
        <v>115</v>
      </c>
      <c r="K836" s="10" t="s">
        <v>184</v>
      </c>
      <c r="L836" s="10" t="s">
        <v>2797</v>
      </c>
      <c r="M836" s="9">
        <v>45998</v>
      </c>
      <c r="N836" s="9">
        <v>45882</v>
      </c>
      <c r="O836" s="9"/>
      <c r="P836" s="11">
        <v>22</v>
      </c>
      <c r="Q836" s="12">
        <v>47444174</v>
      </c>
      <c r="R836">
        <v>47444174</v>
      </c>
      <c r="S836" s="22">
        <v>0.23</v>
      </c>
      <c r="T836" s="22">
        <v>0.14000000000000001</v>
      </c>
      <c r="U836" s="12">
        <v>41646495.939999998</v>
      </c>
      <c r="V836" s="24">
        <v>41646495.939999998</v>
      </c>
      <c r="W836" s="8">
        <v>36268392</v>
      </c>
      <c r="X836" s="24">
        <v>36268392</v>
      </c>
      <c r="Y836" s="22">
        <v>0.21</v>
      </c>
      <c r="Z836" s="22">
        <v>0.14000000000000001</v>
      </c>
      <c r="AA836" s="8" t="s">
        <v>2798</v>
      </c>
      <c r="AB836" s="8">
        <v>36285598.380000003</v>
      </c>
      <c r="AC836" s="24">
        <v>36285598.380000003</v>
      </c>
      <c r="AD836" s="8">
        <v>13743754.99</v>
      </c>
      <c r="AE836" s="24">
        <v>13743754.99</v>
      </c>
      <c r="AF836" s="8">
        <v>60</v>
      </c>
      <c r="AG836" s="8">
        <v>6</v>
      </c>
      <c r="AH836" s="8" t="s">
        <v>353</v>
      </c>
      <c r="AI836" s="8" t="s">
        <v>226</v>
      </c>
      <c r="AJ836" s="22">
        <v>0.51</v>
      </c>
      <c r="AK836" s="8" t="s">
        <v>152</v>
      </c>
      <c r="AL836" s="22">
        <v>0.05</v>
      </c>
      <c r="AM836" s="22">
        <v>0.04</v>
      </c>
      <c r="AN836" s="8">
        <v>13</v>
      </c>
      <c r="AO836" s="8">
        <v>1548</v>
      </c>
      <c r="AP836" s="8">
        <v>1100313.77</v>
      </c>
      <c r="AQ836" s="24">
        <v>1100313.77</v>
      </c>
      <c r="AR836" s="8">
        <v>19411548.670000002</v>
      </c>
      <c r="AS836" s="37">
        <v>19411548.670000002</v>
      </c>
      <c r="AT836" s="8" t="s">
        <v>343</v>
      </c>
      <c r="AU836" s="8" t="s">
        <v>321</v>
      </c>
      <c r="AV836" s="8">
        <v>100</v>
      </c>
      <c r="AW836" s="8">
        <v>36</v>
      </c>
      <c r="AX836" s="8" t="s">
        <v>337</v>
      </c>
      <c r="AY836" s="8" t="s">
        <v>229</v>
      </c>
      <c r="AZ836" s="8" t="s">
        <v>361</v>
      </c>
      <c r="BA836" s="21">
        <f>IF(OR(tblsales[[#This Row],[Invoice Value USD]]="",tblsales[[#This Row],[Collected Amount USD]]=""),"",tblsales[[#This Row],[Invoice Value USD]]-tblsales[[#This Row],[Collected Amount USD]])</f>
        <v>22541843.390000001</v>
      </c>
      <c r="BB836" s="21">
        <f>IF(OR(tblsales[[#This Row],[Contract Value USD]]="",tblsales[[#This Row],[Cost Estimate USD]]=""),"",tblsales[[#This Row],[Contract Value USD]]-tblsales[[#This Row],[Cost Estimate USD]])</f>
        <v>5378103.9399999976</v>
      </c>
      <c r="BC836" s="21">
        <f>IF(OR(tblsales[[#This Row],[Contract Value USD]]="",tblsales[[#This Row],[Cost Estimate USD]]=""),"",tblsales[[#This Row],[Contract Value USD]]-tblsales[[#This Row],[Cost Estimate USD]])</f>
        <v>5378103.9399999976</v>
      </c>
      <c r="BD836" s="23">
        <f>IF(tblsales[[#This Row],[Invoice Value USD]]="","",tblsales[[#This Row],[Collected Amount USD]]/tblsales[[#This Row],[Invoice Value USD]])</f>
        <v>0.37876611117360881</v>
      </c>
      <c r="BE836" s="11">
        <f>IF(tblsales[[#This Row],[SalesStage]]="Won",1,0)</f>
        <v>0</v>
      </c>
      <c r="BF836" s="21" t="str">
        <f>IF(tblsales[[#This Row],[Win Flag]]=1,"Won","Lost")</f>
        <v>Lost</v>
      </c>
      <c r="BG836" s="8"/>
    </row>
    <row r="837" spans="1:59" x14ac:dyDescent="0.3">
      <c r="A837" s="10" t="s">
        <v>2799</v>
      </c>
      <c r="B837" s="9">
        <v>45776</v>
      </c>
      <c r="C837" s="10" t="s">
        <v>211</v>
      </c>
      <c r="D837" s="10" t="s">
        <v>232</v>
      </c>
      <c r="E837" s="10" t="s">
        <v>41</v>
      </c>
      <c r="F837" s="10" t="s">
        <v>350</v>
      </c>
      <c r="G837" s="10" t="s">
        <v>16</v>
      </c>
      <c r="H837" s="10" t="s">
        <v>216</v>
      </c>
      <c r="I837" s="10" t="s">
        <v>183</v>
      </c>
      <c r="J837" s="10" t="s">
        <v>130</v>
      </c>
      <c r="K837" s="10" t="s">
        <v>199</v>
      </c>
      <c r="L837" s="10" t="s">
        <v>2800</v>
      </c>
      <c r="M837" s="9">
        <v>45733</v>
      </c>
      <c r="N837" s="9"/>
      <c r="O837" s="9">
        <v>45878</v>
      </c>
      <c r="P837" s="11">
        <v>21</v>
      </c>
      <c r="Q837" s="12">
        <v>13325168</v>
      </c>
      <c r="R837">
        <v>3660423.6496000001</v>
      </c>
      <c r="S837" s="22">
        <v>0.08</v>
      </c>
      <c r="T837" s="22">
        <v>0.19</v>
      </c>
      <c r="U837" s="12">
        <v>14588393.93</v>
      </c>
      <c r="V837" s="24">
        <v>4007431.8125709998</v>
      </c>
      <c r="W837" s="8">
        <v>9272786.7799999993</v>
      </c>
      <c r="X837" s="24">
        <v>2547234.5284659998</v>
      </c>
      <c r="Y837" s="22">
        <v>0.22</v>
      </c>
      <c r="Z837" s="22">
        <v>0.18</v>
      </c>
      <c r="AA837" s="8" t="s">
        <v>2801</v>
      </c>
      <c r="AB837" s="8">
        <v>10362344.890000001</v>
      </c>
      <c r="AC837" s="24">
        <v>2846536.1412830004</v>
      </c>
      <c r="AD837" s="8">
        <v>10162368.699999999</v>
      </c>
      <c r="AE837" s="24">
        <v>2791602.6818899997</v>
      </c>
      <c r="AF837" s="8">
        <v>120</v>
      </c>
      <c r="AG837" s="8">
        <v>140</v>
      </c>
      <c r="AH837" s="8" t="s">
        <v>347</v>
      </c>
      <c r="AI837" s="8" t="s">
        <v>381</v>
      </c>
      <c r="AJ837" s="22">
        <v>0.89</v>
      </c>
      <c r="AK837" s="8" t="s">
        <v>155</v>
      </c>
      <c r="AL837" s="22">
        <v>0.15</v>
      </c>
      <c r="AM837" s="22">
        <v>0.09</v>
      </c>
      <c r="AN837" s="8">
        <v>10</v>
      </c>
      <c r="AO837" s="8">
        <v>357</v>
      </c>
      <c r="AP837" s="8">
        <v>2652384.56</v>
      </c>
      <c r="AQ837" s="24">
        <v>728610.03863199998</v>
      </c>
      <c r="AR837" s="8">
        <v>4107416.91</v>
      </c>
      <c r="AS837" s="37">
        <v>1128307.425177</v>
      </c>
      <c r="AT837" s="8" t="s">
        <v>332</v>
      </c>
      <c r="AU837" s="8" t="s">
        <v>322</v>
      </c>
      <c r="AV837" s="8">
        <v>85.9</v>
      </c>
      <c r="AW837" s="8">
        <v>24</v>
      </c>
      <c r="AX837" s="8" t="s">
        <v>392</v>
      </c>
      <c r="AY837" s="8" t="s">
        <v>192</v>
      </c>
      <c r="AZ837" s="8" t="s">
        <v>332</v>
      </c>
      <c r="BA837" s="21">
        <f>IF(OR(tblsales[[#This Row],[Invoice Value USD]]="",tblsales[[#This Row],[Collected Amount USD]]=""),"",tblsales[[#This Row],[Invoice Value USD]]-tblsales[[#This Row],[Collected Amount USD]])</f>
        <v>54933.459393000696</v>
      </c>
      <c r="BB837" s="21">
        <f>IF(OR(tblsales[[#This Row],[Contract Value USD]]="",tblsales[[#This Row],[Cost Estimate USD]]=""),"",tblsales[[#This Row],[Contract Value USD]]-tblsales[[#This Row],[Cost Estimate USD]])</f>
        <v>1460197.2841050001</v>
      </c>
      <c r="BC837" s="21">
        <f>IF(OR(tblsales[[#This Row],[Contract Value USD]]="",tblsales[[#This Row],[Cost Estimate USD]]=""),"",tblsales[[#This Row],[Contract Value USD]]-tblsales[[#This Row],[Cost Estimate USD]])</f>
        <v>1460197.2841050001</v>
      </c>
      <c r="BD837" s="23">
        <f>IF(tblsales[[#This Row],[Invoice Value USD]]="","",tblsales[[#This Row],[Collected Amount USD]]/tblsales[[#This Row],[Invoice Value USD]])</f>
        <v>0.98070164696091267</v>
      </c>
      <c r="BE837" s="11">
        <f>IF(tblsales[[#This Row],[SalesStage]]="Won",1,0)</f>
        <v>0</v>
      </c>
      <c r="BF837" s="21" t="str">
        <f>IF(tblsales[[#This Row],[Win Flag]]=1,"Won","Lost")</f>
        <v>Lost</v>
      </c>
      <c r="BG837" s="8"/>
    </row>
    <row r="838" spans="1:59" x14ac:dyDescent="0.3">
      <c r="A838" s="10" t="s">
        <v>2802</v>
      </c>
      <c r="B838" s="9">
        <v>45880</v>
      </c>
      <c r="C838" s="10" t="s">
        <v>269</v>
      </c>
      <c r="D838" s="10" t="s">
        <v>262</v>
      </c>
      <c r="E838" s="10" t="s">
        <v>41</v>
      </c>
      <c r="F838" s="10" t="s">
        <v>228</v>
      </c>
      <c r="G838" s="10" t="s">
        <v>16</v>
      </c>
      <c r="H838" s="10" t="s">
        <v>236</v>
      </c>
      <c r="I838" s="10" t="s">
        <v>240</v>
      </c>
      <c r="J838" s="10" t="s">
        <v>130</v>
      </c>
      <c r="K838" s="10" t="s">
        <v>204</v>
      </c>
      <c r="L838" s="10" t="s">
        <v>2803</v>
      </c>
      <c r="M838" s="9">
        <v>45825</v>
      </c>
      <c r="N838" s="9">
        <v>45900</v>
      </c>
      <c r="O838" s="9">
        <v>45727</v>
      </c>
      <c r="P838" s="11">
        <v>7</v>
      </c>
      <c r="Q838" s="12">
        <v>44837557</v>
      </c>
      <c r="R838">
        <v>12209266.7711</v>
      </c>
      <c r="S838" s="22">
        <v>7.0000000000000007E-2</v>
      </c>
      <c r="T838" s="22">
        <v>-0.01</v>
      </c>
      <c r="U838" s="12">
        <v>41281938.729999997</v>
      </c>
      <c r="V838" s="24">
        <v>11241071.916178999</v>
      </c>
      <c r="W838" s="8">
        <v>32270802.530000001</v>
      </c>
      <c r="X838" s="24">
        <v>8787339.5289190002</v>
      </c>
      <c r="Y838" s="22">
        <v>0.17</v>
      </c>
      <c r="Z838" s="22">
        <v>0.19</v>
      </c>
      <c r="AA838" s="8" t="s">
        <v>2804</v>
      </c>
      <c r="AB838" s="8">
        <v>9774754.0800000001</v>
      </c>
      <c r="AC838" s="24">
        <v>2661665.5359839997</v>
      </c>
      <c r="AD838" s="8">
        <v>7061942.5999999996</v>
      </c>
      <c r="AE838" s="24">
        <v>1922966.9699799998</v>
      </c>
      <c r="AF838" s="8">
        <v>90</v>
      </c>
      <c r="AG838" s="8">
        <v>119</v>
      </c>
      <c r="AH838" s="8" t="s">
        <v>329</v>
      </c>
      <c r="AI838" s="8" t="s">
        <v>320</v>
      </c>
      <c r="AJ838" s="22"/>
      <c r="AK838" s="8" t="s">
        <v>153</v>
      </c>
      <c r="AL838" s="22">
        <v>0.15</v>
      </c>
      <c r="AM838" s="22">
        <v>0.06</v>
      </c>
      <c r="AN838" s="8">
        <v>2</v>
      </c>
      <c r="AO838" s="8">
        <v>1341</v>
      </c>
      <c r="AP838" s="8">
        <v>983829.01</v>
      </c>
      <c r="AQ838" s="24">
        <v>267896.63942299999</v>
      </c>
      <c r="AR838" s="8">
        <v>12420894.92</v>
      </c>
      <c r="AS838" s="37">
        <v>3382209.6867159996</v>
      </c>
      <c r="AT838" s="8" t="s">
        <v>73</v>
      </c>
      <c r="AU838" s="8" t="s">
        <v>330</v>
      </c>
      <c r="AV838" s="8">
        <v>76.2</v>
      </c>
      <c r="AW838" s="8">
        <v>60</v>
      </c>
      <c r="AX838" s="8" t="s">
        <v>387</v>
      </c>
      <c r="AY838" s="8" t="s">
        <v>192</v>
      </c>
      <c r="AZ838" s="8" t="s">
        <v>188</v>
      </c>
      <c r="BA838" s="21">
        <f>IF(OR(tblsales[[#This Row],[Invoice Value USD]]="",tblsales[[#This Row],[Collected Amount USD]]=""),"",tblsales[[#This Row],[Invoice Value USD]]-tblsales[[#This Row],[Collected Amount USD]])</f>
        <v>738698.56600399991</v>
      </c>
      <c r="BB838" s="21">
        <f>IF(OR(tblsales[[#This Row],[Contract Value USD]]="",tblsales[[#This Row],[Cost Estimate USD]]=""),"",tblsales[[#This Row],[Contract Value USD]]-tblsales[[#This Row],[Cost Estimate USD]])</f>
        <v>2453732.3872599993</v>
      </c>
      <c r="BC838" s="21">
        <f>IF(OR(tblsales[[#This Row],[Contract Value USD]]="",tblsales[[#This Row],[Cost Estimate USD]]=""),"",tblsales[[#This Row],[Contract Value USD]]-tblsales[[#This Row],[Cost Estimate USD]])</f>
        <v>2453732.3872599993</v>
      </c>
      <c r="BD838" s="23">
        <f>IF(tblsales[[#This Row],[Invoice Value USD]]="","",tblsales[[#This Row],[Collected Amount USD]]/tblsales[[#This Row],[Invoice Value USD]])</f>
        <v>0.72246754672318059</v>
      </c>
      <c r="BE838" s="11">
        <f>IF(tblsales[[#This Row],[SalesStage]]="Won",1,0)</f>
        <v>1</v>
      </c>
      <c r="BF838" s="21" t="str">
        <f>IF(tblsales[[#This Row],[Win Flag]]=1,"Won","Lost")</f>
        <v>Won</v>
      </c>
      <c r="BG838" s="8"/>
    </row>
    <row r="839" spans="1:59" x14ac:dyDescent="0.3">
      <c r="A839" s="10" t="s">
        <v>5795</v>
      </c>
      <c r="B839" s="9">
        <v>45791</v>
      </c>
      <c r="C839" s="10" t="s">
        <v>231</v>
      </c>
      <c r="D839" s="10" t="s">
        <v>274</v>
      </c>
      <c r="E839" s="10" t="s">
        <v>20</v>
      </c>
      <c r="F839" s="10" t="s">
        <v>332</v>
      </c>
      <c r="G839" s="10" t="s">
        <v>46</v>
      </c>
      <c r="H839" s="10" t="s">
        <v>216</v>
      </c>
      <c r="I839" s="10" t="s">
        <v>191</v>
      </c>
      <c r="J839" s="10" t="s">
        <v>136</v>
      </c>
      <c r="K839" s="10" t="s">
        <v>199</v>
      </c>
      <c r="L839" s="10" t="s">
        <v>4195</v>
      </c>
      <c r="M839" s="9">
        <v>45712</v>
      </c>
      <c r="N839" s="9">
        <v>45835</v>
      </c>
      <c r="O839" s="9">
        <v>45696</v>
      </c>
      <c r="P839" s="11">
        <v>38</v>
      </c>
      <c r="Q839" s="12">
        <v>21726965</v>
      </c>
      <c r="R839">
        <v>21726965</v>
      </c>
      <c r="S839" s="22">
        <v>0.01</v>
      </c>
      <c r="T839" s="22">
        <v>-0.04</v>
      </c>
      <c r="U839" s="12">
        <v>20649307.539999999</v>
      </c>
      <c r="V839" s="24">
        <v>20649307.539999999</v>
      </c>
      <c r="W839" s="8">
        <v>14527342.43</v>
      </c>
      <c r="X839" s="24">
        <v>14527342.43</v>
      </c>
      <c r="Y839" s="22">
        <v>0.11</v>
      </c>
      <c r="Z839" s="22">
        <v>0.06</v>
      </c>
      <c r="AA839" s="8" t="s">
        <v>4196</v>
      </c>
      <c r="AB839" s="8">
        <v>12313113.66</v>
      </c>
      <c r="AC839" s="24">
        <v>12313113.66</v>
      </c>
      <c r="AD839" s="8">
        <v>10144985.17</v>
      </c>
      <c r="AE839" s="24">
        <v>10144985.17</v>
      </c>
      <c r="AF839" s="8">
        <v>120</v>
      </c>
      <c r="AG839" s="8">
        <v>173</v>
      </c>
      <c r="AH839" s="8" t="s">
        <v>353</v>
      </c>
      <c r="AI839" s="8" t="s">
        <v>226</v>
      </c>
      <c r="AJ839" s="22">
        <v>0.39</v>
      </c>
      <c r="AK839" s="8" t="s">
        <v>152</v>
      </c>
      <c r="AL839" s="22">
        <v>0.1</v>
      </c>
      <c r="AM839" s="22">
        <v>0.02</v>
      </c>
      <c r="AN839" s="8">
        <v>12</v>
      </c>
      <c r="AO839" s="8">
        <v>2490</v>
      </c>
      <c r="AP839" s="8">
        <v>3027822.98</v>
      </c>
      <c r="AQ839" s="24">
        <v>3027822.98</v>
      </c>
      <c r="AR839" s="8">
        <v>6976440.8399999999</v>
      </c>
      <c r="AS839" s="37">
        <v>6976440.8399999999</v>
      </c>
      <c r="AT839" s="8" t="s">
        <v>355</v>
      </c>
      <c r="AU839" s="8" t="s">
        <v>356</v>
      </c>
      <c r="AV839" s="8">
        <v>99.1</v>
      </c>
      <c r="AW839" s="8"/>
      <c r="AX839" s="8" t="s">
        <v>332</v>
      </c>
      <c r="AY839" s="8" t="s">
        <v>229</v>
      </c>
      <c r="AZ839" s="8" t="s">
        <v>332</v>
      </c>
      <c r="BA839" s="21">
        <f>IF(OR(tblsales[[#This Row],[Invoice Value USD]]="",tblsales[[#This Row],[Collected Amount USD]]=""),"",tblsales[[#This Row],[Invoice Value USD]]-tblsales[[#This Row],[Collected Amount USD]])</f>
        <v>2168128.4900000002</v>
      </c>
      <c r="BB839" s="21">
        <f>IF(OR(tblsales[[#This Row],[Contract Value USD]]="",tblsales[[#This Row],[Cost Estimate USD]]=""),"",tblsales[[#This Row],[Contract Value USD]]-tblsales[[#This Row],[Cost Estimate USD]])</f>
        <v>6121965.1099999994</v>
      </c>
      <c r="BC839" s="21">
        <f>IF(OR(tblsales[[#This Row],[Contract Value USD]]="",tblsales[[#This Row],[Cost Estimate USD]]=""),"",tblsales[[#This Row],[Contract Value USD]]-tblsales[[#This Row],[Cost Estimate USD]])</f>
        <v>6121965.1099999994</v>
      </c>
      <c r="BD839" s="23">
        <f>IF(tblsales[[#This Row],[Invoice Value USD]]="","",tblsales[[#This Row],[Collected Amount USD]]/tblsales[[#This Row],[Invoice Value USD]])</f>
        <v>0.82391712203199141</v>
      </c>
      <c r="BE839" s="11">
        <f>IF(tblsales[[#This Row],[SalesStage]]="Won",1,0)</f>
        <v>0</v>
      </c>
      <c r="BF839" s="21" t="str">
        <f>IF(tblsales[[#This Row],[Win Flag]]=1,"Won","Lost")</f>
        <v>Lost</v>
      </c>
      <c r="BG839" s="8"/>
    </row>
    <row r="840" spans="1:59" x14ac:dyDescent="0.3">
      <c r="A840" s="10" t="s">
        <v>5796</v>
      </c>
      <c r="B840" s="9">
        <v>45665</v>
      </c>
      <c r="C840" s="10" t="s">
        <v>214</v>
      </c>
      <c r="D840" s="10" t="s">
        <v>180</v>
      </c>
      <c r="E840" s="10" t="s">
        <v>41</v>
      </c>
      <c r="F840" s="10" t="s">
        <v>350</v>
      </c>
      <c r="G840" s="10" t="s">
        <v>62</v>
      </c>
      <c r="H840" s="10" t="s">
        <v>236</v>
      </c>
      <c r="I840" s="10" t="s">
        <v>183</v>
      </c>
      <c r="J840" s="10" t="s">
        <v>130</v>
      </c>
      <c r="K840" s="10" t="s">
        <v>204</v>
      </c>
      <c r="L840" s="10" t="s">
        <v>4197</v>
      </c>
      <c r="M840" s="9">
        <v>45579</v>
      </c>
      <c r="N840" s="9"/>
      <c r="O840" s="9">
        <v>45752</v>
      </c>
      <c r="P840" s="11">
        <v>59</v>
      </c>
      <c r="Q840" s="12">
        <v>12868803</v>
      </c>
      <c r="R840">
        <v>3504175.0568999997</v>
      </c>
      <c r="S840" s="22">
        <v>0.24</v>
      </c>
      <c r="T840" s="22">
        <v>-0.01</v>
      </c>
      <c r="U840" s="12">
        <v>9682487.3800000008</v>
      </c>
      <c r="V840" s="24">
        <v>2636541.3135740003</v>
      </c>
      <c r="W840" s="8">
        <v>6261940.29</v>
      </c>
      <c r="X840" s="24">
        <v>1705126.340967</v>
      </c>
      <c r="Y840" s="22">
        <v>7.0000000000000007E-2</v>
      </c>
      <c r="Z840" s="22">
        <v>0.06</v>
      </c>
      <c r="AA840" s="8" t="s">
        <v>4198</v>
      </c>
      <c r="AB840" s="8">
        <v>6430995.3799999999</v>
      </c>
      <c r="AC840" s="24">
        <v>1751160.0419739999</v>
      </c>
      <c r="AD840" s="8">
        <v>4255076.9000000004</v>
      </c>
      <c r="AE840" s="24">
        <v>1158657.4398700001</v>
      </c>
      <c r="AF840" s="8">
        <v>60</v>
      </c>
      <c r="AG840" s="8">
        <v>158</v>
      </c>
      <c r="AH840" s="8" t="s">
        <v>329</v>
      </c>
      <c r="AI840" s="8" t="s">
        <v>336</v>
      </c>
      <c r="AJ840" s="22">
        <v>0.63</v>
      </c>
      <c r="AK840" s="8" t="s">
        <v>153</v>
      </c>
      <c r="AL840" s="22">
        <v>0.05</v>
      </c>
      <c r="AM840" s="22">
        <v>0.04</v>
      </c>
      <c r="AN840" s="8">
        <v>8</v>
      </c>
      <c r="AO840" s="8">
        <v>1490</v>
      </c>
      <c r="AP840" s="8">
        <v>424086.2</v>
      </c>
      <c r="AQ840" s="24">
        <v>115478.67225999999</v>
      </c>
      <c r="AR840" s="8">
        <v>2660379.7799999998</v>
      </c>
      <c r="AS840" s="37">
        <v>724421.41409399989</v>
      </c>
      <c r="AT840" s="8" t="s">
        <v>343</v>
      </c>
      <c r="AU840" s="8" t="s">
        <v>332</v>
      </c>
      <c r="AV840" s="8">
        <v>88.5</v>
      </c>
      <c r="AW840" s="8">
        <v>60</v>
      </c>
      <c r="AX840" s="8" t="s">
        <v>387</v>
      </c>
      <c r="AY840" s="8" t="s">
        <v>192</v>
      </c>
      <c r="AZ840" s="8" t="s">
        <v>361</v>
      </c>
      <c r="BA840" s="21">
        <f>IF(OR(tblsales[[#This Row],[Invoice Value USD]]="",tblsales[[#This Row],[Collected Amount USD]]=""),"",tblsales[[#This Row],[Invoice Value USD]]-tblsales[[#This Row],[Collected Amount USD]])</f>
        <v>592502.60210399982</v>
      </c>
      <c r="BB840" s="21">
        <f>IF(OR(tblsales[[#This Row],[Contract Value USD]]="",tblsales[[#This Row],[Cost Estimate USD]]=""),"",tblsales[[#This Row],[Contract Value USD]]-tblsales[[#This Row],[Cost Estimate USD]])</f>
        <v>931414.97260700027</v>
      </c>
      <c r="BC840" s="21">
        <f>IF(OR(tblsales[[#This Row],[Contract Value USD]]="",tblsales[[#This Row],[Cost Estimate USD]]=""),"",tblsales[[#This Row],[Contract Value USD]]-tblsales[[#This Row],[Cost Estimate USD]])</f>
        <v>931414.97260700027</v>
      </c>
      <c r="BD840" s="23">
        <f>IF(tblsales[[#This Row],[Invoice Value USD]]="","",tblsales[[#This Row],[Collected Amount USD]]/tblsales[[#This Row],[Invoice Value USD]])</f>
        <v>0.66165136943388703</v>
      </c>
      <c r="BE840" s="11">
        <f>IF(tblsales[[#This Row],[SalesStage]]="Won",1,0)</f>
        <v>0</v>
      </c>
      <c r="BF840" s="21" t="str">
        <f>IF(tblsales[[#This Row],[Win Flag]]=1,"Won","Lost")</f>
        <v>Lost</v>
      </c>
      <c r="BG840" s="8"/>
    </row>
    <row r="841" spans="1:59" x14ac:dyDescent="0.3">
      <c r="A841" s="10" t="s">
        <v>2805</v>
      </c>
      <c r="B841" s="9">
        <v>45764</v>
      </c>
      <c r="C841" s="10" t="s">
        <v>243</v>
      </c>
      <c r="D841" s="10" t="s">
        <v>232</v>
      </c>
      <c r="E841" s="10" t="s">
        <v>20</v>
      </c>
      <c r="F841" s="10" t="s">
        <v>35</v>
      </c>
      <c r="G841" s="10" t="s">
        <v>62</v>
      </c>
      <c r="H841" s="10" t="s">
        <v>332</v>
      </c>
      <c r="I841" s="10" t="s">
        <v>213</v>
      </c>
      <c r="J841" s="10" t="s">
        <v>136</v>
      </c>
      <c r="K841" s="10" t="s">
        <v>221</v>
      </c>
      <c r="L841" s="10" t="s">
        <v>2806</v>
      </c>
      <c r="M841" s="9">
        <v>45902</v>
      </c>
      <c r="N841" s="9">
        <v>45790</v>
      </c>
      <c r="O841" s="9">
        <v>45664</v>
      </c>
      <c r="P841" s="11">
        <v>34</v>
      </c>
      <c r="Q841" s="12">
        <v>14566937</v>
      </c>
      <c r="R841">
        <v>3966576.9450999997</v>
      </c>
      <c r="S841" s="22">
        <v>0.11</v>
      </c>
      <c r="T841" s="22">
        <v>0.09</v>
      </c>
      <c r="U841" s="12">
        <v>14131385.58</v>
      </c>
      <c r="V841" s="24">
        <v>3847976.2934339996</v>
      </c>
      <c r="W841" s="8">
        <v>10952772</v>
      </c>
      <c r="X841" s="24">
        <v>2982439.8155999999</v>
      </c>
      <c r="Y841" s="22">
        <v>0.16</v>
      </c>
      <c r="Z841" s="22">
        <v>0.12</v>
      </c>
      <c r="AA841" s="8" t="s">
        <v>2807</v>
      </c>
      <c r="AB841" s="8">
        <v>9319362.0700000003</v>
      </c>
      <c r="AC841" s="24">
        <v>2537662.2916609999</v>
      </c>
      <c r="AD841" s="8">
        <v>6983685.8799999999</v>
      </c>
      <c r="AE841" s="24">
        <v>1901657.6651239998</v>
      </c>
      <c r="AF841" s="8">
        <v>120</v>
      </c>
      <c r="AG841" s="8">
        <v>95</v>
      </c>
      <c r="AH841" s="8" t="s">
        <v>347</v>
      </c>
      <c r="AI841" s="8" t="s">
        <v>320</v>
      </c>
      <c r="AJ841" s="22">
        <v>0.95</v>
      </c>
      <c r="AK841" s="8" t="s">
        <v>153</v>
      </c>
      <c r="AL841" s="22">
        <v>0.1</v>
      </c>
      <c r="AM841" s="22">
        <v>0.05</v>
      </c>
      <c r="AN841" s="8">
        <v>2</v>
      </c>
      <c r="AO841" s="8">
        <v>438</v>
      </c>
      <c r="AP841" s="8">
        <v>2229757.64</v>
      </c>
      <c r="AQ841" s="24">
        <v>607163.00537200004</v>
      </c>
      <c r="AR841" s="8">
        <v>3750798.5</v>
      </c>
      <c r="AS841" s="37">
        <v>1021342.43155</v>
      </c>
      <c r="AT841" s="8" t="s">
        <v>391</v>
      </c>
      <c r="AU841" s="8" t="s">
        <v>356</v>
      </c>
      <c r="AV841" s="8"/>
      <c r="AW841" s="8">
        <v>36</v>
      </c>
      <c r="AX841" s="8" t="s">
        <v>332</v>
      </c>
      <c r="AY841" s="8" t="s">
        <v>224</v>
      </c>
      <c r="AZ841" s="8" t="s">
        <v>332</v>
      </c>
      <c r="BA841" s="21">
        <f>IF(OR(tblsales[[#This Row],[Invoice Value USD]]="",tblsales[[#This Row],[Collected Amount USD]]=""),"",tblsales[[#This Row],[Invoice Value USD]]-tblsales[[#This Row],[Collected Amount USD]])</f>
        <v>636004.62653700006</v>
      </c>
      <c r="BB841" s="21">
        <f>IF(OR(tblsales[[#This Row],[Contract Value USD]]="",tblsales[[#This Row],[Cost Estimate USD]]=""),"",tblsales[[#This Row],[Contract Value USD]]-tblsales[[#This Row],[Cost Estimate USD]])</f>
        <v>865536.47783399979</v>
      </c>
      <c r="BC841" s="21">
        <f>IF(OR(tblsales[[#This Row],[Contract Value USD]]="",tblsales[[#This Row],[Cost Estimate USD]]=""),"",tblsales[[#This Row],[Contract Value USD]]-tblsales[[#This Row],[Cost Estimate USD]])</f>
        <v>865536.47783399979</v>
      </c>
      <c r="BD841" s="23">
        <f>IF(tblsales[[#This Row],[Invoice Value USD]]="","",tblsales[[#This Row],[Collected Amount USD]]/tblsales[[#This Row],[Invoice Value USD]])</f>
        <v>0.7493738120210196</v>
      </c>
      <c r="BE841" s="11">
        <f>IF(tblsales[[#This Row],[SalesStage]]="Won",1,0)</f>
        <v>1</v>
      </c>
      <c r="BF841" s="21" t="str">
        <f>IF(tblsales[[#This Row],[Win Flag]]=1,"Won","Lost")</f>
        <v>Won</v>
      </c>
      <c r="BG841" s="8"/>
    </row>
    <row r="842" spans="1:59" x14ac:dyDescent="0.3">
      <c r="A842" s="10" t="s">
        <v>2808</v>
      </c>
      <c r="B842" s="9">
        <v>45827</v>
      </c>
      <c r="C842" s="10" t="s">
        <v>266</v>
      </c>
      <c r="D842" s="10" t="s">
        <v>209</v>
      </c>
      <c r="E842" s="10" t="s">
        <v>332</v>
      </c>
      <c r="F842" s="10" t="s">
        <v>75</v>
      </c>
      <c r="G842" s="10" t="s">
        <v>70</v>
      </c>
      <c r="H842" s="10" t="s">
        <v>182</v>
      </c>
      <c r="I842" s="10" t="s">
        <v>233</v>
      </c>
      <c r="J842" s="10" t="s">
        <v>99</v>
      </c>
      <c r="K842" s="10" t="s">
        <v>184</v>
      </c>
      <c r="L842" s="10" t="s">
        <v>2809</v>
      </c>
      <c r="M842" s="9">
        <v>45737</v>
      </c>
      <c r="N842" s="9"/>
      <c r="O842" s="9">
        <v>45880</v>
      </c>
      <c r="P842" s="11">
        <v>14</v>
      </c>
      <c r="Q842" s="12">
        <v>27904564</v>
      </c>
      <c r="R842">
        <v>7598412.7771999994</v>
      </c>
      <c r="S842" s="22">
        <v>0.18</v>
      </c>
      <c r="T842" s="22">
        <v>-0.05</v>
      </c>
      <c r="U842" s="12">
        <v>21737655.359999999</v>
      </c>
      <c r="V842" s="24">
        <v>5919163.5545279998</v>
      </c>
      <c r="W842" s="8">
        <v>18347399.629999999</v>
      </c>
      <c r="X842" s="24">
        <v>4995996.9192489991</v>
      </c>
      <c r="Y842" s="22">
        <v>0.11</v>
      </c>
      <c r="Z842" s="22">
        <v>0.17</v>
      </c>
      <c r="AA842" s="8" t="s">
        <v>2810</v>
      </c>
      <c r="AB842" s="8">
        <v>17209590.48</v>
      </c>
      <c r="AC842" s="24">
        <v>4686171.4877039995</v>
      </c>
      <c r="AD842" s="8">
        <v>11010712.33</v>
      </c>
      <c r="AE842" s="24">
        <v>2998216.9674589997</v>
      </c>
      <c r="AF842" s="8">
        <v>90</v>
      </c>
      <c r="AG842" s="8">
        <v>157</v>
      </c>
      <c r="AH842" s="8" t="s">
        <v>332</v>
      </c>
      <c r="AI842" s="8" t="s">
        <v>406</v>
      </c>
      <c r="AJ842" s="22">
        <v>0.52</v>
      </c>
      <c r="AK842" s="8" t="s">
        <v>153</v>
      </c>
      <c r="AL842" s="22">
        <v>0.1</v>
      </c>
      <c r="AM842" s="22">
        <v>0.01</v>
      </c>
      <c r="AN842" s="8">
        <v>1</v>
      </c>
      <c r="AO842" s="8">
        <v>2665</v>
      </c>
      <c r="AP842" s="8">
        <v>914340.55</v>
      </c>
      <c r="AQ842" s="24">
        <v>248974.93176499999</v>
      </c>
      <c r="AR842" s="8">
        <v>6621245.6799999997</v>
      </c>
      <c r="AS842" s="37">
        <v>1802965.1986639998</v>
      </c>
      <c r="AT842" s="8" t="s">
        <v>391</v>
      </c>
      <c r="AU842" s="8" t="s">
        <v>356</v>
      </c>
      <c r="AV842" s="8">
        <v>85</v>
      </c>
      <c r="AW842" s="8">
        <v>48</v>
      </c>
      <c r="AX842" s="8" t="s">
        <v>323</v>
      </c>
      <c r="AY842" s="8" t="s">
        <v>186</v>
      </c>
      <c r="AZ842" s="8" t="s">
        <v>357</v>
      </c>
      <c r="BA842" s="21">
        <f>IF(OR(tblsales[[#This Row],[Invoice Value USD]]="",tblsales[[#This Row],[Collected Amount USD]]=""),"",tblsales[[#This Row],[Invoice Value USD]]-tblsales[[#This Row],[Collected Amount USD]])</f>
        <v>1687954.5202449998</v>
      </c>
      <c r="BB842" s="21">
        <f>IF(OR(tblsales[[#This Row],[Contract Value USD]]="",tblsales[[#This Row],[Cost Estimate USD]]=""),"",tblsales[[#This Row],[Contract Value USD]]-tblsales[[#This Row],[Cost Estimate USD]])</f>
        <v>923166.63527900074</v>
      </c>
      <c r="BC842" s="21">
        <f>IF(OR(tblsales[[#This Row],[Contract Value USD]]="",tblsales[[#This Row],[Cost Estimate USD]]=""),"",tblsales[[#This Row],[Contract Value USD]]-tblsales[[#This Row],[Cost Estimate USD]])</f>
        <v>923166.63527900074</v>
      </c>
      <c r="BD842" s="23">
        <f>IF(tblsales[[#This Row],[Invoice Value USD]]="","",tblsales[[#This Row],[Collected Amount USD]]/tblsales[[#This Row],[Invoice Value USD]])</f>
        <v>0.63980094952265243</v>
      </c>
      <c r="BE842" s="11">
        <f>IF(tblsales[[#This Row],[SalesStage]]="Won",1,0)</f>
        <v>0</v>
      </c>
      <c r="BF842" s="21" t="str">
        <f>IF(tblsales[[#This Row],[Win Flag]]=1,"Won","Lost")</f>
        <v>Lost</v>
      </c>
      <c r="BG842" s="8"/>
    </row>
    <row r="843" spans="1:59" x14ac:dyDescent="0.3">
      <c r="A843" s="10" t="s">
        <v>2811</v>
      </c>
      <c r="B843" s="9">
        <v>45907</v>
      </c>
      <c r="C843" s="10" t="s">
        <v>276</v>
      </c>
      <c r="D843" s="10" t="s">
        <v>202</v>
      </c>
      <c r="E843" s="10" t="s">
        <v>41</v>
      </c>
      <c r="F843" s="10" t="s">
        <v>350</v>
      </c>
      <c r="G843" s="10" t="s">
        <v>33</v>
      </c>
      <c r="H843" s="10" t="s">
        <v>197</v>
      </c>
      <c r="I843" s="10" t="s">
        <v>240</v>
      </c>
      <c r="J843" s="10" t="s">
        <v>105</v>
      </c>
      <c r="K843" s="10" t="s">
        <v>210</v>
      </c>
      <c r="L843" s="10" t="s">
        <v>2812</v>
      </c>
      <c r="M843" s="9">
        <v>45774</v>
      </c>
      <c r="N843" s="9">
        <v>45876</v>
      </c>
      <c r="O843" s="9">
        <v>45892</v>
      </c>
      <c r="P843" s="11">
        <v>41</v>
      </c>
      <c r="Q843" s="12">
        <v>37801468</v>
      </c>
      <c r="R843">
        <v>37801468</v>
      </c>
      <c r="S843" s="22">
        <v>0.21</v>
      </c>
      <c r="T843" s="22">
        <v>0.13</v>
      </c>
      <c r="U843" s="12">
        <v>33745370.479999997</v>
      </c>
      <c r="V843" s="24">
        <v>33745370.479999997</v>
      </c>
      <c r="W843" s="8">
        <v>22372677.350000001</v>
      </c>
      <c r="X843" s="24">
        <v>22372677.350000001</v>
      </c>
      <c r="Y843" s="22">
        <v>0.25</v>
      </c>
      <c r="Z843" s="22">
        <v>0.14000000000000001</v>
      </c>
      <c r="AA843" s="8"/>
      <c r="AB843" s="8">
        <v>17353855.390000001</v>
      </c>
      <c r="AC843" s="24">
        <v>17353855.390000001</v>
      </c>
      <c r="AD843" s="8">
        <v>8310470.2199999997</v>
      </c>
      <c r="AE843" s="24">
        <v>8310470.2199999997</v>
      </c>
      <c r="AF843" s="8">
        <v>45</v>
      </c>
      <c r="AG843" s="8">
        <v>85</v>
      </c>
      <c r="AH843" s="8" t="s">
        <v>347</v>
      </c>
      <c r="AI843" s="8" t="s">
        <v>354</v>
      </c>
      <c r="AJ843" s="22">
        <v>0.52</v>
      </c>
      <c r="AK843" s="8" t="s">
        <v>152</v>
      </c>
      <c r="AL843" s="22">
        <v>0.15</v>
      </c>
      <c r="AM843" s="22">
        <v>0.04</v>
      </c>
      <c r="AN843" s="8">
        <v>2</v>
      </c>
      <c r="AO843" s="8">
        <v>2649</v>
      </c>
      <c r="AP843" s="8">
        <v>3698052.26</v>
      </c>
      <c r="AQ843" s="24">
        <v>3698052.26</v>
      </c>
      <c r="AR843" s="8">
        <v>11722486.18</v>
      </c>
      <c r="AS843" s="37">
        <v>11722486.18</v>
      </c>
      <c r="AT843" s="8" t="s">
        <v>355</v>
      </c>
      <c r="AU843" s="8" t="s">
        <v>321</v>
      </c>
      <c r="AV843" s="8">
        <v>52.7</v>
      </c>
      <c r="AW843" s="8">
        <v>36</v>
      </c>
      <c r="AX843" s="8" t="s">
        <v>332</v>
      </c>
      <c r="AY843" s="8" t="s">
        <v>186</v>
      </c>
      <c r="AZ843" s="8" t="s">
        <v>361</v>
      </c>
      <c r="BA843" s="21">
        <f>IF(OR(tblsales[[#This Row],[Invoice Value USD]]="",tblsales[[#This Row],[Collected Amount USD]]=""),"",tblsales[[#This Row],[Invoice Value USD]]-tblsales[[#This Row],[Collected Amount USD]])</f>
        <v>9043385.1700000018</v>
      </c>
      <c r="BB843" s="21">
        <f>IF(OR(tblsales[[#This Row],[Contract Value USD]]="",tblsales[[#This Row],[Cost Estimate USD]]=""),"",tblsales[[#This Row],[Contract Value USD]]-tblsales[[#This Row],[Cost Estimate USD]])</f>
        <v>11372693.129999995</v>
      </c>
      <c r="BC843" s="21">
        <f>IF(OR(tblsales[[#This Row],[Contract Value USD]]="",tblsales[[#This Row],[Cost Estimate USD]]=""),"",tblsales[[#This Row],[Contract Value USD]]-tblsales[[#This Row],[Cost Estimate USD]])</f>
        <v>11372693.129999995</v>
      </c>
      <c r="BD843" s="23">
        <f>IF(tblsales[[#This Row],[Invoice Value USD]]="","",tblsales[[#This Row],[Collected Amount USD]]/tblsales[[#This Row],[Invoice Value USD]])</f>
        <v>0.47888322411565282</v>
      </c>
      <c r="BE843" s="11">
        <f>IF(tblsales[[#This Row],[SalesStage]]="Won",1,0)</f>
        <v>0</v>
      </c>
      <c r="BF843" s="21" t="str">
        <f>IF(tblsales[[#This Row],[Win Flag]]=1,"Won","Lost")</f>
        <v>Lost</v>
      </c>
      <c r="BG843" s="8"/>
    </row>
    <row r="844" spans="1:59" x14ac:dyDescent="0.3">
      <c r="A844" s="10" t="s">
        <v>2813</v>
      </c>
      <c r="B844" s="9">
        <v>46055</v>
      </c>
      <c r="C844" s="10" t="s">
        <v>244</v>
      </c>
      <c r="D844" s="10" t="s">
        <v>248</v>
      </c>
      <c r="E844" s="10" t="s">
        <v>52</v>
      </c>
      <c r="F844" s="10" t="s">
        <v>75</v>
      </c>
      <c r="G844" s="10" t="s">
        <v>38</v>
      </c>
      <c r="H844" s="10" t="s">
        <v>212</v>
      </c>
      <c r="I844" s="10" t="s">
        <v>203</v>
      </c>
      <c r="J844" s="10" t="s">
        <v>119</v>
      </c>
      <c r="K844" s="10" t="s">
        <v>184</v>
      </c>
      <c r="L844" s="10" t="s">
        <v>2814</v>
      </c>
      <c r="M844" s="9">
        <v>45850</v>
      </c>
      <c r="N844" s="9"/>
      <c r="O844" s="9">
        <v>46100</v>
      </c>
      <c r="P844" s="11">
        <v>32</v>
      </c>
      <c r="Q844" s="12">
        <v>35084697</v>
      </c>
      <c r="R844">
        <v>9553562.9930999987</v>
      </c>
      <c r="S844" s="22">
        <v>0.08</v>
      </c>
      <c r="T844" s="22">
        <v>0.18</v>
      </c>
      <c r="U844" s="12">
        <v>38087947.060000002</v>
      </c>
      <c r="V844" s="24">
        <v>10371347.984438</v>
      </c>
      <c r="W844" s="8">
        <v>27968844.719999999</v>
      </c>
      <c r="X844" s="24">
        <v>7615916.4172559995</v>
      </c>
      <c r="Y844" s="22">
        <v>0.05</v>
      </c>
      <c r="Z844" s="22">
        <v>0.18</v>
      </c>
      <c r="AA844" s="8" t="s">
        <v>2815</v>
      </c>
      <c r="AB844" s="8">
        <v>34022461.759999998</v>
      </c>
      <c r="AC844" s="24">
        <v>9264316.3372479994</v>
      </c>
      <c r="AD844" s="8">
        <v>19940187.370000001</v>
      </c>
      <c r="AE844" s="24">
        <v>5429713.0208510002</v>
      </c>
      <c r="AF844" s="8">
        <v>60</v>
      </c>
      <c r="AG844" s="8">
        <v>44</v>
      </c>
      <c r="AH844" s="8" t="s">
        <v>329</v>
      </c>
      <c r="AI844" s="8" t="s">
        <v>226</v>
      </c>
      <c r="AJ844" s="22">
        <v>0.13</v>
      </c>
      <c r="AK844" s="8" t="s">
        <v>153</v>
      </c>
      <c r="AL844" s="22">
        <v>0.15</v>
      </c>
      <c r="AM844" s="22">
        <v>0.04</v>
      </c>
      <c r="AN844" s="8">
        <v>0</v>
      </c>
      <c r="AO844" s="8">
        <v>3302</v>
      </c>
      <c r="AP844" s="8">
        <v>6634809.4299999997</v>
      </c>
      <c r="AQ844" s="24">
        <v>1806658.6077889998</v>
      </c>
      <c r="AR844" s="8">
        <v>5526489.2000000002</v>
      </c>
      <c r="AS844" s="37">
        <v>1504863.0091599999</v>
      </c>
      <c r="AT844" s="8" t="s">
        <v>321</v>
      </c>
      <c r="AU844" s="8" t="s">
        <v>330</v>
      </c>
      <c r="AV844" s="8">
        <v>79</v>
      </c>
      <c r="AW844" s="8">
        <v>12</v>
      </c>
      <c r="AX844" s="8" t="s">
        <v>332</v>
      </c>
      <c r="AY844" s="8" t="s">
        <v>206</v>
      </c>
      <c r="AZ844" s="8" t="s">
        <v>357</v>
      </c>
      <c r="BA844" s="21">
        <f>IF(OR(tblsales[[#This Row],[Invoice Value USD]]="",tblsales[[#This Row],[Collected Amount USD]]=""),"",tblsales[[#This Row],[Invoice Value USD]]-tblsales[[#This Row],[Collected Amount USD]])</f>
        <v>3834603.3163969992</v>
      </c>
      <c r="BB844" s="21">
        <f>IF(OR(tblsales[[#This Row],[Contract Value USD]]="",tblsales[[#This Row],[Cost Estimate USD]]=""),"",tblsales[[#This Row],[Contract Value USD]]-tblsales[[#This Row],[Cost Estimate USD]])</f>
        <v>2755431.5671820007</v>
      </c>
      <c r="BC844" s="21">
        <f>IF(OR(tblsales[[#This Row],[Contract Value USD]]="",tblsales[[#This Row],[Cost Estimate USD]]=""),"",tblsales[[#This Row],[Contract Value USD]]-tblsales[[#This Row],[Cost Estimate USD]])</f>
        <v>2755431.5671820007</v>
      </c>
      <c r="BD844" s="23">
        <f>IF(tblsales[[#This Row],[Invoice Value USD]]="","",tblsales[[#This Row],[Collected Amount USD]]/tblsales[[#This Row],[Invoice Value USD]])</f>
        <v>0.58608890534322122</v>
      </c>
      <c r="BE844" s="11">
        <f>IF(tblsales[[#This Row],[SalesStage]]="Won",1,0)</f>
        <v>0</v>
      </c>
      <c r="BF844" s="21" t="str">
        <f>IF(tblsales[[#This Row],[Win Flag]]=1,"Won","Lost")</f>
        <v>Lost</v>
      </c>
      <c r="BG844" s="8"/>
    </row>
    <row r="845" spans="1:59" x14ac:dyDescent="0.3">
      <c r="A845" s="10" t="s">
        <v>2816</v>
      </c>
      <c r="B845" s="9">
        <v>45818</v>
      </c>
      <c r="C845" s="10" t="s">
        <v>272</v>
      </c>
      <c r="D845" s="10" t="s">
        <v>180</v>
      </c>
      <c r="E845" s="10" t="s">
        <v>36</v>
      </c>
      <c r="F845" s="10" t="s">
        <v>339</v>
      </c>
      <c r="G845" s="10" t="s">
        <v>66</v>
      </c>
      <c r="H845" s="10" t="s">
        <v>263</v>
      </c>
      <c r="I845" s="10" t="s">
        <v>332</v>
      </c>
      <c r="J845" s="10" t="s">
        <v>115</v>
      </c>
      <c r="K845" s="10" t="s">
        <v>210</v>
      </c>
      <c r="L845" s="10" t="s">
        <v>2817</v>
      </c>
      <c r="M845" s="9">
        <v>45806</v>
      </c>
      <c r="N845" s="9"/>
      <c r="O845" s="9">
        <v>45857</v>
      </c>
      <c r="P845" s="11"/>
      <c r="Q845" s="12">
        <v>24361213</v>
      </c>
      <c r="R845">
        <v>6633558.2999</v>
      </c>
      <c r="S845" s="22">
        <v>0.21</v>
      </c>
      <c r="T845" s="22">
        <v>0.04</v>
      </c>
      <c r="U845" s="12">
        <v>20015172.600000001</v>
      </c>
      <c r="V845" s="24">
        <v>5450131.4989799997</v>
      </c>
      <c r="W845" s="8">
        <v>17221010.59</v>
      </c>
      <c r="X845" s="24">
        <v>4689281.1836569998</v>
      </c>
      <c r="Y845" s="22">
        <v>0.26</v>
      </c>
      <c r="Z845" s="22">
        <v>0.17</v>
      </c>
      <c r="AA845" s="8" t="s">
        <v>2818</v>
      </c>
      <c r="AB845" s="8">
        <v>17493080.940000001</v>
      </c>
      <c r="AC845" s="24">
        <v>4763365.9399620006</v>
      </c>
      <c r="AD845" s="8">
        <v>12026535.939999999</v>
      </c>
      <c r="AE845" s="24">
        <v>3274825.7364619998</v>
      </c>
      <c r="AF845" s="8">
        <v>30</v>
      </c>
      <c r="AG845" s="8">
        <v>178</v>
      </c>
      <c r="AH845" s="8" t="s">
        <v>353</v>
      </c>
      <c r="AI845" s="8" t="s">
        <v>320</v>
      </c>
      <c r="AJ845" s="22">
        <v>0.43</v>
      </c>
      <c r="AK845" s="8" t="s">
        <v>153</v>
      </c>
      <c r="AL845" s="22">
        <v>0.15</v>
      </c>
      <c r="AM845" s="22">
        <v>0.09</v>
      </c>
      <c r="AN845" s="8">
        <v>4</v>
      </c>
      <c r="AO845" s="8">
        <v>2151</v>
      </c>
      <c r="AP845" s="8">
        <v>2989624.53</v>
      </c>
      <c r="AQ845" s="24">
        <v>814074.75951899996</v>
      </c>
      <c r="AR845" s="8">
        <v>7289097.7599999998</v>
      </c>
      <c r="AS845" s="37">
        <v>1984821.3200479997</v>
      </c>
      <c r="AT845" s="8" t="s">
        <v>385</v>
      </c>
      <c r="AU845" s="8" t="s">
        <v>348</v>
      </c>
      <c r="AV845" s="8">
        <v>97.6</v>
      </c>
      <c r="AW845" s="8">
        <v>48</v>
      </c>
      <c r="AX845" s="8" t="s">
        <v>332</v>
      </c>
      <c r="AY845" s="8" t="s">
        <v>192</v>
      </c>
      <c r="AZ845" s="8" t="s">
        <v>188</v>
      </c>
      <c r="BA845" s="21">
        <f>IF(OR(tblsales[[#This Row],[Invoice Value USD]]="",tblsales[[#This Row],[Collected Amount USD]]=""),"",tblsales[[#This Row],[Invoice Value USD]]-tblsales[[#This Row],[Collected Amount USD]])</f>
        <v>1488540.2035000008</v>
      </c>
      <c r="BB845" s="21">
        <f>IF(OR(tblsales[[#This Row],[Contract Value USD]]="",tblsales[[#This Row],[Cost Estimate USD]]=""),"",tblsales[[#This Row],[Contract Value USD]]-tblsales[[#This Row],[Cost Estimate USD]])</f>
        <v>760850.31532299984</v>
      </c>
      <c r="BC845" s="21">
        <f>IF(OR(tblsales[[#This Row],[Contract Value USD]]="",tblsales[[#This Row],[Cost Estimate USD]]=""),"",tblsales[[#This Row],[Contract Value USD]]-tblsales[[#This Row],[Cost Estimate USD]])</f>
        <v>760850.31532299984</v>
      </c>
      <c r="BD845" s="23">
        <f>IF(tblsales[[#This Row],[Invoice Value USD]]="","",tblsales[[#This Row],[Collected Amount USD]]/tblsales[[#This Row],[Invoice Value USD]])</f>
        <v>0.68750244632435786</v>
      </c>
      <c r="BE845" s="11">
        <f>IF(tblsales[[#This Row],[SalesStage]]="Won",1,0)</f>
        <v>1</v>
      </c>
      <c r="BF845" s="21" t="str">
        <f>IF(tblsales[[#This Row],[Win Flag]]=1,"Won","Lost")</f>
        <v>Won</v>
      </c>
      <c r="BG845" s="8"/>
    </row>
    <row r="846" spans="1:59" x14ac:dyDescent="0.3">
      <c r="A846" s="10" t="s">
        <v>2819</v>
      </c>
      <c r="B846" s="9">
        <v>45782</v>
      </c>
      <c r="C846" s="10" t="s">
        <v>230</v>
      </c>
      <c r="D846" s="10" t="s">
        <v>220</v>
      </c>
      <c r="E846" s="10" t="s">
        <v>20</v>
      </c>
      <c r="F846" s="10" t="s">
        <v>196</v>
      </c>
      <c r="G846" s="10" t="s">
        <v>33</v>
      </c>
      <c r="H846" s="10" t="s">
        <v>332</v>
      </c>
      <c r="I846" s="10" t="s">
        <v>246</v>
      </c>
      <c r="J846" s="10" t="s">
        <v>136</v>
      </c>
      <c r="K846" s="10" t="s">
        <v>333</v>
      </c>
      <c r="L846" s="10" t="s">
        <v>2820</v>
      </c>
      <c r="M846" s="9">
        <v>45760</v>
      </c>
      <c r="N846" s="9">
        <v>45783</v>
      </c>
      <c r="O846" s="9">
        <v>45877</v>
      </c>
      <c r="P846" s="11">
        <v>42</v>
      </c>
      <c r="Q846" s="12">
        <v>49349543</v>
      </c>
      <c r="R846">
        <v>13437880.558899999</v>
      </c>
      <c r="S846" s="22">
        <v>0.19</v>
      </c>
      <c r="T846" s="22">
        <v>7.0000000000000007E-2</v>
      </c>
      <c r="U846" s="12">
        <v>42771248.920000002</v>
      </c>
      <c r="V846" s="24">
        <v>11646611.080916001</v>
      </c>
      <c r="W846" s="8">
        <v>36462654.789999999</v>
      </c>
      <c r="X846" s="24">
        <v>9928780.8993170001</v>
      </c>
      <c r="Y846" s="22">
        <v>0.12</v>
      </c>
      <c r="Z846" s="22">
        <v>0.19</v>
      </c>
      <c r="AA846" s="8" t="s">
        <v>2821</v>
      </c>
      <c r="AB846" s="8">
        <v>27832285.210000001</v>
      </c>
      <c r="AC846" s="24">
        <v>7578731.2626829995</v>
      </c>
      <c r="AD846" s="8">
        <v>19438342.100000001</v>
      </c>
      <c r="AE846" s="24">
        <v>5293060.5538300006</v>
      </c>
      <c r="AF846" s="8">
        <v>30</v>
      </c>
      <c r="AG846" s="8">
        <v>29</v>
      </c>
      <c r="AH846" s="8" t="s">
        <v>376</v>
      </c>
      <c r="AI846" s="8" t="s">
        <v>455</v>
      </c>
      <c r="AJ846" s="22">
        <v>0.57999999999999996</v>
      </c>
      <c r="AK846" s="8" t="s">
        <v>153</v>
      </c>
      <c r="AL846" s="22">
        <v>0.05</v>
      </c>
      <c r="AM846" s="22">
        <v>7.0000000000000007E-2</v>
      </c>
      <c r="AN846" s="8">
        <v>2</v>
      </c>
      <c r="AO846" s="8">
        <v>4262</v>
      </c>
      <c r="AP846" s="8">
        <v>8864244.4800000004</v>
      </c>
      <c r="AQ846" s="24">
        <v>2413733.7719040001</v>
      </c>
      <c r="AR846" s="8">
        <v>9718605.1300000008</v>
      </c>
      <c r="AS846" s="37">
        <v>2646376.1768990001</v>
      </c>
      <c r="AT846" s="8" t="s">
        <v>321</v>
      </c>
      <c r="AU846" s="8" t="s">
        <v>322</v>
      </c>
      <c r="AV846" s="8">
        <v>91.5</v>
      </c>
      <c r="AW846" s="8">
        <v>60</v>
      </c>
      <c r="AX846" s="8" t="s">
        <v>332</v>
      </c>
      <c r="AY846" s="8" t="s">
        <v>192</v>
      </c>
      <c r="AZ846" s="8" t="s">
        <v>361</v>
      </c>
      <c r="BA846" s="21">
        <f>IF(OR(tblsales[[#This Row],[Invoice Value USD]]="",tblsales[[#This Row],[Collected Amount USD]]=""),"",tblsales[[#This Row],[Invoice Value USD]]-tblsales[[#This Row],[Collected Amount USD]])</f>
        <v>2285670.7088529989</v>
      </c>
      <c r="BB846" s="21">
        <f>IF(OR(tblsales[[#This Row],[Contract Value USD]]="",tblsales[[#This Row],[Cost Estimate USD]]=""),"",tblsales[[#This Row],[Contract Value USD]]-tblsales[[#This Row],[Cost Estimate USD]])</f>
        <v>1717830.1815990005</v>
      </c>
      <c r="BC846" s="21">
        <f>IF(OR(tblsales[[#This Row],[Contract Value USD]]="",tblsales[[#This Row],[Cost Estimate USD]]=""),"",tblsales[[#This Row],[Contract Value USD]]-tblsales[[#This Row],[Cost Estimate USD]])</f>
        <v>1717830.1815990005</v>
      </c>
      <c r="BD846" s="23">
        <f>IF(tblsales[[#This Row],[Invoice Value USD]]="","",tblsales[[#This Row],[Collected Amount USD]]/tblsales[[#This Row],[Invoice Value USD]])</f>
        <v>0.69840984861048727</v>
      </c>
      <c r="BE846" s="11">
        <f>IF(tblsales[[#This Row],[SalesStage]]="Won",1,0)</f>
        <v>0</v>
      </c>
      <c r="BF846" s="21" t="str">
        <f>IF(tblsales[[#This Row],[Win Flag]]=1,"Won","Lost")</f>
        <v>Lost</v>
      </c>
      <c r="BG846" s="8"/>
    </row>
    <row r="847" spans="1:59" x14ac:dyDescent="0.3">
      <c r="A847" s="10" t="s">
        <v>2822</v>
      </c>
      <c r="B847" s="9">
        <v>46068</v>
      </c>
      <c r="C847" s="10" t="s">
        <v>275</v>
      </c>
      <c r="D847" s="10" t="s">
        <v>274</v>
      </c>
      <c r="E847" s="10" t="s">
        <v>41</v>
      </c>
      <c r="F847" s="10" t="s">
        <v>350</v>
      </c>
      <c r="G847" s="10" t="s">
        <v>73</v>
      </c>
      <c r="H847" s="10" t="s">
        <v>263</v>
      </c>
      <c r="I847" s="10" t="s">
        <v>246</v>
      </c>
      <c r="J847" s="10" t="s">
        <v>105</v>
      </c>
      <c r="K847" s="10" t="s">
        <v>221</v>
      </c>
      <c r="L847" s="10" t="s">
        <v>2823</v>
      </c>
      <c r="M847" s="9">
        <v>46051</v>
      </c>
      <c r="N847" s="9">
        <v>46098</v>
      </c>
      <c r="O847" s="9">
        <v>46179</v>
      </c>
      <c r="P847" s="11">
        <v>17</v>
      </c>
      <c r="Q847" s="12">
        <v>19722717</v>
      </c>
      <c r="R847">
        <v>5370495.8390999995</v>
      </c>
      <c r="S847" s="22">
        <v>0.34</v>
      </c>
      <c r="T847" s="22">
        <v>0.12</v>
      </c>
      <c r="U847" s="12">
        <v>14579032.41</v>
      </c>
      <c r="V847" s="24">
        <v>3969870.5252429997</v>
      </c>
      <c r="W847" s="8">
        <v>10266951.09</v>
      </c>
      <c r="X847" s="24">
        <v>2795690.7818069998</v>
      </c>
      <c r="Y847" s="22">
        <v>0.19</v>
      </c>
      <c r="Z847" s="22">
        <v>7.0000000000000007E-2</v>
      </c>
      <c r="AA847" s="8" t="s">
        <v>2824</v>
      </c>
      <c r="AB847" s="8">
        <v>4951086.7300000004</v>
      </c>
      <c r="AC847" s="24">
        <v>1348180.916579</v>
      </c>
      <c r="AD847" s="8">
        <v>3949609.65</v>
      </c>
      <c r="AE847" s="24">
        <v>1075478.7076949999</v>
      </c>
      <c r="AF847" s="8">
        <v>30</v>
      </c>
      <c r="AG847" s="8">
        <v>4</v>
      </c>
      <c r="AH847" s="8" t="s">
        <v>342</v>
      </c>
      <c r="AI847" s="8" t="s">
        <v>336</v>
      </c>
      <c r="AJ847" s="22">
        <v>0.71</v>
      </c>
      <c r="AK847" s="8" t="s">
        <v>153</v>
      </c>
      <c r="AL847" s="22">
        <v>0.15</v>
      </c>
      <c r="AM847" s="22">
        <v>0.03</v>
      </c>
      <c r="AN847" s="8">
        <v>9</v>
      </c>
      <c r="AO847" s="8">
        <v>3995</v>
      </c>
      <c r="AP847" s="8">
        <v>2146006.94</v>
      </c>
      <c r="AQ847" s="24">
        <v>584357.68976199999</v>
      </c>
      <c r="AR847" s="8">
        <v>3814135.53</v>
      </c>
      <c r="AS847" s="37">
        <v>1038589.1048189999</v>
      </c>
      <c r="AT847" s="8" t="s">
        <v>332</v>
      </c>
      <c r="AU847" s="8" t="s">
        <v>322</v>
      </c>
      <c r="AV847" s="8"/>
      <c r="AW847" s="8"/>
      <c r="AX847" s="8" t="s">
        <v>332</v>
      </c>
      <c r="AY847" s="8" t="s">
        <v>192</v>
      </c>
      <c r="AZ847" s="8" t="s">
        <v>332</v>
      </c>
      <c r="BA847" s="21">
        <f>IF(OR(tblsales[[#This Row],[Invoice Value USD]]="",tblsales[[#This Row],[Collected Amount USD]]=""),"",tblsales[[#This Row],[Invoice Value USD]]-tblsales[[#This Row],[Collected Amount USD]])</f>
        <v>272702.20888400008</v>
      </c>
      <c r="BB847" s="21">
        <f>IF(OR(tblsales[[#This Row],[Contract Value USD]]="",tblsales[[#This Row],[Cost Estimate USD]]=""),"",tblsales[[#This Row],[Contract Value USD]]-tblsales[[#This Row],[Cost Estimate USD]])</f>
        <v>1174179.7434359998</v>
      </c>
      <c r="BC847" s="21">
        <f>IF(OR(tblsales[[#This Row],[Contract Value USD]]="",tblsales[[#This Row],[Cost Estimate USD]]=""),"",tblsales[[#This Row],[Contract Value USD]]-tblsales[[#This Row],[Cost Estimate USD]])</f>
        <v>1174179.7434359998</v>
      </c>
      <c r="BD847" s="23">
        <f>IF(tblsales[[#This Row],[Invoice Value USD]]="","",tblsales[[#This Row],[Collected Amount USD]]/tblsales[[#This Row],[Invoice Value USD]])</f>
        <v>0.79772580554249339</v>
      </c>
      <c r="BE847" s="11">
        <f>IF(tblsales[[#This Row],[SalesStage]]="Won",1,0)</f>
        <v>0</v>
      </c>
      <c r="BF847" s="21" t="str">
        <f>IF(tblsales[[#This Row],[Win Flag]]=1,"Won","Lost")</f>
        <v>Lost</v>
      </c>
      <c r="BG847" s="8"/>
    </row>
    <row r="848" spans="1:59" x14ac:dyDescent="0.3">
      <c r="A848" s="10" t="s">
        <v>2825</v>
      </c>
      <c r="B848" s="9">
        <v>45921</v>
      </c>
      <c r="C848" s="10" t="s">
        <v>214</v>
      </c>
      <c r="D848" s="10" t="s">
        <v>255</v>
      </c>
      <c r="E848" s="10" t="s">
        <v>20</v>
      </c>
      <c r="F848" s="10" t="s">
        <v>31</v>
      </c>
      <c r="G848" s="10" t="s">
        <v>62</v>
      </c>
      <c r="H848" s="10" t="s">
        <v>236</v>
      </c>
      <c r="I848" s="10" t="s">
        <v>203</v>
      </c>
      <c r="J848" s="10" t="s">
        <v>136</v>
      </c>
      <c r="K848" s="10" t="s">
        <v>223</v>
      </c>
      <c r="L848" s="10" t="s">
        <v>2826</v>
      </c>
      <c r="M848" s="9">
        <v>45878</v>
      </c>
      <c r="N848" s="9">
        <v>45926</v>
      </c>
      <c r="O848" s="9">
        <v>46082</v>
      </c>
      <c r="P848" s="11">
        <v>45</v>
      </c>
      <c r="Q848" s="12">
        <v>9387446</v>
      </c>
      <c r="R848">
        <v>9387446</v>
      </c>
      <c r="S848" s="22">
        <v>0.33</v>
      </c>
      <c r="T848" s="22">
        <v>0.16</v>
      </c>
      <c r="U848" s="12">
        <v>7295923.0300000003</v>
      </c>
      <c r="V848" s="24">
        <v>7295923.0300000003</v>
      </c>
      <c r="W848" s="8">
        <v>5655689.3899999997</v>
      </c>
      <c r="X848" s="24">
        <v>5655689.3899999997</v>
      </c>
      <c r="Y848" s="22">
        <v>0.2</v>
      </c>
      <c r="Z848" s="22">
        <v>0.1</v>
      </c>
      <c r="AA848" s="8"/>
      <c r="AB848" s="8">
        <v>2025741.37</v>
      </c>
      <c r="AC848" s="24">
        <v>2025741.37</v>
      </c>
      <c r="AD848" s="8">
        <v>1348432.82</v>
      </c>
      <c r="AE848" s="24">
        <v>1348432.82</v>
      </c>
      <c r="AF848" s="8">
        <v>90</v>
      </c>
      <c r="AG848" s="8">
        <v>111</v>
      </c>
      <c r="AH848" s="8" t="s">
        <v>376</v>
      </c>
      <c r="AI848" s="8" t="s">
        <v>406</v>
      </c>
      <c r="AJ848" s="22">
        <v>0.32</v>
      </c>
      <c r="AK848" s="8" t="s">
        <v>152</v>
      </c>
      <c r="AL848" s="22">
        <v>0.15</v>
      </c>
      <c r="AM848" s="22">
        <v>7.0000000000000007E-2</v>
      </c>
      <c r="AN848" s="8">
        <v>6</v>
      </c>
      <c r="AO848" s="8">
        <v>2521</v>
      </c>
      <c r="AP848" s="8">
        <v>1285134.51</v>
      </c>
      <c r="AQ848" s="24">
        <v>1285134.51</v>
      </c>
      <c r="AR848" s="8">
        <v>1782306.76</v>
      </c>
      <c r="AS848" s="37">
        <v>1782306.76</v>
      </c>
      <c r="AT848" s="8" t="s">
        <v>391</v>
      </c>
      <c r="AU848" s="8" t="s">
        <v>330</v>
      </c>
      <c r="AV848" s="8">
        <v>82.9</v>
      </c>
      <c r="AW848" s="8">
        <v>36</v>
      </c>
      <c r="AX848" s="8" t="s">
        <v>337</v>
      </c>
      <c r="AY848" s="8" t="s">
        <v>192</v>
      </c>
      <c r="AZ848" s="8" t="s">
        <v>332</v>
      </c>
      <c r="BA848" s="21">
        <f>IF(OR(tblsales[[#This Row],[Invoice Value USD]]="",tblsales[[#This Row],[Collected Amount USD]]=""),"",tblsales[[#This Row],[Invoice Value USD]]-tblsales[[#This Row],[Collected Amount USD]])</f>
        <v>677308.55</v>
      </c>
      <c r="BB848" s="21">
        <f>IF(OR(tblsales[[#This Row],[Contract Value USD]]="",tblsales[[#This Row],[Cost Estimate USD]]=""),"",tblsales[[#This Row],[Contract Value USD]]-tblsales[[#This Row],[Cost Estimate USD]])</f>
        <v>1640233.6400000006</v>
      </c>
      <c r="BC848" s="21">
        <f>IF(OR(tblsales[[#This Row],[Contract Value USD]]="",tblsales[[#This Row],[Cost Estimate USD]]=""),"",tblsales[[#This Row],[Contract Value USD]]-tblsales[[#This Row],[Cost Estimate USD]])</f>
        <v>1640233.6400000006</v>
      </c>
      <c r="BD848" s="23">
        <f>IF(tblsales[[#This Row],[Invoice Value USD]]="","",tblsales[[#This Row],[Collected Amount USD]]/tblsales[[#This Row],[Invoice Value USD]])</f>
        <v>0.66564905074728276</v>
      </c>
      <c r="BE848" s="11">
        <f>IF(tblsales[[#This Row],[SalesStage]]="Won",1,0)</f>
        <v>0</v>
      </c>
      <c r="BF848" s="21" t="str">
        <f>IF(tblsales[[#This Row],[Win Flag]]=1,"Won","Lost")</f>
        <v>Lost</v>
      </c>
      <c r="BG848" s="8"/>
    </row>
    <row r="849" spans="1:59" x14ac:dyDescent="0.3">
      <c r="A849" s="10" t="s">
        <v>2827</v>
      </c>
      <c r="B849" s="9">
        <v>45803</v>
      </c>
      <c r="C849" s="10" t="s">
        <v>269</v>
      </c>
      <c r="D849" s="10" t="s">
        <v>265</v>
      </c>
      <c r="E849" s="10" t="s">
        <v>36</v>
      </c>
      <c r="F849" s="10" t="s">
        <v>339</v>
      </c>
      <c r="G849" s="10" t="s">
        <v>57</v>
      </c>
      <c r="H849" s="10" t="s">
        <v>332</v>
      </c>
      <c r="I849" s="10" t="s">
        <v>198</v>
      </c>
      <c r="J849" s="10" t="s">
        <v>115</v>
      </c>
      <c r="K849" s="10" t="s">
        <v>199</v>
      </c>
      <c r="L849" s="10" t="s">
        <v>2828</v>
      </c>
      <c r="M849" s="9">
        <v>45774</v>
      </c>
      <c r="N849" s="9"/>
      <c r="O849" s="9">
        <v>45861</v>
      </c>
      <c r="P849" s="11">
        <v>42</v>
      </c>
      <c r="Q849" s="12">
        <v>20403572</v>
      </c>
      <c r="R849">
        <v>5555892.6556000002</v>
      </c>
      <c r="S849" s="22">
        <v>0.1</v>
      </c>
      <c r="T849" s="22">
        <v>0.06</v>
      </c>
      <c r="U849" s="12">
        <v>19465007.690000001</v>
      </c>
      <c r="V849" s="24">
        <v>5300321.5939870002</v>
      </c>
      <c r="W849" s="8">
        <v>13665795.439999999</v>
      </c>
      <c r="X849" s="24">
        <v>3721196.0983119998</v>
      </c>
      <c r="Y849" s="22">
        <v>0.27</v>
      </c>
      <c r="Z849" s="22">
        <v>0.12</v>
      </c>
      <c r="AA849" s="8" t="s">
        <v>2829</v>
      </c>
      <c r="AB849" s="8">
        <v>14225398.35</v>
      </c>
      <c r="AC849" s="24">
        <v>3873575.9707049998</v>
      </c>
      <c r="AD849" s="8">
        <v>9786968.0099999998</v>
      </c>
      <c r="AE849" s="24">
        <v>2664991.3891229997</v>
      </c>
      <c r="AF849" s="8">
        <v>120</v>
      </c>
      <c r="AG849" s="8">
        <v>18</v>
      </c>
      <c r="AH849" s="8" t="s">
        <v>332</v>
      </c>
      <c r="AI849" s="8" t="s">
        <v>226</v>
      </c>
      <c r="AJ849" s="22">
        <v>0.8</v>
      </c>
      <c r="AK849" s="8" t="s">
        <v>153</v>
      </c>
      <c r="AL849" s="22">
        <v>0.15</v>
      </c>
      <c r="AM849" s="22">
        <v>0.04</v>
      </c>
      <c r="AN849" s="8">
        <v>10</v>
      </c>
      <c r="AO849" s="8">
        <v>1251</v>
      </c>
      <c r="AP849" s="8">
        <v>906771.39</v>
      </c>
      <c r="AQ849" s="24">
        <v>246913.84949699999</v>
      </c>
      <c r="AR849" s="8">
        <v>9504293.9700000007</v>
      </c>
      <c r="AS849" s="37">
        <v>2588019.2480310001</v>
      </c>
      <c r="AT849" s="8" t="s">
        <v>355</v>
      </c>
      <c r="AU849" s="8" t="s">
        <v>330</v>
      </c>
      <c r="AV849" s="8">
        <v>56.6</v>
      </c>
      <c r="AW849" s="8">
        <v>12</v>
      </c>
      <c r="AX849" s="8" t="s">
        <v>332</v>
      </c>
      <c r="AY849" s="8" t="s">
        <v>192</v>
      </c>
      <c r="AZ849" s="8" t="s">
        <v>357</v>
      </c>
      <c r="BA849" s="21">
        <f>IF(OR(tblsales[[#This Row],[Invoice Value USD]]="",tblsales[[#This Row],[Collected Amount USD]]=""),"",tblsales[[#This Row],[Invoice Value USD]]-tblsales[[#This Row],[Collected Amount USD]])</f>
        <v>1208584.581582</v>
      </c>
      <c r="BB849" s="21">
        <f>IF(OR(tblsales[[#This Row],[Contract Value USD]]="",tblsales[[#This Row],[Cost Estimate USD]]=""),"",tblsales[[#This Row],[Contract Value USD]]-tblsales[[#This Row],[Cost Estimate USD]])</f>
        <v>1579125.4956750004</v>
      </c>
      <c r="BC849" s="21">
        <f>IF(OR(tblsales[[#This Row],[Contract Value USD]]="",tblsales[[#This Row],[Cost Estimate USD]]=""),"",tblsales[[#This Row],[Contract Value USD]]-tblsales[[#This Row],[Cost Estimate USD]])</f>
        <v>1579125.4956750004</v>
      </c>
      <c r="BD849" s="23">
        <f>IF(tblsales[[#This Row],[Invoice Value USD]]="","",tblsales[[#This Row],[Collected Amount USD]]/tblsales[[#This Row],[Invoice Value USD]])</f>
        <v>0.6879925446868066</v>
      </c>
      <c r="BE849" s="11">
        <f>IF(tblsales[[#This Row],[SalesStage]]="Won",1,0)</f>
        <v>0</v>
      </c>
      <c r="BF849" s="21" t="str">
        <f>IF(tblsales[[#This Row],[Win Flag]]=1,"Won","Lost")</f>
        <v>Lost</v>
      </c>
      <c r="BG849" s="8"/>
    </row>
    <row r="850" spans="1:59" x14ac:dyDescent="0.3">
      <c r="A850" s="10" t="s">
        <v>2830</v>
      </c>
      <c r="B850" s="9">
        <v>45812</v>
      </c>
      <c r="C850" s="10" t="s">
        <v>269</v>
      </c>
      <c r="D850" s="10" t="s">
        <v>250</v>
      </c>
      <c r="E850" s="10" t="s">
        <v>113</v>
      </c>
      <c r="F850" s="10" t="s">
        <v>181</v>
      </c>
      <c r="G850" s="10" t="s">
        <v>16</v>
      </c>
      <c r="H850" s="10" t="s">
        <v>216</v>
      </c>
      <c r="I850" s="10" t="s">
        <v>198</v>
      </c>
      <c r="J850" s="10" t="s">
        <v>111</v>
      </c>
      <c r="K850" s="10" t="s">
        <v>223</v>
      </c>
      <c r="L850" s="10" t="s">
        <v>2831</v>
      </c>
      <c r="M850" s="9">
        <v>45841</v>
      </c>
      <c r="N850" s="9">
        <v>45786</v>
      </c>
      <c r="O850" s="9">
        <v>45807</v>
      </c>
      <c r="P850" s="11">
        <v>46</v>
      </c>
      <c r="Q850" s="12">
        <v>19525468</v>
      </c>
      <c r="R850">
        <v>19525468</v>
      </c>
      <c r="S850" s="22">
        <v>0.17</v>
      </c>
      <c r="T850" s="22">
        <v>0</v>
      </c>
      <c r="U850" s="12">
        <v>16206138.439999999</v>
      </c>
      <c r="V850" s="24">
        <v>16206138.439999999</v>
      </c>
      <c r="W850" s="8">
        <v>14063094.279999999</v>
      </c>
      <c r="X850" s="24">
        <v>14063094.279999999</v>
      </c>
      <c r="Y850" s="22">
        <v>0.39</v>
      </c>
      <c r="Z850" s="22">
        <v>0.19</v>
      </c>
      <c r="AA850" s="8" t="s">
        <v>2832</v>
      </c>
      <c r="AB850" s="8">
        <v>14236416.15</v>
      </c>
      <c r="AC850" s="24">
        <v>14236416.15</v>
      </c>
      <c r="AD850" s="8">
        <v>14014064</v>
      </c>
      <c r="AE850" s="24">
        <v>14014064</v>
      </c>
      <c r="AF850" s="8">
        <v>45</v>
      </c>
      <c r="AG850" s="8">
        <v>12</v>
      </c>
      <c r="AH850" s="8" t="s">
        <v>376</v>
      </c>
      <c r="AI850" s="8" t="s">
        <v>336</v>
      </c>
      <c r="AJ850" s="22">
        <v>0.47</v>
      </c>
      <c r="AK850" s="8" t="s">
        <v>152</v>
      </c>
      <c r="AL850" s="22">
        <v>0.05</v>
      </c>
      <c r="AM850" s="22">
        <v>0.06</v>
      </c>
      <c r="AN850" s="8">
        <v>11</v>
      </c>
      <c r="AO850" s="8">
        <v>4571</v>
      </c>
      <c r="AP850" s="8">
        <v>3176415.1</v>
      </c>
      <c r="AQ850" s="24">
        <v>3176415.1</v>
      </c>
      <c r="AR850" s="8">
        <v>6087492.6399999997</v>
      </c>
      <c r="AS850" s="37">
        <v>6087492.6399999997</v>
      </c>
      <c r="AT850" s="8" t="s">
        <v>321</v>
      </c>
      <c r="AU850" s="8" t="s">
        <v>322</v>
      </c>
      <c r="AV850" s="8">
        <v>76.400000000000006</v>
      </c>
      <c r="AW850" s="8">
        <v>12</v>
      </c>
      <c r="AX850" s="8" t="s">
        <v>332</v>
      </c>
      <c r="AY850" s="8" t="s">
        <v>206</v>
      </c>
      <c r="AZ850" s="8" t="s">
        <v>324</v>
      </c>
      <c r="BA850" s="21">
        <f>IF(OR(tblsales[[#This Row],[Invoice Value USD]]="",tblsales[[#This Row],[Collected Amount USD]]=""),"",tblsales[[#This Row],[Invoice Value USD]]-tblsales[[#This Row],[Collected Amount USD]])</f>
        <v>222352.15000000037</v>
      </c>
      <c r="BB850" s="21">
        <f>IF(OR(tblsales[[#This Row],[Contract Value USD]]="",tblsales[[#This Row],[Cost Estimate USD]]=""),"",tblsales[[#This Row],[Contract Value USD]]-tblsales[[#This Row],[Cost Estimate USD]])</f>
        <v>2143044.16</v>
      </c>
      <c r="BC850" s="21">
        <f>IF(OR(tblsales[[#This Row],[Contract Value USD]]="",tblsales[[#This Row],[Cost Estimate USD]]=""),"",tblsales[[#This Row],[Contract Value USD]]-tblsales[[#This Row],[Cost Estimate USD]])</f>
        <v>2143044.16</v>
      </c>
      <c r="BD850" s="23">
        <f>IF(tblsales[[#This Row],[Invoice Value USD]]="","",tblsales[[#This Row],[Collected Amount USD]]/tblsales[[#This Row],[Invoice Value USD]])</f>
        <v>0.98438145192882687</v>
      </c>
      <c r="BE850" s="11">
        <f>IF(tblsales[[#This Row],[SalesStage]]="Won",1,0)</f>
        <v>0</v>
      </c>
      <c r="BF850" s="21" t="str">
        <f>IF(tblsales[[#This Row],[Win Flag]]=1,"Won","Lost")</f>
        <v>Lost</v>
      </c>
      <c r="BG850" s="8"/>
    </row>
    <row r="851" spans="1:59" x14ac:dyDescent="0.3">
      <c r="A851" s="10" t="s">
        <v>2833</v>
      </c>
      <c r="B851" s="9">
        <v>45719</v>
      </c>
      <c r="C851" s="10" t="s">
        <v>219</v>
      </c>
      <c r="D851" s="10" t="s">
        <v>242</v>
      </c>
      <c r="E851" s="10" t="s">
        <v>41</v>
      </c>
      <c r="F851" s="10" t="s">
        <v>228</v>
      </c>
      <c r="G851" s="10" t="s">
        <v>38</v>
      </c>
      <c r="H851" s="10" t="s">
        <v>216</v>
      </c>
      <c r="I851" s="10" t="s">
        <v>183</v>
      </c>
      <c r="J851" s="10" t="s">
        <v>130</v>
      </c>
      <c r="K851" s="10" t="s">
        <v>221</v>
      </c>
      <c r="L851" s="10" t="s">
        <v>2834</v>
      </c>
      <c r="M851" s="9">
        <v>45686</v>
      </c>
      <c r="N851" s="9"/>
      <c r="O851" s="9">
        <v>45829</v>
      </c>
      <c r="P851" s="11">
        <v>42</v>
      </c>
      <c r="Q851" s="12">
        <v>33547480</v>
      </c>
      <c r="R851">
        <v>9215492.7559999991</v>
      </c>
      <c r="S851" s="22">
        <v>0.28999999999999998</v>
      </c>
      <c r="T851" s="22">
        <v>0.13</v>
      </c>
      <c r="U851" s="12">
        <v>26915143.199999999</v>
      </c>
      <c r="V851" s="24">
        <v>7393589.8370399997</v>
      </c>
      <c r="W851" s="8">
        <v>21645335.710000001</v>
      </c>
      <c r="X851" s="24">
        <v>5945973.7195370002</v>
      </c>
      <c r="Y851" s="22">
        <v>0.21</v>
      </c>
      <c r="Z851" s="22">
        <v>7.0000000000000007E-2</v>
      </c>
      <c r="AA851" s="8" t="s">
        <v>2835</v>
      </c>
      <c r="AB851" s="8">
        <v>6725448.3899999997</v>
      </c>
      <c r="AC851" s="24">
        <v>1847480.672733</v>
      </c>
      <c r="AD851" s="8">
        <v>2743461.47</v>
      </c>
      <c r="AE851" s="24">
        <v>753628.8658090001</v>
      </c>
      <c r="AF851" s="8">
        <v>30</v>
      </c>
      <c r="AG851" s="8">
        <v>106</v>
      </c>
      <c r="AH851" s="8" t="s">
        <v>342</v>
      </c>
      <c r="AI851" s="8" t="s">
        <v>354</v>
      </c>
      <c r="AJ851" s="22">
        <v>0.28999999999999998</v>
      </c>
      <c r="AK851" s="8" t="s">
        <v>155</v>
      </c>
      <c r="AL851" s="22">
        <v>0.05</v>
      </c>
      <c r="AM851" s="22">
        <v>7.0000000000000007E-2</v>
      </c>
      <c r="AN851" s="8">
        <v>10</v>
      </c>
      <c r="AO851" s="8">
        <v>4089</v>
      </c>
      <c r="AP851" s="8">
        <v>1595061.76</v>
      </c>
      <c r="AQ851" s="24">
        <v>438163.46547200001</v>
      </c>
      <c r="AR851" s="8">
        <v>8103897.2300000004</v>
      </c>
      <c r="AS851" s="37">
        <v>2226140.5690810001</v>
      </c>
      <c r="AT851" s="8" t="s">
        <v>385</v>
      </c>
      <c r="AU851" s="8" t="s">
        <v>322</v>
      </c>
      <c r="AV851" s="8">
        <v>64.7</v>
      </c>
      <c r="AW851" s="8">
        <v>12</v>
      </c>
      <c r="AX851" s="8" t="s">
        <v>323</v>
      </c>
      <c r="AY851" s="8" t="s">
        <v>206</v>
      </c>
      <c r="AZ851" s="8" t="s">
        <v>357</v>
      </c>
      <c r="BA851" s="21">
        <f>IF(OR(tblsales[[#This Row],[Invoice Value USD]]="",tblsales[[#This Row],[Collected Amount USD]]=""),"",tblsales[[#This Row],[Invoice Value USD]]-tblsales[[#This Row],[Collected Amount USD]])</f>
        <v>1093851.8069239999</v>
      </c>
      <c r="BB851" s="21">
        <f>IF(OR(tblsales[[#This Row],[Contract Value USD]]="",tblsales[[#This Row],[Cost Estimate USD]]=""),"",tblsales[[#This Row],[Contract Value USD]]-tblsales[[#This Row],[Cost Estimate USD]])</f>
        <v>1447616.1175029995</v>
      </c>
      <c r="BC851" s="21">
        <f>IF(OR(tblsales[[#This Row],[Contract Value USD]]="",tblsales[[#This Row],[Cost Estimate USD]]=""),"",tblsales[[#This Row],[Contract Value USD]]-tblsales[[#This Row],[Cost Estimate USD]])</f>
        <v>1447616.1175029995</v>
      </c>
      <c r="BD851" s="23">
        <f>IF(tblsales[[#This Row],[Invoice Value USD]]="","",tblsales[[#This Row],[Collected Amount USD]]/tblsales[[#This Row],[Invoice Value USD]])</f>
        <v>0.40792246269843135</v>
      </c>
      <c r="BE851" s="11">
        <f>IF(tblsales[[#This Row],[SalesStage]]="Won",1,0)</f>
        <v>0</v>
      </c>
      <c r="BF851" s="21" t="str">
        <f>IF(tblsales[[#This Row],[Win Flag]]=1,"Won","Lost")</f>
        <v>Lost</v>
      </c>
      <c r="BG851" s="8"/>
    </row>
    <row r="852" spans="1:59" x14ac:dyDescent="0.3">
      <c r="A852" s="10" t="s">
        <v>2836</v>
      </c>
      <c r="B852" s="9">
        <v>46073</v>
      </c>
      <c r="C852" s="10" t="s">
        <v>252</v>
      </c>
      <c r="D852" s="10" t="s">
        <v>332</v>
      </c>
      <c r="E852" s="10" t="s">
        <v>20</v>
      </c>
      <c r="F852" s="10" t="s">
        <v>196</v>
      </c>
      <c r="G852" s="10" t="s">
        <v>38</v>
      </c>
      <c r="H852" s="10" t="s">
        <v>212</v>
      </c>
      <c r="I852" s="10" t="s">
        <v>203</v>
      </c>
      <c r="J852" s="10" t="s">
        <v>136</v>
      </c>
      <c r="K852" s="10" t="s">
        <v>221</v>
      </c>
      <c r="L852" s="10" t="s">
        <v>2837</v>
      </c>
      <c r="M852" s="9">
        <v>46053</v>
      </c>
      <c r="N852" s="9" t="s">
        <v>2838</v>
      </c>
      <c r="O852" s="9">
        <v>46176</v>
      </c>
      <c r="P852" s="11">
        <v>28</v>
      </c>
      <c r="Q852" s="12">
        <v>36418027</v>
      </c>
      <c r="R852">
        <v>9916628.7521000002</v>
      </c>
      <c r="S852" s="22">
        <v>0.33</v>
      </c>
      <c r="T852" s="22">
        <v>0.06</v>
      </c>
      <c r="U852" s="12">
        <v>25864082.780000001</v>
      </c>
      <c r="V852" s="24">
        <v>7042789.7409939999</v>
      </c>
      <c r="W852" s="8">
        <v>22611428.559999999</v>
      </c>
      <c r="X852" s="24">
        <v>6157091.9968879996</v>
      </c>
      <c r="Y852" s="22">
        <v>0.36</v>
      </c>
      <c r="Z852" s="22">
        <v>0.06</v>
      </c>
      <c r="AA852" s="8"/>
      <c r="AB852" s="8">
        <v>14486842.27</v>
      </c>
      <c r="AC852" s="24">
        <v>3944767.1501209997</v>
      </c>
      <c r="AD852" s="8">
        <v>5251314.45</v>
      </c>
      <c r="AE852" s="24">
        <v>1429932.9247349999</v>
      </c>
      <c r="AF852" s="8">
        <v>45</v>
      </c>
      <c r="AG852" s="8">
        <v>78</v>
      </c>
      <c r="AH852" s="8" t="s">
        <v>347</v>
      </c>
      <c r="AI852" s="8" t="s">
        <v>354</v>
      </c>
      <c r="AJ852" s="22">
        <v>0.85</v>
      </c>
      <c r="AK852" s="8" t="s">
        <v>153</v>
      </c>
      <c r="AL852" s="22">
        <v>0.15</v>
      </c>
      <c r="AM852" s="22">
        <v>0.1</v>
      </c>
      <c r="AN852" s="8">
        <v>5</v>
      </c>
      <c r="AO852" s="8">
        <v>969</v>
      </c>
      <c r="AP852" s="8">
        <v>1269535.19</v>
      </c>
      <c r="AQ852" s="24">
        <v>345694.43223699997</v>
      </c>
      <c r="AR852" s="8">
        <v>4010130.03</v>
      </c>
      <c r="AS852" s="37">
        <v>1091958.4071689998</v>
      </c>
      <c r="AT852" s="8" t="s">
        <v>391</v>
      </c>
      <c r="AU852" s="8" t="s">
        <v>386</v>
      </c>
      <c r="AV852" s="8">
        <v>98.7</v>
      </c>
      <c r="AW852" s="8">
        <v>36</v>
      </c>
      <c r="AX852" s="8" t="s">
        <v>323</v>
      </c>
      <c r="AY852" s="8" t="s">
        <v>229</v>
      </c>
      <c r="AZ852" s="8" t="s">
        <v>332</v>
      </c>
      <c r="BA852" s="21">
        <f>IF(OR(tblsales[[#This Row],[Invoice Value USD]]="",tblsales[[#This Row],[Collected Amount USD]]=""),"",tblsales[[#This Row],[Invoice Value USD]]-tblsales[[#This Row],[Collected Amount USD]])</f>
        <v>2514834.2253859998</v>
      </c>
      <c r="BB852" s="21">
        <f>IF(OR(tblsales[[#This Row],[Contract Value USD]]="",tblsales[[#This Row],[Cost Estimate USD]]=""),"",tblsales[[#This Row],[Contract Value USD]]-tblsales[[#This Row],[Cost Estimate USD]])</f>
        <v>885697.74410600029</v>
      </c>
      <c r="BC852" s="21">
        <f>IF(OR(tblsales[[#This Row],[Contract Value USD]]="",tblsales[[#This Row],[Cost Estimate USD]]=""),"",tblsales[[#This Row],[Contract Value USD]]-tblsales[[#This Row],[Cost Estimate USD]])</f>
        <v>885697.74410600029</v>
      </c>
      <c r="BD852" s="23">
        <f>IF(tblsales[[#This Row],[Invoice Value USD]]="","",tblsales[[#This Row],[Collected Amount USD]]/tblsales[[#This Row],[Invoice Value USD]])</f>
        <v>0.3624885501014018</v>
      </c>
      <c r="BE852" s="11">
        <f>IF(tblsales[[#This Row],[SalesStage]]="Won",1,0)</f>
        <v>0</v>
      </c>
      <c r="BF852" s="21" t="str">
        <f>IF(tblsales[[#This Row],[Win Flag]]=1,"Won","Lost")</f>
        <v>Lost</v>
      </c>
      <c r="BG852" s="8"/>
    </row>
    <row r="853" spans="1:59" x14ac:dyDescent="0.3">
      <c r="A853" s="10" t="s">
        <v>2839</v>
      </c>
      <c r="B853" s="9">
        <v>46042</v>
      </c>
      <c r="C853" s="10" t="s">
        <v>252</v>
      </c>
      <c r="D853" s="10" t="s">
        <v>238</v>
      </c>
      <c r="E853" s="10" t="s">
        <v>52</v>
      </c>
      <c r="F853" s="10" t="s">
        <v>75</v>
      </c>
      <c r="G853" s="10" t="s">
        <v>23</v>
      </c>
      <c r="H853" s="10" t="s">
        <v>332</v>
      </c>
      <c r="I853" s="10" t="s">
        <v>183</v>
      </c>
      <c r="J853" s="10" t="s">
        <v>119</v>
      </c>
      <c r="K853" s="10" t="s">
        <v>204</v>
      </c>
      <c r="L853" s="10" t="s">
        <v>2840</v>
      </c>
      <c r="M853" s="9">
        <v>46008</v>
      </c>
      <c r="N853" s="9"/>
      <c r="O853" s="9">
        <v>46089</v>
      </c>
      <c r="P853" s="11">
        <v>8</v>
      </c>
      <c r="Q853" s="12">
        <v>36267226</v>
      </c>
      <c r="R853">
        <v>9875565.6397999991</v>
      </c>
      <c r="S853" s="22">
        <v>0.13</v>
      </c>
      <c r="T853" s="22">
        <v>0.17</v>
      </c>
      <c r="U853" s="12">
        <v>36916409.350000001</v>
      </c>
      <c r="V853" s="24">
        <v>10052338.266005</v>
      </c>
      <c r="W853" s="8">
        <v>29501006.539999999</v>
      </c>
      <c r="X853" s="24">
        <v>8033124.0808419995</v>
      </c>
      <c r="Y853" s="22">
        <v>0.31</v>
      </c>
      <c r="Z853" s="22">
        <v>0.08</v>
      </c>
      <c r="AA853" s="8" t="s">
        <v>2841</v>
      </c>
      <c r="AB853" s="8">
        <v>9350256.4700000007</v>
      </c>
      <c r="AC853" s="24">
        <v>2546074.8367810003</v>
      </c>
      <c r="AD853" s="8">
        <v>8630119.7599999998</v>
      </c>
      <c r="AE853" s="24">
        <v>2349981.6106479997</v>
      </c>
      <c r="AF853" s="8">
        <v>90</v>
      </c>
      <c r="AG853" s="8">
        <v>165</v>
      </c>
      <c r="AH853" s="8" t="s">
        <v>332</v>
      </c>
      <c r="AI853" s="8" t="s">
        <v>406</v>
      </c>
      <c r="AJ853" s="22">
        <v>0.27</v>
      </c>
      <c r="AK853" s="8" t="s">
        <v>153</v>
      </c>
      <c r="AL853" s="22">
        <v>0.1</v>
      </c>
      <c r="AM853" s="22">
        <v>0.09</v>
      </c>
      <c r="AN853" s="8">
        <v>14</v>
      </c>
      <c r="AO853" s="8">
        <v>2983</v>
      </c>
      <c r="AP853" s="8"/>
      <c r="AQ853" s="24"/>
      <c r="AR853" s="8">
        <v>13635399.439999999</v>
      </c>
      <c r="AS853" s="37">
        <v>3712919.2675119997</v>
      </c>
      <c r="AT853" s="8" t="s">
        <v>343</v>
      </c>
      <c r="AU853" s="8" t="s">
        <v>332</v>
      </c>
      <c r="AV853" s="8">
        <v>52.6</v>
      </c>
      <c r="AW853" s="8">
        <v>24</v>
      </c>
      <c r="AX853" s="8" t="s">
        <v>332</v>
      </c>
      <c r="AY853" s="8" t="s">
        <v>229</v>
      </c>
      <c r="AZ853" s="8" t="s">
        <v>357</v>
      </c>
      <c r="BA853" s="21">
        <f>IF(OR(tblsales[[#This Row],[Invoice Value USD]]="",tblsales[[#This Row],[Collected Amount USD]]=""),"",tblsales[[#This Row],[Invoice Value USD]]-tblsales[[#This Row],[Collected Amount USD]])</f>
        <v>196093.22613300057</v>
      </c>
      <c r="BB853" s="21">
        <f>IF(OR(tblsales[[#This Row],[Contract Value USD]]="",tblsales[[#This Row],[Cost Estimate USD]]=""),"",tblsales[[#This Row],[Contract Value USD]]-tblsales[[#This Row],[Cost Estimate USD]])</f>
        <v>2019214.1851630006</v>
      </c>
      <c r="BC853" s="21">
        <f>IF(OR(tblsales[[#This Row],[Contract Value USD]]="",tblsales[[#This Row],[Cost Estimate USD]]=""),"",tblsales[[#This Row],[Contract Value USD]]-tblsales[[#This Row],[Cost Estimate USD]])</f>
        <v>2019214.1851630006</v>
      </c>
      <c r="BD853" s="23">
        <f>IF(tblsales[[#This Row],[Invoice Value USD]]="","",tblsales[[#This Row],[Collected Amount USD]]/tblsales[[#This Row],[Invoice Value USD]])</f>
        <v>0.9229821436117247</v>
      </c>
      <c r="BE853" s="11">
        <f>IF(tblsales[[#This Row],[SalesStage]]="Won",1,0)</f>
        <v>0</v>
      </c>
      <c r="BF853" s="21" t="str">
        <f>IF(tblsales[[#This Row],[Win Flag]]=1,"Won","Lost")</f>
        <v>Lost</v>
      </c>
      <c r="BG853" s="8"/>
    </row>
    <row r="854" spans="1:59" x14ac:dyDescent="0.3">
      <c r="A854" s="10" t="s">
        <v>2842</v>
      </c>
      <c r="B854" s="9">
        <v>45830</v>
      </c>
      <c r="C854" s="10" t="s">
        <v>237</v>
      </c>
      <c r="D854" s="10" t="s">
        <v>209</v>
      </c>
      <c r="E854" s="10" t="s">
        <v>20</v>
      </c>
      <c r="F854" s="10" t="s">
        <v>196</v>
      </c>
      <c r="G854" s="10" t="s">
        <v>33</v>
      </c>
      <c r="H854" s="10" t="s">
        <v>197</v>
      </c>
      <c r="I854" s="10" t="s">
        <v>183</v>
      </c>
      <c r="J854" s="10" t="s">
        <v>136</v>
      </c>
      <c r="K854" s="10" t="s">
        <v>333</v>
      </c>
      <c r="L854" s="10" t="s">
        <v>2843</v>
      </c>
      <c r="M854" s="9">
        <v>45771</v>
      </c>
      <c r="N854" s="9">
        <v>45696</v>
      </c>
      <c r="O854" s="9">
        <v>45895</v>
      </c>
      <c r="P854" s="11">
        <v>24</v>
      </c>
      <c r="Q854" s="12">
        <v>47435571</v>
      </c>
      <c r="R854">
        <v>13030551.353700001</v>
      </c>
      <c r="S854" s="22">
        <v>0.24</v>
      </c>
      <c r="T854" s="22">
        <v>7.0000000000000007E-2</v>
      </c>
      <c r="U854" s="12">
        <v>38574606.340000004</v>
      </c>
      <c r="V854" s="24">
        <v>10596444.361598002</v>
      </c>
      <c r="W854" s="8">
        <v>31894971.640000001</v>
      </c>
      <c r="X854" s="24">
        <v>8761548.7095079999</v>
      </c>
      <c r="Y854" s="22">
        <v>0.31</v>
      </c>
      <c r="Z854" s="22">
        <v>0.15</v>
      </c>
      <c r="AA854" s="8" t="s">
        <v>2844</v>
      </c>
      <c r="AB854" s="8">
        <v>9225441.7100000009</v>
      </c>
      <c r="AC854" s="24">
        <v>2534228.8377370001</v>
      </c>
      <c r="AD854" s="8">
        <v>3334974.12</v>
      </c>
      <c r="AE854" s="24">
        <v>916117.39076400001</v>
      </c>
      <c r="AF854" s="8">
        <v>120</v>
      </c>
      <c r="AG854" s="8">
        <v>24</v>
      </c>
      <c r="AH854" s="8" t="s">
        <v>347</v>
      </c>
      <c r="AI854" s="8" t="s">
        <v>320</v>
      </c>
      <c r="AJ854" s="22">
        <v>0.33</v>
      </c>
      <c r="AK854" s="8" t="s">
        <v>155</v>
      </c>
      <c r="AL854" s="22">
        <v>0.1</v>
      </c>
      <c r="AM854" s="22">
        <v>0.09</v>
      </c>
      <c r="AN854" s="8">
        <v>1</v>
      </c>
      <c r="AO854" s="8">
        <v>4371</v>
      </c>
      <c r="AP854" s="8"/>
      <c r="AQ854" s="24"/>
      <c r="AR854" s="8">
        <v>11299066.050000001</v>
      </c>
      <c r="AS854" s="37">
        <v>3103853.4439350003</v>
      </c>
      <c r="AT854" s="8" t="s">
        <v>355</v>
      </c>
      <c r="AU854" s="8" t="s">
        <v>386</v>
      </c>
      <c r="AV854" s="8">
        <v>71.3</v>
      </c>
      <c r="AW854" s="8">
        <v>48</v>
      </c>
      <c r="AX854" s="8" t="s">
        <v>337</v>
      </c>
      <c r="AY854" s="8" t="s">
        <v>229</v>
      </c>
      <c r="AZ854" s="8" t="s">
        <v>332</v>
      </c>
      <c r="BA854" s="21">
        <f>IF(OR(tblsales[[#This Row],[Invoice Value USD]]="",tblsales[[#This Row],[Collected Amount USD]]=""),"",tblsales[[#This Row],[Invoice Value USD]]-tblsales[[#This Row],[Collected Amount USD]])</f>
        <v>1618111.4469730002</v>
      </c>
      <c r="BB854" s="21">
        <f>IF(OR(tblsales[[#This Row],[Contract Value USD]]="",tblsales[[#This Row],[Cost Estimate USD]]=""),"",tblsales[[#This Row],[Contract Value USD]]-tblsales[[#This Row],[Cost Estimate USD]])</f>
        <v>1834895.6520900019</v>
      </c>
      <c r="BC854" s="21">
        <f>IF(OR(tblsales[[#This Row],[Contract Value USD]]="",tblsales[[#This Row],[Cost Estimate USD]]=""),"",tblsales[[#This Row],[Contract Value USD]]-tblsales[[#This Row],[Cost Estimate USD]])</f>
        <v>1834895.6520900019</v>
      </c>
      <c r="BD854" s="23">
        <f>IF(tblsales[[#This Row],[Invoice Value USD]]="","",tblsales[[#This Row],[Collected Amount USD]]/tblsales[[#This Row],[Invoice Value USD]])</f>
        <v>0.36149750058959507</v>
      </c>
      <c r="BE854" s="11">
        <f>IF(tblsales[[#This Row],[SalesStage]]="Won",1,0)</f>
        <v>1</v>
      </c>
      <c r="BF854" s="21" t="str">
        <f>IF(tblsales[[#This Row],[Win Flag]]=1,"Won","Lost")</f>
        <v>Won</v>
      </c>
      <c r="BG854" s="8"/>
    </row>
    <row r="855" spans="1:59" x14ac:dyDescent="0.3">
      <c r="A855" s="10" t="s">
        <v>2845</v>
      </c>
      <c r="B855" s="9">
        <v>45771</v>
      </c>
      <c r="C855" s="10" t="s">
        <v>278</v>
      </c>
      <c r="D855" s="10" t="s">
        <v>265</v>
      </c>
      <c r="E855" s="10" t="s">
        <v>332</v>
      </c>
      <c r="F855" s="10" t="s">
        <v>367</v>
      </c>
      <c r="G855" s="10" t="s">
        <v>70</v>
      </c>
      <c r="H855" s="10" t="s">
        <v>216</v>
      </c>
      <c r="I855" s="10" t="s">
        <v>213</v>
      </c>
      <c r="J855" s="10" t="s">
        <v>99</v>
      </c>
      <c r="K855" s="10" t="s">
        <v>326</v>
      </c>
      <c r="L855" s="10" t="s">
        <v>2846</v>
      </c>
      <c r="M855" s="9">
        <v>45718</v>
      </c>
      <c r="N855" s="9">
        <v>45803</v>
      </c>
      <c r="O855" s="9">
        <v>45848</v>
      </c>
      <c r="P855" s="11">
        <v>44</v>
      </c>
      <c r="Q855" s="12">
        <v>4836872</v>
      </c>
      <c r="R855">
        <v>1328688.7383999999</v>
      </c>
      <c r="S855" s="22">
        <v>0.05</v>
      </c>
      <c r="T855" s="22">
        <v>-0.04</v>
      </c>
      <c r="U855" s="12">
        <v>4411227.26</v>
      </c>
      <c r="V855" s="24">
        <v>1211764.1283219999</v>
      </c>
      <c r="W855" s="8">
        <v>2943706.33</v>
      </c>
      <c r="X855" s="24">
        <v>808636.12885099999</v>
      </c>
      <c r="Y855" s="22">
        <v>0.14000000000000001</v>
      </c>
      <c r="Z855" s="22">
        <v>0.13</v>
      </c>
      <c r="AA855" s="8" t="s">
        <v>2847</v>
      </c>
      <c r="AB855" s="8">
        <v>1525317.18</v>
      </c>
      <c r="AC855" s="24">
        <v>419004.62934599997</v>
      </c>
      <c r="AD855" s="8">
        <v>1489772.38</v>
      </c>
      <c r="AE855" s="24">
        <v>409240.47278599994</v>
      </c>
      <c r="AF855" s="8">
        <v>45</v>
      </c>
      <c r="AG855" s="8">
        <v>145</v>
      </c>
      <c r="AH855" s="8" t="s">
        <v>329</v>
      </c>
      <c r="AI855" s="8" t="s">
        <v>320</v>
      </c>
      <c r="AJ855" s="22">
        <v>0.62</v>
      </c>
      <c r="AK855" s="8" t="s">
        <v>155</v>
      </c>
      <c r="AL855" s="22">
        <v>0.05</v>
      </c>
      <c r="AM855" s="22">
        <v>0.09</v>
      </c>
      <c r="AN855" s="8">
        <v>3</v>
      </c>
      <c r="AO855" s="8">
        <v>2405</v>
      </c>
      <c r="AP855" s="8">
        <v>729488.21</v>
      </c>
      <c r="AQ855" s="24">
        <v>200390.411287</v>
      </c>
      <c r="AR855" s="8">
        <v>543156.71</v>
      </c>
      <c r="AS855" s="37">
        <v>149205.14823699999</v>
      </c>
      <c r="AT855" s="8" t="s">
        <v>355</v>
      </c>
      <c r="AU855" s="8" t="s">
        <v>386</v>
      </c>
      <c r="AV855" s="8">
        <v>72.400000000000006</v>
      </c>
      <c r="AW855" s="8">
        <v>36</v>
      </c>
      <c r="AX855" s="8" t="s">
        <v>387</v>
      </c>
      <c r="AY855" s="8" t="s">
        <v>186</v>
      </c>
      <c r="AZ855" s="8" t="s">
        <v>361</v>
      </c>
      <c r="BA855" s="21">
        <f>IF(OR(tblsales[[#This Row],[Invoice Value USD]]="",tblsales[[#This Row],[Collected Amount USD]]=""),"",tblsales[[#This Row],[Invoice Value USD]]-tblsales[[#This Row],[Collected Amount USD]])</f>
        <v>9764.1565600000322</v>
      </c>
      <c r="BB855" s="21">
        <f>IF(OR(tblsales[[#This Row],[Contract Value USD]]="",tblsales[[#This Row],[Cost Estimate USD]]=""),"",tblsales[[#This Row],[Contract Value USD]]-tblsales[[#This Row],[Cost Estimate USD]])</f>
        <v>403127.99947099993</v>
      </c>
      <c r="BC855" s="21">
        <f>IF(OR(tblsales[[#This Row],[Contract Value USD]]="",tblsales[[#This Row],[Cost Estimate USD]]=""),"",tblsales[[#This Row],[Contract Value USD]]-tblsales[[#This Row],[Cost Estimate USD]])</f>
        <v>403127.99947099993</v>
      </c>
      <c r="BD855" s="23">
        <f>IF(tblsales[[#This Row],[Invoice Value USD]]="","",tblsales[[#This Row],[Collected Amount USD]]/tblsales[[#This Row],[Invoice Value USD]])</f>
        <v>0.97669678119012593</v>
      </c>
      <c r="BE855" s="11">
        <f>IF(tblsales[[#This Row],[SalesStage]]="Won",1,0)</f>
        <v>1</v>
      </c>
      <c r="BF855" s="21" t="str">
        <f>IF(tblsales[[#This Row],[Win Flag]]=1,"Won","Lost")</f>
        <v>Won</v>
      </c>
      <c r="BG855" s="8"/>
    </row>
    <row r="856" spans="1:59" x14ac:dyDescent="0.3">
      <c r="A856" s="10" t="s">
        <v>2848</v>
      </c>
      <c r="B856" s="9">
        <v>45957</v>
      </c>
      <c r="C856" s="10" t="s">
        <v>254</v>
      </c>
      <c r="D856" s="10" t="s">
        <v>332</v>
      </c>
      <c r="E856" s="10" t="s">
        <v>20</v>
      </c>
      <c r="F856" s="10" t="s">
        <v>31</v>
      </c>
      <c r="G856" s="10" t="s">
        <v>33</v>
      </c>
      <c r="H856" s="10" t="s">
        <v>182</v>
      </c>
      <c r="I856" s="10" t="s">
        <v>240</v>
      </c>
      <c r="J856" s="10" t="s">
        <v>136</v>
      </c>
      <c r="K856" s="10" t="s">
        <v>210</v>
      </c>
      <c r="L856" s="10" t="s">
        <v>2849</v>
      </c>
      <c r="M856" s="9">
        <v>45934</v>
      </c>
      <c r="N856" s="9">
        <v>46011</v>
      </c>
      <c r="O856" s="9">
        <v>46039</v>
      </c>
      <c r="P856" s="11"/>
      <c r="Q856" s="12">
        <v>33401850</v>
      </c>
      <c r="R856">
        <v>9095323.754999999</v>
      </c>
      <c r="S856" s="22">
        <v>0.31</v>
      </c>
      <c r="T856" s="22">
        <v>0.08</v>
      </c>
      <c r="U856" s="12">
        <v>24891058.620000001</v>
      </c>
      <c r="V856" s="24">
        <v>6777835.2622259995</v>
      </c>
      <c r="W856" s="8">
        <v>19136379.949999999</v>
      </c>
      <c r="X856" s="24">
        <v>5210836.2603849992</v>
      </c>
      <c r="Y856" s="22">
        <v>0.21</v>
      </c>
      <c r="Z856" s="22">
        <v>0.08</v>
      </c>
      <c r="AA856" s="8" t="s">
        <v>2850</v>
      </c>
      <c r="AB856" s="8">
        <v>2550616</v>
      </c>
      <c r="AC856" s="24">
        <v>694532.73679999996</v>
      </c>
      <c r="AD856" s="8">
        <v>2178801.94</v>
      </c>
      <c r="AE856" s="24">
        <v>593287.76826199994</v>
      </c>
      <c r="AF856" s="8">
        <v>90</v>
      </c>
      <c r="AG856" s="8">
        <v>134</v>
      </c>
      <c r="AH856" s="8" t="s">
        <v>353</v>
      </c>
      <c r="AI856" s="8" t="s">
        <v>455</v>
      </c>
      <c r="AJ856" s="22">
        <v>0.86</v>
      </c>
      <c r="AK856" s="8" t="s">
        <v>153</v>
      </c>
      <c r="AL856" s="22">
        <v>0.1</v>
      </c>
      <c r="AM856" s="22">
        <v>0.09</v>
      </c>
      <c r="AN856" s="8">
        <v>15</v>
      </c>
      <c r="AO856" s="8">
        <v>3025</v>
      </c>
      <c r="AP856" s="8">
        <v>4165390.24</v>
      </c>
      <c r="AQ856" s="24">
        <v>1134235.762352</v>
      </c>
      <c r="AR856" s="8">
        <v>3223282.4</v>
      </c>
      <c r="AS856" s="37">
        <v>877699.79751999991</v>
      </c>
      <c r="AT856" s="8" t="s">
        <v>385</v>
      </c>
      <c r="AU856" s="8" t="s">
        <v>330</v>
      </c>
      <c r="AV856" s="8">
        <v>51</v>
      </c>
      <c r="AW856" s="8">
        <v>48</v>
      </c>
      <c r="AX856" s="8" t="s">
        <v>392</v>
      </c>
      <c r="AY856" s="8" t="s">
        <v>206</v>
      </c>
      <c r="AZ856" s="8" t="s">
        <v>332</v>
      </c>
      <c r="BA856" s="21">
        <f>IF(OR(tblsales[[#This Row],[Invoice Value USD]]="",tblsales[[#This Row],[Collected Amount USD]]=""),"",tblsales[[#This Row],[Invoice Value USD]]-tblsales[[#This Row],[Collected Amount USD]])</f>
        <v>101244.96853800002</v>
      </c>
      <c r="BB856" s="21">
        <f>IF(OR(tblsales[[#This Row],[Contract Value USD]]="",tblsales[[#This Row],[Cost Estimate USD]]=""),"",tblsales[[#This Row],[Contract Value USD]]-tblsales[[#This Row],[Cost Estimate USD]])</f>
        <v>1566999.0018410003</v>
      </c>
      <c r="BC856" s="21">
        <f>IF(OR(tblsales[[#This Row],[Contract Value USD]]="",tblsales[[#This Row],[Cost Estimate USD]]=""),"",tblsales[[#This Row],[Contract Value USD]]-tblsales[[#This Row],[Cost Estimate USD]])</f>
        <v>1566999.0018410003</v>
      </c>
      <c r="BD856" s="23">
        <f>IF(tblsales[[#This Row],[Invoice Value USD]]="","",tblsales[[#This Row],[Collected Amount USD]]/tblsales[[#This Row],[Invoice Value USD]])</f>
        <v>0.85422577918432252</v>
      </c>
      <c r="BE856" s="11">
        <f>IF(tblsales[[#This Row],[SalesStage]]="Won",1,0)</f>
        <v>0</v>
      </c>
      <c r="BF856" s="21" t="str">
        <f>IF(tblsales[[#This Row],[Win Flag]]=1,"Won","Lost")</f>
        <v>Lost</v>
      </c>
      <c r="BG856" s="8"/>
    </row>
    <row r="857" spans="1:59" x14ac:dyDescent="0.3">
      <c r="A857" s="10" t="s">
        <v>2851</v>
      </c>
      <c r="B857" s="9">
        <v>46025</v>
      </c>
      <c r="C857" s="10" t="s">
        <v>179</v>
      </c>
      <c r="D857" s="10" t="s">
        <v>253</v>
      </c>
      <c r="E857" s="10" t="s">
        <v>36</v>
      </c>
      <c r="F857" s="10" t="s">
        <v>339</v>
      </c>
      <c r="G857" s="10" t="s">
        <v>78</v>
      </c>
      <c r="H857" s="10" t="s">
        <v>216</v>
      </c>
      <c r="I857" s="10" t="s">
        <v>240</v>
      </c>
      <c r="J857" s="10" t="s">
        <v>115</v>
      </c>
      <c r="K857" s="10" t="s">
        <v>199</v>
      </c>
      <c r="L857" s="10" t="s">
        <v>2852</v>
      </c>
      <c r="M857" s="9">
        <v>46010</v>
      </c>
      <c r="N857" s="9">
        <v>46024</v>
      </c>
      <c r="O857" s="9">
        <v>46059</v>
      </c>
      <c r="P857" s="11">
        <v>34</v>
      </c>
      <c r="Q857" s="12">
        <v>16687656</v>
      </c>
      <c r="R857">
        <v>16687656</v>
      </c>
      <c r="S857" s="22">
        <v>0.14000000000000001</v>
      </c>
      <c r="T857" s="22">
        <v>0.01</v>
      </c>
      <c r="U857" s="12">
        <v>14494898</v>
      </c>
      <c r="V857" s="24">
        <v>14494898</v>
      </c>
      <c r="W857" s="8"/>
      <c r="X857" s="24"/>
      <c r="Y857" s="22">
        <v>0.24</v>
      </c>
      <c r="Z857" s="22">
        <v>0.11</v>
      </c>
      <c r="AA857" s="8" t="s">
        <v>2853</v>
      </c>
      <c r="AB857" s="8">
        <v>8501646.5399999991</v>
      </c>
      <c r="AC857" s="24">
        <v>8501646.5399999991</v>
      </c>
      <c r="AD857" s="8">
        <v>2993269.4</v>
      </c>
      <c r="AE857" s="24">
        <v>2993269.4</v>
      </c>
      <c r="AF857" s="8">
        <v>60</v>
      </c>
      <c r="AG857" s="8">
        <v>105</v>
      </c>
      <c r="AH857" s="8" t="s">
        <v>353</v>
      </c>
      <c r="AI857" s="8" t="s">
        <v>354</v>
      </c>
      <c r="AJ857" s="22">
        <v>0.31</v>
      </c>
      <c r="AK857" s="8" t="s">
        <v>152</v>
      </c>
      <c r="AL857" s="22">
        <v>0.05</v>
      </c>
      <c r="AM857" s="22">
        <v>7.0000000000000007E-2</v>
      </c>
      <c r="AN857" s="8">
        <v>15</v>
      </c>
      <c r="AO857" s="8">
        <v>874</v>
      </c>
      <c r="AP857" s="8">
        <v>2963494.92</v>
      </c>
      <c r="AQ857" s="24">
        <v>2963494.92</v>
      </c>
      <c r="AR857" s="8">
        <v>4043678.43</v>
      </c>
      <c r="AS857" s="37">
        <v>4043678.43</v>
      </c>
      <c r="AT857" s="8" t="s">
        <v>391</v>
      </c>
      <c r="AU857" s="8" t="s">
        <v>330</v>
      </c>
      <c r="AV857" s="8">
        <v>77.599999999999994</v>
      </c>
      <c r="AW857" s="8">
        <v>48</v>
      </c>
      <c r="AX857" s="8" t="s">
        <v>323</v>
      </c>
      <c r="AY857" s="8" t="s">
        <v>206</v>
      </c>
      <c r="AZ857" s="8" t="s">
        <v>332</v>
      </c>
      <c r="BA857" s="21">
        <f>IF(OR(tblsales[[#This Row],[Invoice Value USD]]="",tblsales[[#This Row],[Collected Amount USD]]=""),"",tblsales[[#This Row],[Invoice Value USD]]-tblsales[[#This Row],[Collected Amount USD]])</f>
        <v>5508377.1399999987</v>
      </c>
      <c r="BB857" s="21" t="str">
        <f>IF(OR(tblsales[[#This Row],[Contract Value USD]]="",tblsales[[#This Row],[Cost Estimate USD]]=""),"",tblsales[[#This Row],[Contract Value USD]]-tblsales[[#This Row],[Cost Estimate USD]])</f>
        <v/>
      </c>
      <c r="BC857" s="21" t="str">
        <f>IF(OR(tblsales[[#This Row],[Contract Value USD]]="",tblsales[[#This Row],[Cost Estimate USD]]=""),"",tblsales[[#This Row],[Contract Value USD]]-tblsales[[#This Row],[Cost Estimate USD]])</f>
        <v/>
      </c>
      <c r="BD857" s="23">
        <f>IF(tblsales[[#This Row],[Invoice Value USD]]="","",tblsales[[#This Row],[Collected Amount USD]]/tblsales[[#This Row],[Invoice Value USD]])</f>
        <v>0.35208113933186408</v>
      </c>
      <c r="BE857" s="11">
        <f>IF(tblsales[[#This Row],[SalesStage]]="Won",1,0)</f>
        <v>0</v>
      </c>
      <c r="BF857" s="21" t="str">
        <f>IF(tblsales[[#This Row],[Win Flag]]=1,"Won","Lost")</f>
        <v>Lost</v>
      </c>
      <c r="BG857" s="8"/>
    </row>
    <row r="858" spans="1:59" x14ac:dyDescent="0.3">
      <c r="A858" s="10" t="s">
        <v>5797</v>
      </c>
      <c r="B858" s="9">
        <v>45991</v>
      </c>
      <c r="C858" s="10" t="s">
        <v>195</v>
      </c>
      <c r="D858" s="10" t="s">
        <v>242</v>
      </c>
      <c r="E858" s="10" t="s">
        <v>113</v>
      </c>
      <c r="F858" s="10" t="s">
        <v>367</v>
      </c>
      <c r="G858" s="10" t="s">
        <v>23</v>
      </c>
      <c r="H858" s="10" t="s">
        <v>236</v>
      </c>
      <c r="I858" s="10" t="s">
        <v>198</v>
      </c>
      <c r="J858" s="10" t="s">
        <v>127</v>
      </c>
      <c r="K858" s="10" t="s">
        <v>204</v>
      </c>
      <c r="L858" s="10" t="s">
        <v>4209</v>
      </c>
      <c r="M858" s="9">
        <v>45758</v>
      </c>
      <c r="N858" s="9"/>
      <c r="O858" s="9">
        <v>46048</v>
      </c>
      <c r="P858" s="11">
        <v>57</v>
      </c>
      <c r="Q858" s="12"/>
      <c r="S858" s="22"/>
      <c r="T858" s="22">
        <v>-0.04</v>
      </c>
      <c r="U858" s="12">
        <v>23821995.73</v>
      </c>
      <c r="V858" s="24">
        <v>23821995.73</v>
      </c>
      <c r="W858" s="8">
        <v>15164329.74</v>
      </c>
      <c r="X858" s="24">
        <v>15164329.74</v>
      </c>
      <c r="Y858" s="22">
        <v>0.08</v>
      </c>
      <c r="Z858" s="22">
        <v>0.19</v>
      </c>
      <c r="AA858" s="8"/>
      <c r="AB858" s="8">
        <v>13227004.140000001</v>
      </c>
      <c r="AC858" s="24">
        <v>13227004.140000001</v>
      </c>
      <c r="AD858" s="8">
        <v>8856267.5800000001</v>
      </c>
      <c r="AE858" s="24">
        <v>8856267.5800000001</v>
      </c>
      <c r="AF858" s="8">
        <v>30</v>
      </c>
      <c r="AG858" s="8">
        <v>132</v>
      </c>
      <c r="AH858" s="8" t="s">
        <v>347</v>
      </c>
      <c r="AI858" s="8" t="s">
        <v>406</v>
      </c>
      <c r="AJ858" s="22">
        <v>0.25</v>
      </c>
      <c r="AK858" s="8" t="s">
        <v>152</v>
      </c>
      <c r="AL858" s="22">
        <v>0.1</v>
      </c>
      <c r="AM858" s="22">
        <v>7.0000000000000007E-2</v>
      </c>
      <c r="AN858" s="8">
        <v>12</v>
      </c>
      <c r="AO858" s="8">
        <v>4827</v>
      </c>
      <c r="AP858" s="8">
        <v>4765988.8600000003</v>
      </c>
      <c r="AQ858" s="24">
        <v>4765988.8600000003</v>
      </c>
      <c r="AR858" s="8">
        <v>6540282.8200000003</v>
      </c>
      <c r="AS858" s="37">
        <v>6540282.8200000003</v>
      </c>
      <c r="AT858" s="8" t="s">
        <v>332</v>
      </c>
      <c r="AU858" s="8" t="s">
        <v>348</v>
      </c>
      <c r="AV858" s="8">
        <v>86.7</v>
      </c>
      <c r="AW858" s="8">
        <v>48</v>
      </c>
      <c r="AX858" s="8" t="s">
        <v>323</v>
      </c>
      <c r="AY858" s="8" t="s">
        <v>192</v>
      </c>
      <c r="AZ858" s="8" t="s">
        <v>361</v>
      </c>
      <c r="BA858" s="21">
        <f>IF(OR(tblsales[[#This Row],[Invoice Value USD]]="",tblsales[[#This Row],[Collected Amount USD]]=""),"",tblsales[[#This Row],[Invoice Value USD]]-tblsales[[#This Row],[Collected Amount USD]])</f>
        <v>4370736.5600000005</v>
      </c>
      <c r="BB858" s="21">
        <f>IF(OR(tblsales[[#This Row],[Contract Value USD]]="",tblsales[[#This Row],[Cost Estimate USD]]=""),"",tblsales[[#This Row],[Contract Value USD]]-tblsales[[#This Row],[Cost Estimate USD]])</f>
        <v>8657665.9900000002</v>
      </c>
      <c r="BC858" s="21">
        <f>IF(OR(tblsales[[#This Row],[Contract Value USD]]="",tblsales[[#This Row],[Cost Estimate USD]]=""),"",tblsales[[#This Row],[Contract Value USD]]-tblsales[[#This Row],[Cost Estimate USD]])</f>
        <v>8657665.9900000002</v>
      </c>
      <c r="BD858" s="23">
        <f>IF(tblsales[[#This Row],[Invoice Value USD]]="","",tblsales[[#This Row],[Collected Amount USD]]/tblsales[[#This Row],[Invoice Value USD]])</f>
        <v>0.6695595983989765</v>
      </c>
      <c r="BE858" s="11">
        <f>IF(tblsales[[#This Row],[SalesStage]]="Won",1,0)</f>
        <v>0</v>
      </c>
      <c r="BF858" s="21" t="str">
        <f>IF(tblsales[[#This Row],[Win Flag]]=1,"Won","Lost")</f>
        <v>Lost</v>
      </c>
      <c r="BG858" s="8"/>
    </row>
    <row r="859" spans="1:59" x14ac:dyDescent="0.3">
      <c r="A859" s="10" t="s">
        <v>2854</v>
      </c>
      <c r="B859" s="9">
        <v>45699</v>
      </c>
      <c r="C859" s="10" t="s">
        <v>286</v>
      </c>
      <c r="D859" s="10" t="s">
        <v>265</v>
      </c>
      <c r="E859" s="10" t="s">
        <v>36</v>
      </c>
      <c r="F859" s="10" t="s">
        <v>19</v>
      </c>
      <c r="G859" s="10" t="s">
        <v>23</v>
      </c>
      <c r="H859" s="10" t="s">
        <v>182</v>
      </c>
      <c r="I859" s="10" t="s">
        <v>246</v>
      </c>
      <c r="J859" s="10" t="s">
        <v>115</v>
      </c>
      <c r="K859" s="10" t="s">
        <v>223</v>
      </c>
      <c r="L859" s="10" t="s">
        <v>2855</v>
      </c>
      <c r="M859" s="9">
        <v>45648</v>
      </c>
      <c r="N859" s="9">
        <v>45744</v>
      </c>
      <c r="O859" s="9">
        <v>45692</v>
      </c>
      <c r="P859" s="11">
        <v>45</v>
      </c>
      <c r="Q859" s="12">
        <v>28757901</v>
      </c>
      <c r="R859">
        <v>33387923.061000001</v>
      </c>
      <c r="S859" s="22">
        <v>0.09</v>
      </c>
      <c r="T859" s="22">
        <v>-0.01</v>
      </c>
      <c r="U859" s="12">
        <v>25907993.010000002</v>
      </c>
      <c r="V859" s="24">
        <v>30079179.884610001</v>
      </c>
      <c r="W859" s="8">
        <v>16647870.550000001</v>
      </c>
      <c r="X859" s="24">
        <v>19328177.708550002</v>
      </c>
      <c r="Y859" s="22">
        <v>0.33</v>
      </c>
      <c r="Z859" s="22">
        <v>0.15</v>
      </c>
      <c r="AA859" s="8" t="s">
        <v>2856</v>
      </c>
      <c r="AB859" s="8">
        <v>4594691.5</v>
      </c>
      <c r="AC859" s="24">
        <v>5334436.8315000003</v>
      </c>
      <c r="AD859" s="8">
        <v>1936419.03</v>
      </c>
      <c r="AE859" s="24">
        <v>2248182.4938300001</v>
      </c>
      <c r="AF859" s="8">
        <v>30</v>
      </c>
      <c r="AG859" s="8">
        <v>146</v>
      </c>
      <c r="AH859" s="8" t="s">
        <v>329</v>
      </c>
      <c r="AI859" s="8" t="s">
        <v>381</v>
      </c>
      <c r="AJ859" s="22">
        <v>0.41</v>
      </c>
      <c r="AK859" s="8" t="s">
        <v>159</v>
      </c>
      <c r="AL859" s="22">
        <v>0.05</v>
      </c>
      <c r="AM859" s="22">
        <v>0.09</v>
      </c>
      <c r="AN859" s="8">
        <v>10</v>
      </c>
      <c r="AO859" s="8">
        <v>26</v>
      </c>
      <c r="AP859" s="8">
        <v>1534912.43</v>
      </c>
      <c r="AQ859" s="24">
        <v>1782033.3312299999</v>
      </c>
      <c r="AR859" s="8">
        <v>5200580.18</v>
      </c>
      <c r="AS859" s="37">
        <v>6037873.5889799995</v>
      </c>
      <c r="AT859" s="8" t="s">
        <v>332</v>
      </c>
      <c r="AU859" s="8" t="s">
        <v>321</v>
      </c>
      <c r="AV859" s="8">
        <v>73.3</v>
      </c>
      <c r="AW859" s="8">
        <v>48</v>
      </c>
      <c r="AX859" s="8" t="s">
        <v>392</v>
      </c>
      <c r="AY859" s="8" t="s">
        <v>229</v>
      </c>
      <c r="AZ859" s="8" t="s">
        <v>357</v>
      </c>
      <c r="BA859" s="21">
        <f>IF(OR(tblsales[[#This Row],[Invoice Value USD]]="",tblsales[[#This Row],[Collected Amount USD]]=""),"",tblsales[[#This Row],[Invoice Value USD]]-tblsales[[#This Row],[Collected Amount USD]])</f>
        <v>3086254.3376700003</v>
      </c>
      <c r="BB859" s="21">
        <f>IF(OR(tblsales[[#This Row],[Contract Value USD]]="",tblsales[[#This Row],[Cost Estimate USD]]=""),"",tblsales[[#This Row],[Contract Value USD]]-tblsales[[#This Row],[Cost Estimate USD]])</f>
        <v>10751002.176059999</v>
      </c>
      <c r="BC859" s="21">
        <f>IF(OR(tblsales[[#This Row],[Contract Value USD]]="",tblsales[[#This Row],[Cost Estimate USD]]=""),"",tblsales[[#This Row],[Contract Value USD]]-tblsales[[#This Row],[Cost Estimate USD]])</f>
        <v>10751002.176059999</v>
      </c>
      <c r="BD859" s="23">
        <f>IF(tblsales[[#This Row],[Invoice Value USD]]="","",tblsales[[#This Row],[Collected Amount USD]]/tblsales[[#This Row],[Invoice Value USD]])</f>
        <v>0.42144701771598808</v>
      </c>
      <c r="BE859" s="11">
        <f>IF(tblsales[[#This Row],[SalesStage]]="Won",1,0)</f>
        <v>0</v>
      </c>
      <c r="BF859" s="21" t="str">
        <f>IF(tblsales[[#This Row],[Win Flag]]=1,"Won","Lost")</f>
        <v>Lost</v>
      </c>
      <c r="BG859" s="8"/>
    </row>
    <row r="860" spans="1:59" x14ac:dyDescent="0.3">
      <c r="A860" s="10" t="s">
        <v>2857</v>
      </c>
      <c r="B860" s="9">
        <v>45980</v>
      </c>
      <c r="C860" s="10" t="s">
        <v>239</v>
      </c>
      <c r="D860" s="10" t="s">
        <v>242</v>
      </c>
      <c r="E860" s="10" t="s">
        <v>20</v>
      </c>
      <c r="F860" s="10" t="s">
        <v>196</v>
      </c>
      <c r="G860" s="10" t="s">
        <v>28</v>
      </c>
      <c r="H860" s="10" t="s">
        <v>182</v>
      </c>
      <c r="I860" s="10" t="s">
        <v>183</v>
      </c>
      <c r="J860" s="10" t="s">
        <v>136</v>
      </c>
      <c r="K860" s="10" t="s">
        <v>333</v>
      </c>
      <c r="L860" s="10" t="s">
        <v>2858</v>
      </c>
      <c r="M860" s="9">
        <v>45946</v>
      </c>
      <c r="N860" s="9"/>
      <c r="O860" s="9">
        <v>46048</v>
      </c>
      <c r="P860" s="11">
        <v>47</v>
      </c>
      <c r="Q860" s="12">
        <v>21697970</v>
      </c>
      <c r="R860">
        <v>21697970</v>
      </c>
      <c r="S860" s="22">
        <v>0.11</v>
      </c>
      <c r="T860" s="22">
        <v>0.06</v>
      </c>
      <c r="U860" s="12">
        <v>20469864.899999999</v>
      </c>
      <c r="V860" s="24">
        <v>20469864.899999999</v>
      </c>
      <c r="W860" s="8">
        <v>14656586.33</v>
      </c>
      <c r="X860" s="24">
        <v>14656586.33</v>
      </c>
      <c r="Y860" s="22">
        <v>0.21</v>
      </c>
      <c r="Z860" s="22">
        <v>0.18</v>
      </c>
      <c r="AA860" s="8" t="s">
        <v>2859</v>
      </c>
      <c r="AB860" s="8">
        <v>17431528.760000002</v>
      </c>
      <c r="AC860" s="24">
        <v>17431528.760000002</v>
      </c>
      <c r="AD860" s="8">
        <v>16997333.300000001</v>
      </c>
      <c r="AE860" s="24">
        <v>16997333.300000001</v>
      </c>
      <c r="AF860" s="8">
        <v>45</v>
      </c>
      <c r="AG860" s="8">
        <v>40</v>
      </c>
      <c r="AH860" s="8" t="s">
        <v>347</v>
      </c>
      <c r="AI860" s="8" t="s">
        <v>226</v>
      </c>
      <c r="AJ860" s="22">
        <v>0.05</v>
      </c>
      <c r="AK860" s="8" t="s">
        <v>152</v>
      </c>
      <c r="AL860" s="22">
        <v>0.05</v>
      </c>
      <c r="AM860" s="22">
        <v>0.05</v>
      </c>
      <c r="AN860" s="8">
        <v>6</v>
      </c>
      <c r="AO860" s="8">
        <v>2564</v>
      </c>
      <c r="AP860" s="8">
        <v>3225848.81</v>
      </c>
      <c r="AQ860" s="24">
        <v>3225848.81</v>
      </c>
      <c r="AR860" s="8">
        <v>7266282.9100000001</v>
      </c>
      <c r="AS860" s="37">
        <v>7266282.9100000001</v>
      </c>
      <c r="AT860" s="8" t="s">
        <v>332</v>
      </c>
      <c r="AU860" s="8" t="s">
        <v>322</v>
      </c>
      <c r="AV860" s="8">
        <v>51.6</v>
      </c>
      <c r="AW860" s="8">
        <v>48</v>
      </c>
      <c r="AX860" s="8" t="s">
        <v>332</v>
      </c>
      <c r="AY860" s="8" t="s">
        <v>186</v>
      </c>
      <c r="AZ860" s="8" t="s">
        <v>361</v>
      </c>
      <c r="BA860" s="21">
        <f>IF(OR(tblsales[[#This Row],[Invoice Value USD]]="",tblsales[[#This Row],[Collected Amount USD]]=""),"",tblsales[[#This Row],[Invoice Value USD]]-tblsales[[#This Row],[Collected Amount USD]])</f>
        <v>434195.46000000089</v>
      </c>
      <c r="BB860" s="21">
        <f>IF(OR(tblsales[[#This Row],[Contract Value USD]]="",tblsales[[#This Row],[Cost Estimate USD]]=""),"",tblsales[[#This Row],[Contract Value USD]]-tblsales[[#This Row],[Cost Estimate USD]])</f>
        <v>5813278.5699999984</v>
      </c>
      <c r="BC860" s="21">
        <f>IF(OR(tblsales[[#This Row],[Contract Value USD]]="",tblsales[[#This Row],[Cost Estimate USD]]=""),"",tblsales[[#This Row],[Contract Value USD]]-tblsales[[#This Row],[Cost Estimate USD]])</f>
        <v>5813278.5699999984</v>
      </c>
      <c r="BD860" s="23">
        <f>IF(tblsales[[#This Row],[Invoice Value USD]]="","",tblsales[[#This Row],[Collected Amount USD]]/tblsales[[#This Row],[Invoice Value USD]])</f>
        <v>0.9750913723071527</v>
      </c>
      <c r="BE860" s="11">
        <f>IF(tblsales[[#This Row],[SalesStage]]="Won",1,0)</f>
        <v>0</v>
      </c>
      <c r="BF860" s="21" t="str">
        <f>IF(tblsales[[#This Row],[Win Flag]]=1,"Won","Lost")</f>
        <v>Lost</v>
      </c>
      <c r="BG860" s="8"/>
    </row>
    <row r="861" spans="1:59" x14ac:dyDescent="0.3">
      <c r="A861" s="10" t="s">
        <v>2860</v>
      </c>
      <c r="B861" s="9">
        <v>45984</v>
      </c>
      <c r="C861" s="10" t="s">
        <v>285</v>
      </c>
      <c r="D861" s="10" t="s">
        <v>242</v>
      </c>
      <c r="E861" s="10" t="s">
        <v>36</v>
      </c>
      <c r="F861" s="10" t="s">
        <v>332</v>
      </c>
      <c r="G861" s="10" t="s">
        <v>66</v>
      </c>
      <c r="H861" s="10" t="s">
        <v>236</v>
      </c>
      <c r="I861" s="10" t="s">
        <v>183</v>
      </c>
      <c r="J861" s="10" t="s">
        <v>115</v>
      </c>
      <c r="K861" s="10" t="s">
        <v>326</v>
      </c>
      <c r="L861" s="10" t="s">
        <v>2861</v>
      </c>
      <c r="M861" s="9">
        <v>45726</v>
      </c>
      <c r="N861" s="9">
        <v>46018</v>
      </c>
      <c r="O861" s="9"/>
      <c r="P861" s="11">
        <v>52</v>
      </c>
      <c r="Q861" s="12">
        <v>33897344</v>
      </c>
      <c r="R861">
        <v>9230246.7711999994</v>
      </c>
      <c r="S861" s="22">
        <v>0.3</v>
      </c>
      <c r="T861" s="22">
        <v>0.13</v>
      </c>
      <c r="U861" s="12">
        <v>26812799.100000001</v>
      </c>
      <c r="V861" s="24">
        <v>7301125.1949300002</v>
      </c>
      <c r="W861" s="8">
        <v>22514689.940000001</v>
      </c>
      <c r="X861" s="24">
        <v>6130750.0706620002</v>
      </c>
      <c r="Y861" s="22">
        <v>0.28999999999999998</v>
      </c>
      <c r="Z861" s="22">
        <v>0.1</v>
      </c>
      <c r="AA861" s="8" t="s">
        <v>2862</v>
      </c>
      <c r="AB861" s="8">
        <v>22064083.399999999</v>
      </c>
      <c r="AC861" s="24">
        <v>6008049.9098199997</v>
      </c>
      <c r="AD861" s="8">
        <v>12694304.23</v>
      </c>
      <c r="AE861" s="24">
        <v>3456659.0418289998</v>
      </c>
      <c r="AF861" s="8">
        <v>90</v>
      </c>
      <c r="AG861" s="8">
        <v>31</v>
      </c>
      <c r="AH861" s="8" t="s">
        <v>353</v>
      </c>
      <c r="AI861" s="8" t="s">
        <v>336</v>
      </c>
      <c r="AJ861" s="22">
        <v>0.28000000000000003</v>
      </c>
      <c r="AK861" s="8" t="s">
        <v>153</v>
      </c>
      <c r="AL861" s="22">
        <v>0.15</v>
      </c>
      <c r="AM861" s="22">
        <v>0.05</v>
      </c>
      <c r="AN861" s="8">
        <v>11</v>
      </c>
      <c r="AO861" s="8"/>
      <c r="AP861" s="8">
        <v>5776862.3300000001</v>
      </c>
      <c r="AQ861" s="24">
        <v>1573039.612459</v>
      </c>
      <c r="AR861" s="8">
        <v>7139892.2400000002</v>
      </c>
      <c r="AS861" s="37">
        <v>1944192.656952</v>
      </c>
      <c r="AT861" s="8" t="s">
        <v>385</v>
      </c>
      <c r="AU861" s="8" t="s">
        <v>386</v>
      </c>
      <c r="AV861" s="8">
        <v>59.5</v>
      </c>
      <c r="AW861" s="8">
        <v>60</v>
      </c>
      <c r="AX861" s="8" t="s">
        <v>332</v>
      </c>
      <c r="AY861" s="8" t="s">
        <v>224</v>
      </c>
      <c r="AZ861" s="8" t="s">
        <v>324</v>
      </c>
      <c r="BA861" s="21">
        <f>IF(OR(tblsales[[#This Row],[Invoice Value USD]]="",tblsales[[#This Row],[Collected Amount USD]]=""),"",tblsales[[#This Row],[Invoice Value USD]]-tblsales[[#This Row],[Collected Amount USD]])</f>
        <v>2551390.8679909999</v>
      </c>
      <c r="BB861" s="21">
        <f>IF(OR(tblsales[[#This Row],[Contract Value USD]]="",tblsales[[#This Row],[Cost Estimate USD]]=""),"",tblsales[[#This Row],[Contract Value USD]]-tblsales[[#This Row],[Cost Estimate USD]])</f>
        <v>1170375.124268</v>
      </c>
      <c r="BC861" s="21">
        <f>IF(OR(tblsales[[#This Row],[Contract Value USD]]="",tblsales[[#This Row],[Cost Estimate USD]]=""),"",tblsales[[#This Row],[Contract Value USD]]-tblsales[[#This Row],[Cost Estimate USD]])</f>
        <v>1170375.124268</v>
      </c>
      <c r="BD861" s="23">
        <f>IF(tblsales[[#This Row],[Invoice Value USD]]="","",tblsales[[#This Row],[Collected Amount USD]]/tblsales[[#This Row],[Invoice Value USD]])</f>
        <v>0.57533793721972604</v>
      </c>
      <c r="BE861" s="11">
        <f>IF(tblsales[[#This Row],[SalesStage]]="Won",1,0)</f>
        <v>0</v>
      </c>
      <c r="BF861" s="21" t="str">
        <f>IF(tblsales[[#This Row],[Win Flag]]=1,"Won","Lost")</f>
        <v>Lost</v>
      </c>
      <c r="BG861" s="8"/>
    </row>
    <row r="862" spans="1:59" x14ac:dyDescent="0.3">
      <c r="A862" s="10" t="s">
        <v>2863</v>
      </c>
      <c r="B862" s="9">
        <v>45785</v>
      </c>
      <c r="C862" s="10" t="s">
        <v>279</v>
      </c>
      <c r="D862" s="10" t="s">
        <v>274</v>
      </c>
      <c r="E862" s="10" t="s">
        <v>332</v>
      </c>
      <c r="F862" s="10" t="s">
        <v>19</v>
      </c>
      <c r="G862" s="10" t="s">
        <v>66</v>
      </c>
      <c r="H862" s="10" t="s">
        <v>216</v>
      </c>
      <c r="I862" s="10" t="s">
        <v>213</v>
      </c>
      <c r="J862" s="10" t="s">
        <v>99</v>
      </c>
      <c r="K862" s="10" t="s">
        <v>326</v>
      </c>
      <c r="L862" s="10" t="s">
        <v>2864</v>
      </c>
      <c r="M862" s="9">
        <v>45766</v>
      </c>
      <c r="N862" s="9" t="s">
        <v>906</v>
      </c>
      <c r="O862" s="9">
        <v>45875</v>
      </c>
      <c r="P862" s="11">
        <v>59</v>
      </c>
      <c r="Q862" s="12">
        <v>20712326</v>
      </c>
      <c r="R862">
        <v>5689675.9522000002</v>
      </c>
      <c r="S862" s="22">
        <v>0.28000000000000003</v>
      </c>
      <c r="T862" s="22">
        <v>0.03</v>
      </c>
      <c r="U862" s="12">
        <v>15360260.960000001</v>
      </c>
      <c r="V862" s="24">
        <v>4219463.6857120004</v>
      </c>
      <c r="W862" s="8">
        <v>13480289.970000001</v>
      </c>
      <c r="X862" s="24">
        <v>3703035.6547590001</v>
      </c>
      <c r="Y862" s="22">
        <v>0.32</v>
      </c>
      <c r="Z862" s="22">
        <v>7.0000000000000007E-2</v>
      </c>
      <c r="AA862" s="8"/>
      <c r="AB862" s="8"/>
      <c r="AC862" s="24"/>
      <c r="AD862" s="8">
        <v>2295611.33</v>
      </c>
      <c r="AE862" s="24">
        <v>630604.43235100002</v>
      </c>
      <c r="AF862" s="8">
        <v>90</v>
      </c>
      <c r="AG862" s="8">
        <v>132</v>
      </c>
      <c r="AH862" s="8" t="s">
        <v>353</v>
      </c>
      <c r="AI862" s="8" t="s">
        <v>320</v>
      </c>
      <c r="AJ862" s="22">
        <v>0.81</v>
      </c>
      <c r="AK862" s="8" t="s">
        <v>155</v>
      </c>
      <c r="AL862" s="22">
        <v>0.05</v>
      </c>
      <c r="AM862" s="22">
        <v>0.08</v>
      </c>
      <c r="AN862" s="8">
        <v>13</v>
      </c>
      <c r="AO862" s="8">
        <v>4505</v>
      </c>
      <c r="AP862" s="8"/>
      <c r="AQ862" s="24"/>
      <c r="AR862" s="8">
        <v>4378576.49</v>
      </c>
      <c r="AS862" s="37">
        <v>1202794.961803</v>
      </c>
      <c r="AT862" s="8" t="s">
        <v>73</v>
      </c>
      <c r="AU862" s="8" t="s">
        <v>330</v>
      </c>
      <c r="AV862" s="8">
        <v>60.6</v>
      </c>
      <c r="AW862" s="8">
        <v>48</v>
      </c>
      <c r="AX862" s="8" t="s">
        <v>323</v>
      </c>
      <c r="AY862" s="8" t="s">
        <v>229</v>
      </c>
      <c r="AZ862" s="8" t="s">
        <v>377</v>
      </c>
      <c r="BA862" s="21" t="str">
        <f>IF(OR(tblsales[[#This Row],[Invoice Value USD]]="",tblsales[[#This Row],[Collected Amount USD]]=""),"",tblsales[[#This Row],[Invoice Value USD]]-tblsales[[#This Row],[Collected Amount USD]])</f>
        <v/>
      </c>
      <c r="BB862" s="21">
        <f>IF(OR(tblsales[[#This Row],[Contract Value USD]]="",tblsales[[#This Row],[Cost Estimate USD]]=""),"",tblsales[[#This Row],[Contract Value USD]]-tblsales[[#This Row],[Cost Estimate USD]])</f>
        <v>516428.0309530003</v>
      </c>
      <c r="BC862" s="21">
        <f>IF(OR(tblsales[[#This Row],[Contract Value USD]]="",tblsales[[#This Row],[Cost Estimate USD]]=""),"",tblsales[[#This Row],[Contract Value USD]]-tblsales[[#This Row],[Cost Estimate USD]])</f>
        <v>516428.0309530003</v>
      </c>
      <c r="BD862" s="23" t="str">
        <f>IF(tblsales[[#This Row],[Invoice Value USD]]="","",tblsales[[#This Row],[Collected Amount USD]]/tblsales[[#This Row],[Invoice Value USD]])</f>
        <v/>
      </c>
      <c r="BE862" s="11">
        <f>IF(tblsales[[#This Row],[SalesStage]]="Won",1,0)</f>
        <v>1</v>
      </c>
      <c r="BF862" s="21" t="str">
        <f>IF(tblsales[[#This Row],[Win Flag]]=1,"Won","Lost")</f>
        <v>Won</v>
      </c>
      <c r="BG862" s="8"/>
    </row>
    <row r="863" spans="1:59" x14ac:dyDescent="0.3">
      <c r="A863" s="10" t="s">
        <v>2865</v>
      </c>
      <c r="B863" s="9">
        <v>45984</v>
      </c>
      <c r="C863" s="10" t="s">
        <v>260</v>
      </c>
      <c r="D863" s="10" t="s">
        <v>332</v>
      </c>
      <c r="E863" s="10" t="s">
        <v>20</v>
      </c>
      <c r="F863" s="10" t="s">
        <v>35</v>
      </c>
      <c r="G863" s="10" t="s">
        <v>332</v>
      </c>
      <c r="H863" s="10" t="s">
        <v>263</v>
      </c>
      <c r="I863" s="10" t="s">
        <v>332</v>
      </c>
      <c r="J863" s="10" t="s">
        <v>136</v>
      </c>
      <c r="K863" s="10" t="s">
        <v>199</v>
      </c>
      <c r="L863" s="10" t="s">
        <v>2866</v>
      </c>
      <c r="M863" s="9">
        <v>45956</v>
      </c>
      <c r="N863" s="9">
        <v>46024</v>
      </c>
      <c r="O863" s="9">
        <v>46095</v>
      </c>
      <c r="P863" s="11">
        <v>15</v>
      </c>
      <c r="Q863" s="12">
        <v>24647101</v>
      </c>
      <c r="R863">
        <v>6770558.6447000001</v>
      </c>
      <c r="S863" s="22">
        <v>0.02</v>
      </c>
      <c r="T863" s="22">
        <v>0.17</v>
      </c>
      <c r="U863" s="12">
        <v>28260366.010000002</v>
      </c>
      <c r="V863" s="24">
        <v>7763122.5429470008</v>
      </c>
      <c r="W863" s="8">
        <v>24343495.079999998</v>
      </c>
      <c r="X863" s="24">
        <v>6687158.0984759992</v>
      </c>
      <c r="Y863" s="22">
        <v>0.2</v>
      </c>
      <c r="Z863" s="22">
        <v>0.08</v>
      </c>
      <c r="AA863" s="8" t="s">
        <v>2867</v>
      </c>
      <c r="AB863" s="8">
        <v>21117045.199999999</v>
      </c>
      <c r="AC863" s="24">
        <v>5800852.3164400002</v>
      </c>
      <c r="AD863" s="8"/>
      <c r="AE863" s="24"/>
      <c r="AF863" s="8">
        <v>45</v>
      </c>
      <c r="AG863" s="8">
        <v>31</v>
      </c>
      <c r="AH863" s="8" t="s">
        <v>329</v>
      </c>
      <c r="AI863" s="8" t="s">
        <v>455</v>
      </c>
      <c r="AJ863" s="22">
        <v>0.87</v>
      </c>
      <c r="AK863" s="8" t="s">
        <v>155</v>
      </c>
      <c r="AL863" s="22">
        <v>0.1</v>
      </c>
      <c r="AM863" s="22">
        <v>0.02</v>
      </c>
      <c r="AN863" s="8">
        <v>2</v>
      </c>
      <c r="AO863" s="8">
        <v>4898</v>
      </c>
      <c r="AP863" s="8">
        <v>6111148.1399999997</v>
      </c>
      <c r="AQ863" s="24">
        <v>1678732.3940579998</v>
      </c>
      <c r="AR863" s="8">
        <v>14045422.970000001</v>
      </c>
      <c r="AS863" s="37">
        <v>3858277.689859</v>
      </c>
      <c r="AT863" s="8" t="s">
        <v>391</v>
      </c>
      <c r="AU863" s="8" t="s">
        <v>356</v>
      </c>
      <c r="AV863" s="8">
        <v>65.5</v>
      </c>
      <c r="AW863" s="8">
        <v>36</v>
      </c>
      <c r="AX863" s="8" t="s">
        <v>392</v>
      </c>
      <c r="AY863" s="8" t="s">
        <v>229</v>
      </c>
      <c r="AZ863" s="8" t="s">
        <v>324</v>
      </c>
      <c r="BA863" s="21" t="str">
        <f>IF(OR(tblsales[[#This Row],[Invoice Value USD]]="",tblsales[[#This Row],[Collected Amount USD]]=""),"",tblsales[[#This Row],[Invoice Value USD]]-tblsales[[#This Row],[Collected Amount USD]])</f>
        <v/>
      </c>
      <c r="BB863" s="21">
        <f>IF(OR(tblsales[[#This Row],[Contract Value USD]]="",tblsales[[#This Row],[Cost Estimate USD]]=""),"",tblsales[[#This Row],[Contract Value USD]]-tblsales[[#This Row],[Cost Estimate USD]])</f>
        <v>1075964.4444710016</v>
      </c>
      <c r="BC863" s="21">
        <f>IF(OR(tblsales[[#This Row],[Contract Value USD]]="",tblsales[[#This Row],[Cost Estimate USD]]=""),"",tblsales[[#This Row],[Contract Value USD]]-tblsales[[#This Row],[Cost Estimate USD]])</f>
        <v>1075964.4444710016</v>
      </c>
      <c r="BD863" s="23">
        <f>IF(tblsales[[#This Row],[Invoice Value USD]]="","",tblsales[[#This Row],[Collected Amount USD]]/tblsales[[#This Row],[Invoice Value USD]])</f>
        <v>0</v>
      </c>
      <c r="BE863" s="11">
        <f>IF(tblsales[[#This Row],[SalesStage]]="Won",1,0)</f>
        <v>0</v>
      </c>
      <c r="BF863" s="21" t="str">
        <f>IF(tblsales[[#This Row],[Win Flag]]=1,"Won","Lost")</f>
        <v>Lost</v>
      </c>
      <c r="BG863" s="8"/>
    </row>
    <row r="864" spans="1:59" x14ac:dyDescent="0.3">
      <c r="A864" s="10" t="s">
        <v>2868</v>
      </c>
      <c r="B864" s="9">
        <v>45942</v>
      </c>
      <c r="C864" s="10" t="s">
        <v>268</v>
      </c>
      <c r="D864" s="10" t="s">
        <v>190</v>
      </c>
      <c r="E864" s="10" t="s">
        <v>113</v>
      </c>
      <c r="F864" s="10" t="s">
        <v>181</v>
      </c>
      <c r="G864" s="10" t="s">
        <v>70</v>
      </c>
      <c r="H864" s="10" t="s">
        <v>236</v>
      </c>
      <c r="I864" s="10" t="s">
        <v>183</v>
      </c>
      <c r="J864" s="10" t="s">
        <v>111</v>
      </c>
      <c r="K864" s="10" t="s">
        <v>223</v>
      </c>
      <c r="L864" s="10" t="s">
        <v>2869</v>
      </c>
      <c r="M864" s="9">
        <v>45974</v>
      </c>
      <c r="N864" s="9">
        <v>46011</v>
      </c>
      <c r="O864" s="9">
        <v>46108</v>
      </c>
      <c r="P864" s="11">
        <v>38</v>
      </c>
      <c r="Q864" s="12">
        <v>17465566</v>
      </c>
      <c r="R864">
        <v>4755873.6217999998</v>
      </c>
      <c r="S864" s="22">
        <v>0.26</v>
      </c>
      <c r="T864" s="22">
        <v>0.17</v>
      </c>
      <c r="U864" s="12">
        <v>15121687.039999999</v>
      </c>
      <c r="V864" s="24">
        <v>4117635.3809919995</v>
      </c>
      <c r="W864" s="8">
        <v>11537241.949999999</v>
      </c>
      <c r="X864" s="24">
        <v>3141590.9829849997</v>
      </c>
      <c r="Y864" s="22">
        <v>0.33</v>
      </c>
      <c r="Z864" s="22">
        <v>0.1</v>
      </c>
      <c r="AA864" s="8" t="s">
        <v>2870</v>
      </c>
      <c r="AB864" s="8">
        <v>4371596.37</v>
      </c>
      <c r="AC864" s="24">
        <v>1190385.6915509999</v>
      </c>
      <c r="AD864" s="8">
        <v>2006570.97</v>
      </c>
      <c r="AE864" s="24">
        <v>546389.27513099997</v>
      </c>
      <c r="AF864" s="8">
        <v>45</v>
      </c>
      <c r="AG864" s="8">
        <v>130</v>
      </c>
      <c r="AH864" s="8" t="s">
        <v>342</v>
      </c>
      <c r="AI864" s="8" t="s">
        <v>381</v>
      </c>
      <c r="AJ864" s="22">
        <v>0.87</v>
      </c>
      <c r="AK864" s="8" t="s">
        <v>153</v>
      </c>
      <c r="AL864" s="22">
        <v>0.05</v>
      </c>
      <c r="AM864" s="22">
        <v>0.05</v>
      </c>
      <c r="AN864" s="8">
        <v>9</v>
      </c>
      <c r="AO864" s="8"/>
      <c r="AP864" s="8">
        <v>2515053.64</v>
      </c>
      <c r="AQ864" s="24">
        <v>684849.10617200006</v>
      </c>
      <c r="AR864" s="8">
        <v>2228652.6800000002</v>
      </c>
      <c r="AS864" s="37">
        <v>606862.12476400007</v>
      </c>
      <c r="AT864" s="8" t="s">
        <v>321</v>
      </c>
      <c r="AU864" s="8" t="s">
        <v>356</v>
      </c>
      <c r="AV864" s="8">
        <v>86.4</v>
      </c>
      <c r="AW864" s="8">
        <v>48</v>
      </c>
      <c r="AX864" s="8" t="s">
        <v>337</v>
      </c>
      <c r="AY864" s="8" t="s">
        <v>192</v>
      </c>
      <c r="AZ864" s="8" t="s">
        <v>357</v>
      </c>
      <c r="BA864" s="21">
        <f>IF(OR(tblsales[[#This Row],[Invoice Value USD]]="",tblsales[[#This Row],[Collected Amount USD]]=""),"",tblsales[[#This Row],[Invoice Value USD]]-tblsales[[#This Row],[Collected Amount USD]])</f>
        <v>643996.41641999991</v>
      </c>
      <c r="BB864" s="21">
        <f>IF(OR(tblsales[[#This Row],[Contract Value USD]]="",tblsales[[#This Row],[Cost Estimate USD]]=""),"",tblsales[[#This Row],[Contract Value USD]]-tblsales[[#This Row],[Cost Estimate USD]])</f>
        <v>976044.39800699987</v>
      </c>
      <c r="BC864" s="21">
        <f>IF(OR(tblsales[[#This Row],[Contract Value USD]]="",tblsales[[#This Row],[Cost Estimate USD]]=""),"",tblsales[[#This Row],[Contract Value USD]]-tblsales[[#This Row],[Cost Estimate USD]])</f>
        <v>976044.39800699987</v>
      </c>
      <c r="BD864" s="23">
        <f>IF(tblsales[[#This Row],[Invoice Value USD]]="","",tblsales[[#This Row],[Collected Amount USD]]/tblsales[[#This Row],[Invoice Value USD]])</f>
        <v>0.45900188401885789</v>
      </c>
      <c r="BE864" s="11">
        <f>IF(tblsales[[#This Row],[SalesStage]]="Won",1,0)</f>
        <v>0</v>
      </c>
      <c r="BF864" s="21" t="str">
        <f>IF(tblsales[[#This Row],[Win Flag]]=1,"Won","Lost")</f>
        <v>Lost</v>
      </c>
      <c r="BG864" s="8"/>
    </row>
    <row r="865" spans="1:59" x14ac:dyDescent="0.3">
      <c r="A865" s="10" t="s">
        <v>2871</v>
      </c>
      <c r="B865" s="9">
        <v>46027</v>
      </c>
      <c r="C865" s="10" t="s">
        <v>276</v>
      </c>
      <c r="D865" s="10" t="s">
        <v>281</v>
      </c>
      <c r="E865" s="10" t="s">
        <v>332</v>
      </c>
      <c r="F865" s="10" t="s">
        <v>35</v>
      </c>
      <c r="G865" s="10" t="s">
        <v>80</v>
      </c>
      <c r="H865" s="10" t="s">
        <v>332</v>
      </c>
      <c r="I865" s="10" t="s">
        <v>332</v>
      </c>
      <c r="J865" s="10" t="s">
        <v>99</v>
      </c>
      <c r="K865" s="10" t="s">
        <v>223</v>
      </c>
      <c r="L865" s="10" t="s">
        <v>2872</v>
      </c>
      <c r="M865" s="9">
        <v>45966</v>
      </c>
      <c r="N865" s="9" t="s">
        <v>2873</v>
      </c>
      <c r="O865" s="9">
        <v>46084</v>
      </c>
      <c r="P865" s="11">
        <v>25</v>
      </c>
      <c r="Q865" s="12">
        <v>23446130</v>
      </c>
      <c r="R865">
        <v>6384381.199</v>
      </c>
      <c r="S865" s="22">
        <v>0.16</v>
      </c>
      <c r="T865" s="22">
        <v>0.1</v>
      </c>
      <c r="U865" s="12">
        <v>21664224.120000001</v>
      </c>
      <c r="V865" s="24">
        <v>5899168.2278760001</v>
      </c>
      <c r="W865" s="8">
        <v>15352247.65</v>
      </c>
      <c r="X865" s="24">
        <v>4180417.0350949997</v>
      </c>
      <c r="Y865" s="22">
        <v>0.22</v>
      </c>
      <c r="Z865" s="22">
        <v>0.05</v>
      </c>
      <c r="AA865" s="8" t="s">
        <v>2874</v>
      </c>
      <c r="AB865" s="8">
        <v>8085849.9100000001</v>
      </c>
      <c r="AC865" s="24">
        <v>2201776.930493</v>
      </c>
      <c r="AD865" s="8">
        <v>8464348.5099999998</v>
      </c>
      <c r="AE865" s="24">
        <v>2304842.0992729999</v>
      </c>
      <c r="AF865" s="8">
        <v>90</v>
      </c>
      <c r="AG865" s="8">
        <v>153</v>
      </c>
      <c r="AH865" s="8" t="s">
        <v>332</v>
      </c>
      <c r="AI865" s="8" t="s">
        <v>320</v>
      </c>
      <c r="AJ865" s="22">
        <v>0.22</v>
      </c>
      <c r="AK865" s="8" t="s">
        <v>153</v>
      </c>
      <c r="AL865" s="22">
        <v>0.05</v>
      </c>
      <c r="AM865" s="22">
        <v>0.03</v>
      </c>
      <c r="AN865" s="8">
        <v>10</v>
      </c>
      <c r="AO865" s="8">
        <v>4028</v>
      </c>
      <c r="AP865" s="8">
        <v>1460925.98</v>
      </c>
      <c r="AQ865" s="24">
        <v>397810.14435399999</v>
      </c>
      <c r="AR865" s="8">
        <v>5730240.3799999999</v>
      </c>
      <c r="AS865" s="37">
        <v>1560344.455474</v>
      </c>
      <c r="AT865" s="8" t="s">
        <v>391</v>
      </c>
      <c r="AU865" s="8" t="s">
        <v>322</v>
      </c>
      <c r="AV865" s="8">
        <v>86.9</v>
      </c>
      <c r="AW865" s="8">
        <v>60</v>
      </c>
      <c r="AX865" s="8" t="s">
        <v>323</v>
      </c>
      <c r="AY865" s="8" t="s">
        <v>186</v>
      </c>
      <c r="AZ865" s="8" t="s">
        <v>361</v>
      </c>
      <c r="BA865" s="21">
        <f>IF(OR(tblsales[[#This Row],[Invoice Value USD]]="",tblsales[[#This Row],[Collected Amount USD]]=""),"",tblsales[[#This Row],[Invoice Value USD]]-tblsales[[#This Row],[Collected Amount USD]])</f>
        <v>-103065.16877999995</v>
      </c>
      <c r="BB865" s="21">
        <f>IF(OR(tblsales[[#This Row],[Contract Value USD]]="",tblsales[[#This Row],[Cost Estimate USD]]=""),"",tblsales[[#This Row],[Contract Value USD]]-tblsales[[#This Row],[Cost Estimate USD]])</f>
        <v>1718751.1927810004</v>
      </c>
      <c r="BC865" s="21">
        <f>IF(OR(tblsales[[#This Row],[Contract Value USD]]="",tblsales[[#This Row],[Cost Estimate USD]]=""),"",tblsales[[#This Row],[Contract Value USD]]-tblsales[[#This Row],[Cost Estimate USD]])</f>
        <v>1718751.1927810004</v>
      </c>
      <c r="BD865" s="23">
        <f>IF(tblsales[[#This Row],[Invoice Value USD]]="","",tblsales[[#This Row],[Collected Amount USD]]/tblsales[[#This Row],[Invoice Value USD]])</f>
        <v>1.0468099957596171</v>
      </c>
      <c r="BE865" s="11">
        <f>IF(tblsales[[#This Row],[SalesStage]]="Won",1,0)</f>
        <v>1</v>
      </c>
      <c r="BF865" s="21" t="str">
        <f>IF(tblsales[[#This Row],[Win Flag]]=1,"Won","Lost")</f>
        <v>Won</v>
      </c>
      <c r="BG865" s="8"/>
    </row>
    <row r="866" spans="1:59" x14ac:dyDescent="0.3">
      <c r="A866" s="10" t="s">
        <v>2875</v>
      </c>
      <c r="B866" s="9">
        <v>45817</v>
      </c>
      <c r="C866" s="10" t="s">
        <v>268</v>
      </c>
      <c r="D866" s="10" t="s">
        <v>180</v>
      </c>
      <c r="E866" s="10" t="s">
        <v>20</v>
      </c>
      <c r="F866" s="10" t="s">
        <v>196</v>
      </c>
      <c r="G866" s="10" t="s">
        <v>66</v>
      </c>
      <c r="H866" s="10" t="s">
        <v>236</v>
      </c>
      <c r="I866" s="10" t="s">
        <v>203</v>
      </c>
      <c r="J866" s="10" t="s">
        <v>136</v>
      </c>
      <c r="K866" s="10" t="s">
        <v>333</v>
      </c>
      <c r="L866" s="10" t="s">
        <v>2876</v>
      </c>
      <c r="M866" s="9">
        <v>45721</v>
      </c>
      <c r="N866" s="9">
        <v>45829</v>
      </c>
      <c r="O866" s="9">
        <v>45697</v>
      </c>
      <c r="P866" s="11">
        <v>3</v>
      </c>
      <c r="Q866" s="12">
        <v>14982627</v>
      </c>
      <c r="R866">
        <v>4079769.3320999998</v>
      </c>
      <c r="S866" s="22">
        <v>0.2</v>
      </c>
      <c r="T866" s="22">
        <v>0.17</v>
      </c>
      <c r="U866" s="12">
        <v>14023738.869999999</v>
      </c>
      <c r="V866" s="24">
        <v>3818664.0943009998</v>
      </c>
      <c r="W866" s="8">
        <v>11007454.74</v>
      </c>
      <c r="X866" s="24">
        <v>2997329.925702</v>
      </c>
      <c r="Y866" s="22">
        <v>0.2</v>
      </c>
      <c r="Z866" s="22">
        <v>0.13</v>
      </c>
      <c r="AA866" s="8" t="s">
        <v>2877</v>
      </c>
      <c r="AB866" s="8">
        <v>6370388.0599999996</v>
      </c>
      <c r="AC866" s="24">
        <v>1734656.6687379999</v>
      </c>
      <c r="AD866" s="8">
        <v>4243237.58</v>
      </c>
      <c r="AE866" s="24">
        <v>1155433.5930339999</v>
      </c>
      <c r="AF866" s="8">
        <v>30</v>
      </c>
      <c r="AG866" s="8">
        <v>60</v>
      </c>
      <c r="AH866" s="8" t="s">
        <v>376</v>
      </c>
      <c r="AI866" s="8" t="s">
        <v>354</v>
      </c>
      <c r="AJ866" s="22">
        <v>0.35</v>
      </c>
      <c r="AK866" s="8" t="s">
        <v>153</v>
      </c>
      <c r="AL866" s="22">
        <v>0.15</v>
      </c>
      <c r="AM866" s="22">
        <v>0.09</v>
      </c>
      <c r="AN866" s="8">
        <v>6</v>
      </c>
      <c r="AO866" s="8">
        <v>2717</v>
      </c>
      <c r="AP866" s="8">
        <v>997277.05</v>
      </c>
      <c r="AQ866" s="24">
        <v>271558.54071500001</v>
      </c>
      <c r="AR866" s="8">
        <v>5834909.6500000004</v>
      </c>
      <c r="AS866" s="37">
        <v>1588845.8976950001</v>
      </c>
      <c r="AT866" s="8" t="s">
        <v>385</v>
      </c>
      <c r="AU866" s="8" t="s">
        <v>356</v>
      </c>
      <c r="AV866" s="8">
        <v>77.900000000000006</v>
      </c>
      <c r="AW866" s="8"/>
      <c r="AX866" s="8" t="s">
        <v>323</v>
      </c>
      <c r="AY866" s="8" t="s">
        <v>206</v>
      </c>
      <c r="AZ866" s="8" t="s">
        <v>332</v>
      </c>
      <c r="BA866" s="21">
        <f>IF(OR(tblsales[[#This Row],[Invoice Value USD]]="",tblsales[[#This Row],[Collected Amount USD]]=""),"",tblsales[[#This Row],[Invoice Value USD]]-tblsales[[#This Row],[Collected Amount USD]])</f>
        <v>579223.07570399996</v>
      </c>
      <c r="BB866" s="21">
        <f>IF(OR(tblsales[[#This Row],[Contract Value USD]]="",tblsales[[#This Row],[Cost Estimate USD]]=""),"",tblsales[[#This Row],[Contract Value USD]]-tblsales[[#This Row],[Cost Estimate USD]])</f>
        <v>821334.16859899973</v>
      </c>
      <c r="BC866" s="21">
        <f>IF(OR(tblsales[[#This Row],[Contract Value USD]]="",tblsales[[#This Row],[Cost Estimate USD]]=""),"",tblsales[[#This Row],[Contract Value USD]]-tblsales[[#This Row],[Cost Estimate USD]])</f>
        <v>821334.16859899973</v>
      </c>
      <c r="BD866" s="23">
        <f>IF(tblsales[[#This Row],[Invoice Value USD]]="","",tblsales[[#This Row],[Collected Amount USD]]/tblsales[[#This Row],[Invoice Value USD]])</f>
        <v>0.66608777048348289</v>
      </c>
      <c r="BE866" s="11">
        <f>IF(tblsales[[#This Row],[SalesStage]]="Won",1,0)</f>
        <v>0</v>
      </c>
      <c r="BF866" s="21" t="str">
        <f>IF(tblsales[[#This Row],[Win Flag]]=1,"Won","Lost")</f>
        <v>Lost</v>
      </c>
      <c r="BG866" s="8"/>
    </row>
    <row r="867" spans="1:59" x14ac:dyDescent="0.3">
      <c r="A867" s="10" t="s">
        <v>2878</v>
      </c>
      <c r="B867" s="9">
        <v>45961</v>
      </c>
      <c r="C867" s="10" t="s">
        <v>244</v>
      </c>
      <c r="D867" s="10" t="s">
        <v>262</v>
      </c>
      <c r="E867" s="10" t="s">
        <v>20</v>
      </c>
      <c r="F867" s="10" t="s">
        <v>332</v>
      </c>
      <c r="G867" s="10" t="s">
        <v>33</v>
      </c>
      <c r="H867" s="10" t="s">
        <v>216</v>
      </c>
      <c r="I867" s="10" t="s">
        <v>203</v>
      </c>
      <c r="J867" s="10" t="s">
        <v>136</v>
      </c>
      <c r="K867" s="10" t="s">
        <v>184</v>
      </c>
      <c r="L867" s="10" t="s">
        <v>2879</v>
      </c>
      <c r="M867" s="9">
        <v>45666</v>
      </c>
      <c r="N867" s="9">
        <v>46009</v>
      </c>
      <c r="O867" s="9">
        <v>46020</v>
      </c>
      <c r="P867" s="11">
        <v>38</v>
      </c>
      <c r="Q867" s="12">
        <v>7168689</v>
      </c>
      <c r="R867">
        <v>7168689</v>
      </c>
      <c r="S867" s="22">
        <v>0.24</v>
      </c>
      <c r="T867" s="22">
        <v>0.11</v>
      </c>
      <c r="U867" s="12">
        <v>6047506.04</v>
      </c>
      <c r="V867" s="24">
        <v>6047506.04</v>
      </c>
      <c r="W867" s="8">
        <v>3940046.31</v>
      </c>
      <c r="X867" s="24">
        <v>3940046.31</v>
      </c>
      <c r="Y867" s="22">
        <v>0.08</v>
      </c>
      <c r="Z867" s="22">
        <v>0.17</v>
      </c>
      <c r="AA867" s="8" t="s">
        <v>2880</v>
      </c>
      <c r="AB867" s="8">
        <v>5426389.96</v>
      </c>
      <c r="AC867" s="24">
        <v>5426389.96</v>
      </c>
      <c r="AD867" s="8">
        <v>4000433.33</v>
      </c>
      <c r="AE867" s="24">
        <v>4000433.33</v>
      </c>
      <c r="AF867" s="8">
        <v>90</v>
      </c>
      <c r="AG867" s="8">
        <v>133</v>
      </c>
      <c r="AH867" s="8" t="s">
        <v>332</v>
      </c>
      <c r="AI867" s="8" t="s">
        <v>455</v>
      </c>
      <c r="AJ867" s="22">
        <v>0.36</v>
      </c>
      <c r="AK867" s="8" t="s">
        <v>152</v>
      </c>
      <c r="AL867" s="22">
        <v>0.1</v>
      </c>
      <c r="AM867" s="22">
        <v>0.04</v>
      </c>
      <c r="AN867" s="8">
        <v>13</v>
      </c>
      <c r="AO867" s="8">
        <v>1979</v>
      </c>
      <c r="AP867" s="8">
        <v>838056.73</v>
      </c>
      <c r="AQ867" s="24">
        <v>838056.73</v>
      </c>
      <c r="AR867" s="8">
        <v>2172228.23</v>
      </c>
      <c r="AS867" s="37">
        <v>2172228.23</v>
      </c>
      <c r="AT867" s="8" t="s">
        <v>332</v>
      </c>
      <c r="AU867" s="8" t="s">
        <v>330</v>
      </c>
      <c r="AV867" s="8"/>
      <c r="AW867" s="8">
        <v>36</v>
      </c>
      <c r="AX867" s="8" t="s">
        <v>337</v>
      </c>
      <c r="AY867" s="8" t="s">
        <v>192</v>
      </c>
      <c r="AZ867" s="8" t="s">
        <v>332</v>
      </c>
      <c r="BA867" s="21">
        <f>IF(OR(tblsales[[#This Row],[Invoice Value USD]]="",tblsales[[#This Row],[Collected Amount USD]]=""),"",tblsales[[#This Row],[Invoice Value USD]]-tblsales[[#This Row],[Collected Amount USD]])</f>
        <v>1425956.63</v>
      </c>
      <c r="BB867" s="21">
        <f>IF(OR(tblsales[[#This Row],[Contract Value USD]]="",tblsales[[#This Row],[Cost Estimate USD]]=""),"",tblsales[[#This Row],[Contract Value USD]]-tblsales[[#This Row],[Cost Estimate USD]])</f>
        <v>2107459.73</v>
      </c>
      <c r="BC867" s="21">
        <f>IF(OR(tblsales[[#This Row],[Contract Value USD]]="",tblsales[[#This Row],[Cost Estimate USD]]=""),"",tblsales[[#This Row],[Contract Value USD]]-tblsales[[#This Row],[Cost Estimate USD]])</f>
        <v>2107459.73</v>
      </c>
      <c r="BD867" s="23">
        <f>IF(tblsales[[#This Row],[Invoice Value USD]]="","",tblsales[[#This Row],[Collected Amount USD]]/tblsales[[#This Row],[Invoice Value USD]])</f>
        <v>0.73721817994812888</v>
      </c>
      <c r="BE867" s="11">
        <f>IF(tblsales[[#This Row],[SalesStage]]="Won",1,0)</f>
        <v>0</v>
      </c>
      <c r="BF867" s="21" t="str">
        <f>IF(tblsales[[#This Row],[Win Flag]]=1,"Won","Lost")</f>
        <v>Lost</v>
      </c>
      <c r="BG867" s="8"/>
    </row>
    <row r="868" spans="1:59" x14ac:dyDescent="0.3">
      <c r="A868" s="10" t="s">
        <v>2881</v>
      </c>
      <c r="B868" s="9">
        <v>45895</v>
      </c>
      <c r="C868" s="10" t="s">
        <v>230</v>
      </c>
      <c r="D868" s="10" t="s">
        <v>274</v>
      </c>
      <c r="E868" s="10" t="s">
        <v>20</v>
      </c>
      <c r="F868" s="10" t="s">
        <v>31</v>
      </c>
      <c r="G868" s="10" t="s">
        <v>70</v>
      </c>
      <c r="H868" s="10" t="s">
        <v>212</v>
      </c>
      <c r="I868" s="10" t="s">
        <v>240</v>
      </c>
      <c r="J868" s="10" t="s">
        <v>136</v>
      </c>
      <c r="K868" s="10" t="s">
        <v>326</v>
      </c>
      <c r="L868" s="10" t="s">
        <v>2882</v>
      </c>
      <c r="M868" s="9">
        <v>45860</v>
      </c>
      <c r="N868" s="9">
        <v>45942</v>
      </c>
      <c r="O868" s="9">
        <v>45989</v>
      </c>
      <c r="P868" s="11">
        <v>6</v>
      </c>
      <c r="Q868" s="12">
        <v>43534314</v>
      </c>
      <c r="R868">
        <v>11854393.702199999</v>
      </c>
      <c r="S868" s="22">
        <v>0.11</v>
      </c>
      <c r="T868" s="22">
        <v>0.03</v>
      </c>
      <c r="U868" s="12">
        <v>39907905.640000001</v>
      </c>
      <c r="V868" s="24">
        <v>10866922.705771999</v>
      </c>
      <c r="W868" s="8">
        <v>24643409.030000001</v>
      </c>
      <c r="X868" s="24">
        <v>6710400.2788690003</v>
      </c>
      <c r="Y868" s="22">
        <v>0.35</v>
      </c>
      <c r="Z868" s="22">
        <v>0.05</v>
      </c>
      <c r="AA868" s="8" t="s">
        <v>2883</v>
      </c>
      <c r="AB868" s="8">
        <v>24908262.289999999</v>
      </c>
      <c r="AC868" s="24">
        <v>6782519.821566999</v>
      </c>
      <c r="AD868" s="8">
        <v>25355114.800000001</v>
      </c>
      <c r="AE868" s="24">
        <v>6904197.7600400001</v>
      </c>
      <c r="AF868" s="8">
        <v>90</v>
      </c>
      <c r="AG868" s="8">
        <v>126</v>
      </c>
      <c r="AH868" s="8" t="s">
        <v>342</v>
      </c>
      <c r="AI868" s="8" t="s">
        <v>336</v>
      </c>
      <c r="AJ868" s="22">
        <v>0.49</v>
      </c>
      <c r="AK868" s="8" t="s">
        <v>153</v>
      </c>
      <c r="AL868" s="22">
        <v>0.1</v>
      </c>
      <c r="AM868" s="22">
        <v>0.02</v>
      </c>
      <c r="AN868" s="8">
        <v>9</v>
      </c>
      <c r="AO868" s="8">
        <v>2935</v>
      </c>
      <c r="AP868" s="8"/>
      <c r="AQ868" s="24"/>
      <c r="AR868" s="8">
        <v>15353951.09</v>
      </c>
      <c r="AS868" s="37">
        <v>4180880.8818069999</v>
      </c>
      <c r="AT868" s="8" t="s">
        <v>73</v>
      </c>
      <c r="AU868" s="8" t="s">
        <v>356</v>
      </c>
      <c r="AV868" s="8">
        <v>71.400000000000006</v>
      </c>
      <c r="AW868" s="8">
        <v>12</v>
      </c>
      <c r="AX868" s="8" t="s">
        <v>337</v>
      </c>
      <c r="AY868" s="8" t="s">
        <v>229</v>
      </c>
      <c r="AZ868" s="8" t="s">
        <v>361</v>
      </c>
      <c r="BA868" s="21">
        <f>IF(OR(tblsales[[#This Row],[Invoice Value USD]]="",tblsales[[#This Row],[Collected Amount USD]]=""),"",tblsales[[#This Row],[Invoice Value USD]]-tblsales[[#This Row],[Collected Amount USD]])</f>
        <v>-121677.93847300112</v>
      </c>
      <c r="BB868" s="21">
        <f>IF(OR(tblsales[[#This Row],[Contract Value USD]]="",tblsales[[#This Row],[Cost Estimate USD]]=""),"",tblsales[[#This Row],[Contract Value USD]]-tblsales[[#This Row],[Cost Estimate USD]])</f>
        <v>4156522.4269029992</v>
      </c>
      <c r="BC868" s="21">
        <f>IF(OR(tblsales[[#This Row],[Contract Value USD]]="",tblsales[[#This Row],[Cost Estimate USD]]=""),"",tblsales[[#This Row],[Contract Value USD]]-tblsales[[#This Row],[Cost Estimate USD]])</f>
        <v>4156522.4269029992</v>
      </c>
      <c r="BD868" s="23">
        <f>IF(tblsales[[#This Row],[Invoice Value USD]]="","",tblsales[[#This Row],[Collected Amount USD]]/tblsales[[#This Row],[Invoice Value USD]])</f>
        <v>1.0179399311279698</v>
      </c>
      <c r="BE868" s="11">
        <f>IF(tblsales[[#This Row],[SalesStage]]="Won",1,0)</f>
        <v>0</v>
      </c>
      <c r="BF868" s="21" t="str">
        <f>IF(tblsales[[#This Row],[Win Flag]]=1,"Won","Lost")</f>
        <v>Lost</v>
      </c>
      <c r="BG868" s="8"/>
    </row>
    <row r="869" spans="1:59" x14ac:dyDescent="0.3">
      <c r="A869" s="10" t="s">
        <v>2884</v>
      </c>
      <c r="B869" s="9">
        <v>46048</v>
      </c>
      <c r="C869" s="10" t="s">
        <v>179</v>
      </c>
      <c r="D869" s="10" t="s">
        <v>562</v>
      </c>
      <c r="E869" s="10" t="s">
        <v>20</v>
      </c>
      <c r="F869" s="10" t="s">
        <v>196</v>
      </c>
      <c r="G869" s="10" t="s">
        <v>57</v>
      </c>
      <c r="H869" s="10" t="s">
        <v>212</v>
      </c>
      <c r="I869" s="10" t="s">
        <v>198</v>
      </c>
      <c r="J869" s="10" t="s">
        <v>136</v>
      </c>
      <c r="K869" s="10" t="s">
        <v>333</v>
      </c>
      <c r="L869" s="10" t="s">
        <v>2885</v>
      </c>
      <c r="M869" s="9">
        <v>46082</v>
      </c>
      <c r="N869" s="9">
        <v>46081</v>
      </c>
      <c r="O869" s="9">
        <v>46168</v>
      </c>
      <c r="P869" s="11">
        <v>39</v>
      </c>
      <c r="Q869" s="12"/>
      <c r="S869" s="22">
        <v>0.18</v>
      </c>
      <c r="T869" s="22">
        <v>0.17</v>
      </c>
      <c r="U869" s="12">
        <v>16586715.460000001</v>
      </c>
      <c r="V869" s="24">
        <v>4423677.0131820003</v>
      </c>
      <c r="W869" s="8">
        <v>12899888.51</v>
      </c>
      <c r="X869" s="24">
        <v>3440400.2656169999</v>
      </c>
      <c r="Y869" s="22">
        <v>0.25</v>
      </c>
      <c r="Z869" s="22">
        <v>0.18</v>
      </c>
      <c r="AA869" s="8" t="s">
        <v>2886</v>
      </c>
      <c r="AB869" s="8">
        <v>9972479.9499999993</v>
      </c>
      <c r="AC869" s="24">
        <v>2659660.4026649999</v>
      </c>
      <c r="AD869" s="8">
        <v>5063509.8</v>
      </c>
      <c r="AE869" s="24">
        <v>1350438.06366</v>
      </c>
      <c r="AF869" s="8">
        <v>45</v>
      </c>
      <c r="AG869" s="8">
        <v>173</v>
      </c>
      <c r="AH869" s="8" t="s">
        <v>347</v>
      </c>
      <c r="AI869" s="8" t="s">
        <v>381</v>
      </c>
      <c r="AJ869" s="22">
        <v>0.31</v>
      </c>
      <c r="AK869" s="8" t="s">
        <v>162</v>
      </c>
      <c r="AL869" s="22">
        <v>0.15</v>
      </c>
      <c r="AM869" s="22">
        <v>0.08</v>
      </c>
      <c r="AN869" s="8">
        <v>8</v>
      </c>
      <c r="AO869" s="8">
        <v>807</v>
      </c>
      <c r="AP869" s="8">
        <v>3975380.84</v>
      </c>
      <c r="AQ869" s="24">
        <v>1060234.070028</v>
      </c>
      <c r="AR869" s="8">
        <v>4060690.82</v>
      </c>
      <c r="AS869" s="37">
        <v>1082986.2416939999</v>
      </c>
      <c r="AT869" s="8" t="s">
        <v>391</v>
      </c>
      <c r="AU869" s="8" t="s">
        <v>348</v>
      </c>
      <c r="AV869" s="8">
        <v>93.8</v>
      </c>
      <c r="AW869" s="8">
        <v>12</v>
      </c>
      <c r="AX869" s="8" t="s">
        <v>387</v>
      </c>
      <c r="AY869" s="8" t="s">
        <v>186</v>
      </c>
      <c r="AZ869" s="8" t="s">
        <v>188</v>
      </c>
      <c r="BA869" s="21">
        <f>IF(OR(tblsales[[#This Row],[Invoice Value USD]]="",tblsales[[#This Row],[Collected Amount USD]]=""),"",tblsales[[#This Row],[Invoice Value USD]]-tblsales[[#This Row],[Collected Amount USD]])</f>
        <v>1309222.339005</v>
      </c>
      <c r="BB869" s="21">
        <f>IF(OR(tblsales[[#This Row],[Contract Value USD]]="",tblsales[[#This Row],[Cost Estimate USD]]=""),"",tblsales[[#This Row],[Contract Value USD]]-tblsales[[#This Row],[Cost Estimate USD]])</f>
        <v>983276.74756500032</v>
      </c>
      <c r="BC869" s="21">
        <f>IF(OR(tblsales[[#This Row],[Contract Value USD]]="",tblsales[[#This Row],[Cost Estimate USD]]=""),"",tblsales[[#This Row],[Contract Value USD]]-tblsales[[#This Row],[Cost Estimate USD]])</f>
        <v>983276.74756500032</v>
      </c>
      <c r="BD869" s="23">
        <f>IF(tblsales[[#This Row],[Invoice Value USD]]="","",tblsales[[#This Row],[Collected Amount USD]]/tblsales[[#This Row],[Invoice Value USD]])</f>
        <v>0.50774830587651365</v>
      </c>
      <c r="BE869" s="11">
        <f>IF(tblsales[[#This Row],[SalesStage]]="Won",1,0)</f>
        <v>0</v>
      </c>
      <c r="BF869" s="21" t="str">
        <f>IF(tblsales[[#This Row],[Win Flag]]=1,"Won","Lost")</f>
        <v>Lost</v>
      </c>
      <c r="BG869" s="8"/>
    </row>
    <row r="870" spans="1:59" x14ac:dyDescent="0.3">
      <c r="A870" s="10" t="s">
        <v>2887</v>
      </c>
      <c r="B870" s="9">
        <v>46041</v>
      </c>
      <c r="C870" s="10" t="s">
        <v>231</v>
      </c>
      <c r="D870" s="10" t="s">
        <v>238</v>
      </c>
      <c r="E870" s="10" t="s">
        <v>332</v>
      </c>
      <c r="F870" s="10" t="s">
        <v>363</v>
      </c>
      <c r="G870" s="10" t="s">
        <v>50</v>
      </c>
      <c r="H870" s="10" t="s">
        <v>212</v>
      </c>
      <c r="I870" s="10" t="s">
        <v>233</v>
      </c>
      <c r="J870" s="10" t="s">
        <v>99</v>
      </c>
      <c r="K870" s="10" t="s">
        <v>210</v>
      </c>
      <c r="L870" s="10" t="s">
        <v>2888</v>
      </c>
      <c r="M870" s="9">
        <v>46001</v>
      </c>
      <c r="N870" s="9"/>
      <c r="O870" s="9">
        <v>46133</v>
      </c>
      <c r="P870" s="11">
        <v>53</v>
      </c>
      <c r="Q870" s="12">
        <v>8596928</v>
      </c>
      <c r="R870">
        <v>2340943.4943999997</v>
      </c>
      <c r="S870" s="22">
        <v>0.05</v>
      </c>
      <c r="T870" s="22">
        <v>-0.02</v>
      </c>
      <c r="U870" s="12">
        <v>8003739.9699999997</v>
      </c>
      <c r="V870" s="24">
        <v>2179418.3938309997</v>
      </c>
      <c r="W870" s="8">
        <v>5625076.6799999997</v>
      </c>
      <c r="X870" s="24">
        <v>1531708.3799639998</v>
      </c>
      <c r="Y870" s="22">
        <v>0.22</v>
      </c>
      <c r="Z870" s="22">
        <v>0.15</v>
      </c>
      <c r="AA870" s="8" t="s">
        <v>2889</v>
      </c>
      <c r="AB870" s="8">
        <v>4462375.68</v>
      </c>
      <c r="AC870" s="24">
        <v>1215104.8976639998</v>
      </c>
      <c r="AD870" s="8">
        <v>1647536.89</v>
      </c>
      <c r="AE870" s="24">
        <v>448624.29514699994</v>
      </c>
      <c r="AF870" s="8">
        <v>45</v>
      </c>
      <c r="AG870" s="8">
        <v>176</v>
      </c>
      <c r="AH870" s="8" t="s">
        <v>347</v>
      </c>
      <c r="AI870" s="8" t="s">
        <v>354</v>
      </c>
      <c r="AJ870" s="22">
        <v>0.54</v>
      </c>
      <c r="AK870" s="8" t="s">
        <v>153</v>
      </c>
      <c r="AL870" s="22">
        <v>0.05</v>
      </c>
      <c r="AM870" s="22">
        <v>0.03</v>
      </c>
      <c r="AN870" s="8">
        <v>3</v>
      </c>
      <c r="AO870" s="8">
        <v>3482</v>
      </c>
      <c r="AP870" s="8">
        <v>781478.39</v>
      </c>
      <c r="AQ870" s="24">
        <v>212796.56559699998</v>
      </c>
      <c r="AR870" s="8">
        <v>2708909.4</v>
      </c>
      <c r="AS870" s="37">
        <v>737636.02961999993</v>
      </c>
      <c r="AT870" s="8" t="s">
        <v>355</v>
      </c>
      <c r="AU870" s="8" t="s">
        <v>321</v>
      </c>
      <c r="AV870" s="8"/>
      <c r="AW870" s="8">
        <v>48</v>
      </c>
      <c r="AX870" s="8" t="s">
        <v>332</v>
      </c>
      <c r="AY870" s="8" t="s">
        <v>224</v>
      </c>
      <c r="AZ870" s="8" t="s">
        <v>188</v>
      </c>
      <c r="BA870" s="21">
        <f>IF(OR(tblsales[[#This Row],[Invoice Value USD]]="",tblsales[[#This Row],[Collected Amount USD]]=""),"",tblsales[[#This Row],[Invoice Value USD]]-tblsales[[#This Row],[Collected Amount USD]])</f>
        <v>766480.60251699993</v>
      </c>
      <c r="BB870" s="21">
        <f>IF(OR(tblsales[[#This Row],[Contract Value USD]]="",tblsales[[#This Row],[Cost Estimate USD]]=""),"",tblsales[[#This Row],[Contract Value USD]]-tblsales[[#This Row],[Cost Estimate USD]])</f>
        <v>647710.01386699989</v>
      </c>
      <c r="BC870" s="21">
        <f>IF(OR(tblsales[[#This Row],[Contract Value USD]]="",tblsales[[#This Row],[Cost Estimate USD]]=""),"",tblsales[[#This Row],[Contract Value USD]]-tblsales[[#This Row],[Cost Estimate USD]])</f>
        <v>647710.01386699989</v>
      </c>
      <c r="BD870" s="23">
        <f>IF(tblsales[[#This Row],[Invoice Value USD]]="","",tblsales[[#This Row],[Collected Amount USD]]/tblsales[[#This Row],[Invoice Value USD]])</f>
        <v>0.36920622738782943</v>
      </c>
      <c r="BE870" s="11">
        <f>IF(tblsales[[#This Row],[SalesStage]]="Won",1,0)</f>
        <v>0</v>
      </c>
      <c r="BF870" s="21" t="str">
        <f>IF(tblsales[[#This Row],[Win Flag]]=1,"Won","Lost")</f>
        <v>Lost</v>
      </c>
      <c r="BG870" s="8"/>
    </row>
    <row r="871" spans="1:59" x14ac:dyDescent="0.3">
      <c r="A871" s="10" t="s">
        <v>2890</v>
      </c>
      <c r="B871" s="9">
        <v>45931</v>
      </c>
      <c r="C871" s="10" t="s">
        <v>257</v>
      </c>
      <c r="D871" s="10" t="s">
        <v>232</v>
      </c>
      <c r="E871" s="10" t="s">
        <v>20</v>
      </c>
      <c r="F871" s="10" t="s">
        <v>35</v>
      </c>
      <c r="G871" s="10" t="s">
        <v>50</v>
      </c>
      <c r="H871" s="10" t="s">
        <v>212</v>
      </c>
      <c r="I871" s="10" t="s">
        <v>203</v>
      </c>
      <c r="J871" s="10" t="s">
        <v>136</v>
      </c>
      <c r="K871" s="10" t="s">
        <v>333</v>
      </c>
      <c r="L871" s="10" t="s">
        <v>2891</v>
      </c>
      <c r="M871" s="9">
        <v>45894</v>
      </c>
      <c r="N871" s="9"/>
      <c r="O871" s="9"/>
      <c r="P871" s="11">
        <v>23</v>
      </c>
      <c r="Q871" s="12">
        <v>6441244</v>
      </c>
      <c r="R871">
        <v>1753950.7411999998</v>
      </c>
      <c r="S871" s="22">
        <v>0.31</v>
      </c>
      <c r="T871" s="22">
        <v>0.2</v>
      </c>
      <c r="U871" s="12">
        <v>5333350.03</v>
      </c>
      <c r="V871" s="24">
        <v>1452271.2131690001</v>
      </c>
      <c r="W871" s="8">
        <v>4703106.1399999997</v>
      </c>
      <c r="X871" s="24">
        <v>1280655.8019219998</v>
      </c>
      <c r="Y871" s="22">
        <v>0.15</v>
      </c>
      <c r="Z871" s="22">
        <v>0.06</v>
      </c>
      <c r="AA871" s="8" t="s">
        <v>2892</v>
      </c>
      <c r="AB871" s="8">
        <v>1151677.55</v>
      </c>
      <c r="AC871" s="24">
        <v>313601.79686499998</v>
      </c>
      <c r="AD871" s="8">
        <v>457431.44</v>
      </c>
      <c r="AE871" s="24">
        <v>124558.581112</v>
      </c>
      <c r="AF871" s="8">
        <v>60</v>
      </c>
      <c r="AG871" s="8">
        <v>7</v>
      </c>
      <c r="AH871" s="8" t="s">
        <v>342</v>
      </c>
      <c r="AI871" s="8" t="s">
        <v>406</v>
      </c>
      <c r="AJ871" s="22">
        <v>0.23</v>
      </c>
      <c r="AK871" s="8" t="s">
        <v>153</v>
      </c>
      <c r="AL871" s="22">
        <v>0.1</v>
      </c>
      <c r="AM871" s="22">
        <v>0.05</v>
      </c>
      <c r="AN871" s="8">
        <v>15</v>
      </c>
      <c r="AO871" s="8">
        <v>3116</v>
      </c>
      <c r="AP871" s="8">
        <v>775768.89</v>
      </c>
      <c r="AQ871" s="24">
        <v>211241.868747</v>
      </c>
      <c r="AR871" s="8">
        <v>1222865.8799999999</v>
      </c>
      <c r="AS871" s="37">
        <v>332986.37912399997</v>
      </c>
      <c r="AT871" s="8" t="s">
        <v>321</v>
      </c>
      <c r="AU871" s="8" t="s">
        <v>332</v>
      </c>
      <c r="AV871" s="8">
        <v>60.9</v>
      </c>
      <c r="AW871" s="8">
        <v>60</v>
      </c>
      <c r="AX871" s="8" t="s">
        <v>332</v>
      </c>
      <c r="AY871" s="8" t="s">
        <v>229</v>
      </c>
      <c r="AZ871" s="8" t="s">
        <v>377</v>
      </c>
      <c r="BA871" s="21">
        <f>IF(OR(tblsales[[#This Row],[Invoice Value USD]]="",tblsales[[#This Row],[Collected Amount USD]]=""),"",tblsales[[#This Row],[Invoice Value USD]]-tblsales[[#This Row],[Collected Amount USD]])</f>
        <v>189043.215753</v>
      </c>
      <c r="BB871" s="21">
        <f>IF(OR(tblsales[[#This Row],[Contract Value USD]]="",tblsales[[#This Row],[Cost Estimate USD]]=""),"",tblsales[[#This Row],[Contract Value USD]]-tblsales[[#This Row],[Cost Estimate USD]])</f>
        <v>171615.41124700033</v>
      </c>
      <c r="BC871" s="21">
        <f>IF(OR(tblsales[[#This Row],[Contract Value USD]]="",tblsales[[#This Row],[Cost Estimate USD]]=""),"",tblsales[[#This Row],[Contract Value USD]]-tblsales[[#This Row],[Cost Estimate USD]])</f>
        <v>171615.41124700033</v>
      </c>
      <c r="BD871" s="23">
        <f>IF(tblsales[[#This Row],[Invoice Value USD]]="","",tblsales[[#This Row],[Collected Amount USD]]/tblsales[[#This Row],[Invoice Value USD]])</f>
        <v>0.39718707723355379</v>
      </c>
      <c r="BE871" s="11">
        <f>IF(tblsales[[#This Row],[SalesStage]]="Won",1,0)</f>
        <v>0</v>
      </c>
      <c r="BF871" s="21" t="str">
        <f>IF(tblsales[[#This Row],[Win Flag]]=1,"Won","Lost")</f>
        <v>Lost</v>
      </c>
      <c r="BG871" s="8"/>
    </row>
    <row r="872" spans="1:59" x14ac:dyDescent="0.3">
      <c r="A872" s="10" t="s">
        <v>2893</v>
      </c>
      <c r="B872" s="9">
        <v>45909</v>
      </c>
      <c r="C872" s="10" t="s">
        <v>284</v>
      </c>
      <c r="D872" s="10" t="s">
        <v>248</v>
      </c>
      <c r="E872" s="10" t="s">
        <v>20</v>
      </c>
      <c r="F872" s="10" t="s">
        <v>332</v>
      </c>
      <c r="G872" s="10" t="s">
        <v>73</v>
      </c>
      <c r="H872" s="10" t="s">
        <v>182</v>
      </c>
      <c r="I872" s="10" t="s">
        <v>332</v>
      </c>
      <c r="J872" s="10" t="s">
        <v>99</v>
      </c>
      <c r="K872" s="10" t="s">
        <v>184</v>
      </c>
      <c r="L872" s="10" t="s">
        <v>2894</v>
      </c>
      <c r="M872" s="9">
        <v>45869</v>
      </c>
      <c r="N872" s="9"/>
      <c r="O872" s="9">
        <v>46113</v>
      </c>
      <c r="P872" s="11">
        <v>22</v>
      </c>
      <c r="Q872" s="12">
        <v>5448761</v>
      </c>
      <c r="R872">
        <v>6326011.5209999997</v>
      </c>
      <c r="S872" s="22">
        <v>0.09</v>
      </c>
      <c r="T872" s="22">
        <v>-0.03</v>
      </c>
      <c r="U872" s="12">
        <v>4809621.33</v>
      </c>
      <c r="V872" s="24">
        <v>5583970.3641300006</v>
      </c>
      <c r="W872" s="8">
        <v>2934068.53</v>
      </c>
      <c r="X872" s="24">
        <v>3406453.5633299998</v>
      </c>
      <c r="Y872" s="22">
        <v>0.4</v>
      </c>
      <c r="Z872" s="22">
        <v>0.13</v>
      </c>
      <c r="AA872" s="8" t="s">
        <v>2895</v>
      </c>
      <c r="AB872" s="8">
        <v>1628269.39</v>
      </c>
      <c r="AC872" s="24">
        <v>1890420.7617899999</v>
      </c>
      <c r="AD872" s="8">
        <v>798965.07</v>
      </c>
      <c r="AE872" s="24">
        <v>927598.44626999996</v>
      </c>
      <c r="AF872" s="8">
        <v>120</v>
      </c>
      <c r="AG872" s="8">
        <v>179</v>
      </c>
      <c r="AH872" s="8" t="s">
        <v>353</v>
      </c>
      <c r="AI872" s="8" t="s">
        <v>354</v>
      </c>
      <c r="AJ872" s="22">
        <v>0.92</v>
      </c>
      <c r="AK872" s="8" t="s">
        <v>159</v>
      </c>
      <c r="AL872" s="22">
        <v>0.15</v>
      </c>
      <c r="AM872" s="22">
        <v>0.03</v>
      </c>
      <c r="AN872" s="8">
        <v>2</v>
      </c>
      <c r="AO872" s="8">
        <v>460</v>
      </c>
      <c r="AP872" s="8">
        <v>337165.2</v>
      </c>
      <c r="AQ872" s="24">
        <v>391448.79720000003</v>
      </c>
      <c r="AR872" s="8">
        <v>1010718.4</v>
      </c>
      <c r="AS872" s="37">
        <v>1173444.0624000002</v>
      </c>
      <c r="AT872" s="8" t="s">
        <v>73</v>
      </c>
      <c r="AU872" s="8" t="s">
        <v>322</v>
      </c>
      <c r="AV872" s="8">
        <v>95.1</v>
      </c>
      <c r="AW872" s="8">
        <v>24</v>
      </c>
      <c r="AX872" s="8" t="s">
        <v>392</v>
      </c>
      <c r="AY872" s="8" t="s">
        <v>224</v>
      </c>
      <c r="AZ872" s="8" t="s">
        <v>377</v>
      </c>
      <c r="BA872" s="21">
        <f>IF(OR(tblsales[[#This Row],[Invoice Value USD]]="",tblsales[[#This Row],[Collected Amount USD]]=""),"",tblsales[[#This Row],[Invoice Value USD]]-tblsales[[#This Row],[Collected Amount USD]])</f>
        <v>962822.31551999995</v>
      </c>
      <c r="BB872" s="21">
        <f>IF(OR(tblsales[[#This Row],[Contract Value USD]]="",tblsales[[#This Row],[Cost Estimate USD]]=""),"",tblsales[[#This Row],[Contract Value USD]]-tblsales[[#This Row],[Cost Estimate USD]])</f>
        <v>2177516.8008000008</v>
      </c>
      <c r="BC872" s="21">
        <f>IF(OR(tblsales[[#This Row],[Contract Value USD]]="",tblsales[[#This Row],[Cost Estimate USD]]=""),"",tblsales[[#This Row],[Contract Value USD]]-tblsales[[#This Row],[Cost Estimate USD]])</f>
        <v>2177516.8008000008</v>
      </c>
      <c r="BD872" s="23">
        <f>IF(tblsales[[#This Row],[Invoice Value USD]]="","",tblsales[[#This Row],[Collected Amount USD]]/tblsales[[#This Row],[Invoice Value USD]])</f>
        <v>0.49068359013983553</v>
      </c>
      <c r="BE872" s="11">
        <f>IF(tblsales[[#This Row],[SalesStage]]="Won",1,0)</f>
        <v>0</v>
      </c>
      <c r="BF872" s="21" t="str">
        <f>IF(tblsales[[#This Row],[Win Flag]]=1,"Won","Lost")</f>
        <v>Lost</v>
      </c>
      <c r="BG872" s="8"/>
    </row>
    <row r="873" spans="1:59" x14ac:dyDescent="0.3">
      <c r="A873" s="10" t="s">
        <v>2896</v>
      </c>
      <c r="B873" s="9">
        <v>46009</v>
      </c>
      <c r="C873" s="10" t="s">
        <v>267</v>
      </c>
      <c r="D873" s="10" t="s">
        <v>242</v>
      </c>
      <c r="E873" s="10" t="s">
        <v>113</v>
      </c>
      <c r="F873" s="10" t="s">
        <v>367</v>
      </c>
      <c r="G873" s="10" t="s">
        <v>57</v>
      </c>
      <c r="H873" s="10" t="s">
        <v>212</v>
      </c>
      <c r="I873" s="10" t="s">
        <v>246</v>
      </c>
      <c r="J873" s="10" t="s">
        <v>123</v>
      </c>
      <c r="K873" s="10" t="s">
        <v>333</v>
      </c>
      <c r="L873" s="10" t="s">
        <v>2897</v>
      </c>
      <c r="M873" s="9">
        <v>45920</v>
      </c>
      <c r="N873" s="9" t="s">
        <v>2898</v>
      </c>
      <c r="O873" s="9"/>
      <c r="P873" s="11">
        <v>41</v>
      </c>
      <c r="Q873" s="12">
        <v>49182208</v>
      </c>
      <c r="R873">
        <v>13392315.238399999</v>
      </c>
      <c r="S873" s="22">
        <v>0.32</v>
      </c>
      <c r="T873" s="22">
        <v>0.15</v>
      </c>
      <c r="U873" s="12">
        <v>38460486.659999996</v>
      </c>
      <c r="V873" s="24">
        <v>10472790.517517999</v>
      </c>
      <c r="W873" s="8">
        <v>33661176.719999999</v>
      </c>
      <c r="X873" s="24">
        <v>9165938.420855999</v>
      </c>
      <c r="Y873" s="22">
        <v>0.15</v>
      </c>
      <c r="Z873" s="22">
        <v>0.06</v>
      </c>
      <c r="AA873" s="8" t="s">
        <v>2899</v>
      </c>
      <c r="AB873" s="8">
        <v>31842766.91</v>
      </c>
      <c r="AC873" s="24">
        <v>8670785.4295929987</v>
      </c>
      <c r="AD873" s="8">
        <v>14932096.08</v>
      </c>
      <c r="AE873" s="24">
        <v>4066009.7625839999</v>
      </c>
      <c r="AF873" s="8">
        <v>30</v>
      </c>
      <c r="AG873" s="8">
        <v>112</v>
      </c>
      <c r="AH873" s="8" t="s">
        <v>329</v>
      </c>
      <c r="AI873" s="8" t="s">
        <v>320</v>
      </c>
      <c r="AJ873" s="22">
        <v>0.42</v>
      </c>
      <c r="AK873" s="8" t="s">
        <v>153</v>
      </c>
      <c r="AL873" s="22">
        <v>0.1</v>
      </c>
      <c r="AM873" s="22">
        <v>0.09</v>
      </c>
      <c r="AN873" s="8">
        <v>11</v>
      </c>
      <c r="AO873" s="8">
        <v>4688</v>
      </c>
      <c r="AP873" s="8">
        <v>1622255.92</v>
      </c>
      <c r="AQ873" s="24">
        <v>441740.28701599996</v>
      </c>
      <c r="AR873" s="8">
        <v>13834942.550000001</v>
      </c>
      <c r="AS873" s="37">
        <v>3767254.8563649999</v>
      </c>
      <c r="AT873" s="8" t="s">
        <v>332</v>
      </c>
      <c r="AU873" s="8" t="s">
        <v>332</v>
      </c>
      <c r="AV873" s="8">
        <v>96.6</v>
      </c>
      <c r="AW873" s="8">
        <v>24</v>
      </c>
      <c r="AX873" s="8" t="s">
        <v>332</v>
      </c>
      <c r="AY873" s="8" t="s">
        <v>229</v>
      </c>
      <c r="AZ873" s="8" t="s">
        <v>377</v>
      </c>
      <c r="BA873" s="21">
        <f>IF(OR(tblsales[[#This Row],[Invoice Value USD]]="",tblsales[[#This Row],[Collected Amount USD]]=""),"",tblsales[[#This Row],[Invoice Value USD]]-tblsales[[#This Row],[Collected Amount USD]])</f>
        <v>4604775.6670089988</v>
      </c>
      <c r="BB873" s="21">
        <f>IF(OR(tblsales[[#This Row],[Contract Value USD]]="",tblsales[[#This Row],[Cost Estimate USD]]=""),"",tblsales[[#This Row],[Contract Value USD]]-tblsales[[#This Row],[Cost Estimate USD]])</f>
        <v>1306852.0966619998</v>
      </c>
      <c r="BC873" s="21">
        <f>IF(OR(tblsales[[#This Row],[Contract Value USD]]="",tblsales[[#This Row],[Cost Estimate USD]]=""),"",tblsales[[#This Row],[Contract Value USD]]-tblsales[[#This Row],[Cost Estimate USD]])</f>
        <v>1306852.0966619998</v>
      </c>
      <c r="BD873" s="23">
        <f>IF(tblsales[[#This Row],[Invoice Value USD]]="","",tblsales[[#This Row],[Collected Amount USD]]/tblsales[[#This Row],[Invoice Value USD]])</f>
        <v>0.46893211642706467</v>
      </c>
      <c r="BE873" s="11">
        <f>IF(tblsales[[#This Row],[SalesStage]]="Won",1,0)</f>
        <v>1</v>
      </c>
      <c r="BF873" s="21" t="str">
        <f>IF(tblsales[[#This Row],[Win Flag]]=1,"Won","Lost")</f>
        <v>Won</v>
      </c>
      <c r="BG873" s="8"/>
    </row>
    <row r="874" spans="1:59" x14ac:dyDescent="0.3">
      <c r="A874" s="10" t="s">
        <v>2900</v>
      </c>
      <c r="B874" s="9">
        <v>45935</v>
      </c>
      <c r="C874" s="10" t="s">
        <v>256</v>
      </c>
      <c r="D874" s="10" t="s">
        <v>242</v>
      </c>
      <c r="E874" s="10" t="s">
        <v>20</v>
      </c>
      <c r="F874" s="10" t="s">
        <v>31</v>
      </c>
      <c r="G874" s="10" t="s">
        <v>80</v>
      </c>
      <c r="H874" s="10" t="s">
        <v>236</v>
      </c>
      <c r="I874" s="10" t="s">
        <v>240</v>
      </c>
      <c r="J874" s="10" t="s">
        <v>136</v>
      </c>
      <c r="K874" s="10" t="s">
        <v>199</v>
      </c>
      <c r="L874" s="10" t="s">
        <v>2901</v>
      </c>
      <c r="M874" s="9">
        <v>45849</v>
      </c>
      <c r="N874" s="9">
        <v>45938</v>
      </c>
      <c r="O874" s="9">
        <v>46045</v>
      </c>
      <c r="P874" s="11">
        <v>7</v>
      </c>
      <c r="Q874" s="12">
        <v>44510694</v>
      </c>
      <c r="R874">
        <v>44510694</v>
      </c>
      <c r="S874" s="22">
        <v>0.34</v>
      </c>
      <c r="T874" s="22">
        <v>0.09</v>
      </c>
      <c r="U874" s="12">
        <v>32020993.260000002</v>
      </c>
      <c r="V874" s="24">
        <v>32020993.260000002</v>
      </c>
      <c r="W874" s="8">
        <v>24399442.260000002</v>
      </c>
      <c r="X874" s="24">
        <v>24399442.260000002</v>
      </c>
      <c r="Y874" s="22">
        <v>0.38</v>
      </c>
      <c r="Z874" s="22">
        <v>0.15</v>
      </c>
      <c r="AA874" s="8" t="s">
        <v>2902</v>
      </c>
      <c r="AB874" s="8">
        <v>9811863.2599999998</v>
      </c>
      <c r="AC874" s="24">
        <v>9811863.2599999998</v>
      </c>
      <c r="AD874" s="8">
        <v>3082810.96</v>
      </c>
      <c r="AE874" s="24">
        <v>3082810.96</v>
      </c>
      <c r="AF874" s="8">
        <v>45</v>
      </c>
      <c r="AG874" s="8">
        <v>48</v>
      </c>
      <c r="AH874" s="8" t="s">
        <v>342</v>
      </c>
      <c r="AI874" s="8" t="s">
        <v>406</v>
      </c>
      <c r="AJ874" s="22">
        <v>0.94</v>
      </c>
      <c r="AK874" s="8" t="s">
        <v>152</v>
      </c>
      <c r="AL874" s="22">
        <v>0.1</v>
      </c>
      <c r="AM874" s="22">
        <v>0.02</v>
      </c>
      <c r="AN874" s="8">
        <v>7</v>
      </c>
      <c r="AO874" s="8">
        <v>4282</v>
      </c>
      <c r="AP874" s="8">
        <v>4637650.03</v>
      </c>
      <c r="AQ874" s="24">
        <v>4637650.03</v>
      </c>
      <c r="AR874" s="8">
        <v>5039816.5</v>
      </c>
      <c r="AS874" s="37">
        <v>5039816.5</v>
      </c>
      <c r="AT874" s="8" t="s">
        <v>332</v>
      </c>
      <c r="AU874" s="8" t="s">
        <v>322</v>
      </c>
      <c r="AV874" s="8">
        <v>79.5</v>
      </c>
      <c r="AW874" s="8">
        <v>48</v>
      </c>
      <c r="AX874" s="8" t="s">
        <v>323</v>
      </c>
      <c r="AY874" s="8" t="s">
        <v>186</v>
      </c>
      <c r="AZ874" s="8" t="s">
        <v>188</v>
      </c>
      <c r="BA874" s="21">
        <f>IF(OR(tblsales[[#This Row],[Invoice Value USD]]="",tblsales[[#This Row],[Collected Amount USD]]=""),"",tblsales[[#This Row],[Invoice Value USD]]-tblsales[[#This Row],[Collected Amount USD]])</f>
        <v>6729052.2999999998</v>
      </c>
      <c r="BB874" s="21">
        <f>IF(OR(tblsales[[#This Row],[Contract Value USD]]="",tblsales[[#This Row],[Cost Estimate USD]]=""),"",tblsales[[#This Row],[Contract Value USD]]-tblsales[[#This Row],[Cost Estimate USD]])</f>
        <v>7621551</v>
      </c>
      <c r="BC874" s="21">
        <f>IF(OR(tblsales[[#This Row],[Contract Value USD]]="",tblsales[[#This Row],[Cost Estimate USD]]=""),"",tblsales[[#This Row],[Contract Value USD]]-tblsales[[#This Row],[Cost Estimate USD]])</f>
        <v>7621551</v>
      </c>
      <c r="BD874" s="23">
        <f>IF(tblsales[[#This Row],[Invoice Value USD]]="","",tblsales[[#This Row],[Collected Amount USD]]/tblsales[[#This Row],[Invoice Value USD]])</f>
        <v>0.31419220573198248</v>
      </c>
      <c r="BE874" s="11">
        <f>IF(tblsales[[#This Row],[SalesStage]]="Won",1,0)</f>
        <v>0</v>
      </c>
      <c r="BF874" s="21" t="str">
        <f>IF(tblsales[[#This Row],[Win Flag]]=1,"Won","Lost")</f>
        <v>Lost</v>
      </c>
      <c r="BG874" s="8"/>
    </row>
    <row r="875" spans="1:59" x14ac:dyDescent="0.3">
      <c r="A875" s="10" t="s">
        <v>2903</v>
      </c>
      <c r="B875" s="9">
        <v>45981</v>
      </c>
      <c r="C875" s="10" t="s">
        <v>201</v>
      </c>
      <c r="D875" s="10" t="s">
        <v>209</v>
      </c>
      <c r="E875" s="10" t="s">
        <v>20</v>
      </c>
      <c r="F875" s="10" t="s">
        <v>35</v>
      </c>
      <c r="G875" s="10" t="s">
        <v>57</v>
      </c>
      <c r="H875" s="10" t="s">
        <v>212</v>
      </c>
      <c r="I875" s="10" t="s">
        <v>332</v>
      </c>
      <c r="J875" s="10" t="s">
        <v>136</v>
      </c>
      <c r="K875" s="10" t="s">
        <v>184</v>
      </c>
      <c r="L875" s="10" t="s">
        <v>2904</v>
      </c>
      <c r="M875" s="9">
        <v>45949</v>
      </c>
      <c r="N875" s="9"/>
      <c r="O875" s="9">
        <v>46015</v>
      </c>
      <c r="P875" s="11">
        <v>19</v>
      </c>
      <c r="Q875" s="12">
        <v>21732944</v>
      </c>
      <c r="R875">
        <v>21732944</v>
      </c>
      <c r="S875" s="22">
        <v>0.15</v>
      </c>
      <c r="T875" s="22">
        <v>-0.03</v>
      </c>
      <c r="U875" s="12">
        <v>17918812.329999998</v>
      </c>
      <c r="V875" s="24">
        <v>17918812.329999998</v>
      </c>
      <c r="W875" s="8">
        <v>12061057.710000001</v>
      </c>
      <c r="X875" s="24">
        <v>12061057.710000001</v>
      </c>
      <c r="Y875" s="22">
        <v>0.14000000000000001</v>
      </c>
      <c r="Z875" s="22">
        <v>0.06</v>
      </c>
      <c r="AA875" s="8" t="s">
        <v>2905</v>
      </c>
      <c r="AB875" s="8">
        <v>5171951.16</v>
      </c>
      <c r="AC875" s="24">
        <v>5171951.16</v>
      </c>
      <c r="AD875" s="8">
        <v>2489486.7200000002</v>
      </c>
      <c r="AE875" s="24">
        <v>2489486.7200000002</v>
      </c>
      <c r="AF875" s="8">
        <v>30</v>
      </c>
      <c r="AG875" s="8">
        <v>89</v>
      </c>
      <c r="AH875" s="8" t="s">
        <v>342</v>
      </c>
      <c r="AI875" s="8" t="s">
        <v>381</v>
      </c>
      <c r="AJ875" s="22">
        <v>0.75</v>
      </c>
      <c r="AK875" s="8" t="s">
        <v>152</v>
      </c>
      <c r="AL875" s="22">
        <v>0.15</v>
      </c>
      <c r="AM875" s="22">
        <v>0.09</v>
      </c>
      <c r="AN875" s="8">
        <v>6</v>
      </c>
      <c r="AO875" s="8">
        <v>4209</v>
      </c>
      <c r="AP875" s="8">
        <v>2346287.0299999998</v>
      </c>
      <c r="AQ875" s="24">
        <v>2346287.0299999998</v>
      </c>
      <c r="AR875" s="8">
        <v>2956239.46</v>
      </c>
      <c r="AS875" s="37">
        <v>2956239.46</v>
      </c>
      <c r="AT875" s="8" t="s">
        <v>385</v>
      </c>
      <c r="AU875" s="8" t="s">
        <v>386</v>
      </c>
      <c r="AV875" s="8">
        <v>57.5</v>
      </c>
      <c r="AW875" s="8"/>
      <c r="AX875" s="8" t="s">
        <v>332</v>
      </c>
      <c r="AY875" s="8" t="s">
        <v>224</v>
      </c>
      <c r="AZ875" s="8" t="s">
        <v>332</v>
      </c>
      <c r="BA875" s="21">
        <f>IF(OR(tblsales[[#This Row],[Invoice Value USD]]="",tblsales[[#This Row],[Collected Amount USD]]=""),"",tblsales[[#This Row],[Invoice Value USD]]-tblsales[[#This Row],[Collected Amount USD]])</f>
        <v>2682464.44</v>
      </c>
      <c r="BB875" s="21">
        <f>IF(OR(tblsales[[#This Row],[Contract Value USD]]="",tblsales[[#This Row],[Cost Estimate USD]]=""),"",tblsales[[#This Row],[Contract Value USD]]-tblsales[[#This Row],[Cost Estimate USD]])</f>
        <v>5857754.6199999973</v>
      </c>
      <c r="BC875" s="21">
        <f>IF(OR(tblsales[[#This Row],[Contract Value USD]]="",tblsales[[#This Row],[Cost Estimate USD]]=""),"",tblsales[[#This Row],[Contract Value USD]]-tblsales[[#This Row],[Cost Estimate USD]])</f>
        <v>5857754.6199999973</v>
      </c>
      <c r="BD875" s="23">
        <f>IF(tblsales[[#This Row],[Invoice Value USD]]="","",tblsales[[#This Row],[Collected Amount USD]]/tblsales[[#This Row],[Invoice Value USD]])</f>
        <v>0.48134381841301072</v>
      </c>
      <c r="BE875" s="11">
        <f>IF(tblsales[[#This Row],[SalesStage]]="Won",1,0)</f>
        <v>0</v>
      </c>
      <c r="BF875" s="21" t="str">
        <f>IF(tblsales[[#This Row],[Win Flag]]=1,"Won","Lost")</f>
        <v>Lost</v>
      </c>
      <c r="BG875" s="8"/>
    </row>
    <row r="876" spans="1:59" x14ac:dyDescent="0.3">
      <c r="A876" s="10" t="s">
        <v>2906</v>
      </c>
      <c r="B876" s="9">
        <v>45986</v>
      </c>
      <c r="C876" s="10" t="s">
        <v>278</v>
      </c>
      <c r="D876" s="10" t="s">
        <v>180</v>
      </c>
      <c r="E876" s="10" t="s">
        <v>41</v>
      </c>
      <c r="F876" s="10" t="s">
        <v>228</v>
      </c>
      <c r="G876" s="10" t="s">
        <v>16</v>
      </c>
      <c r="H876" s="10" t="s">
        <v>332</v>
      </c>
      <c r="I876" s="10" t="s">
        <v>246</v>
      </c>
      <c r="J876" s="10" t="s">
        <v>130</v>
      </c>
      <c r="K876" s="10" t="s">
        <v>326</v>
      </c>
      <c r="L876" s="10" t="s">
        <v>2907</v>
      </c>
      <c r="M876" s="9">
        <v>45818</v>
      </c>
      <c r="N876" s="9">
        <v>46011</v>
      </c>
      <c r="O876" s="9">
        <v>46051</v>
      </c>
      <c r="P876" s="11">
        <v>30</v>
      </c>
      <c r="Q876" s="12">
        <v>41116182</v>
      </c>
      <c r="R876">
        <v>41116182</v>
      </c>
      <c r="S876" s="22">
        <v>7.0000000000000007E-2</v>
      </c>
      <c r="T876" s="22">
        <v>-0.04</v>
      </c>
      <c r="U876" s="12">
        <v>36708527.289999999</v>
      </c>
      <c r="V876" s="24">
        <v>36708527.289999999</v>
      </c>
      <c r="W876" s="8">
        <v>29625090.16</v>
      </c>
      <c r="X876" s="24">
        <v>29625090.16</v>
      </c>
      <c r="Y876" s="22">
        <v>0.2</v>
      </c>
      <c r="Z876" s="22">
        <v>0.13</v>
      </c>
      <c r="AA876" s="8" t="s">
        <v>2908</v>
      </c>
      <c r="AB876" s="8">
        <v>5068500.46</v>
      </c>
      <c r="AC876" s="24">
        <v>5068500.46</v>
      </c>
      <c r="AD876" s="8">
        <v>2071135.08</v>
      </c>
      <c r="AE876" s="24">
        <v>2071135.08</v>
      </c>
      <c r="AF876" s="8">
        <v>60</v>
      </c>
      <c r="AG876" s="8">
        <v>139</v>
      </c>
      <c r="AH876" s="8" t="s">
        <v>376</v>
      </c>
      <c r="AI876" s="8" t="s">
        <v>226</v>
      </c>
      <c r="AJ876" s="22">
        <v>0.77</v>
      </c>
      <c r="AK876" s="8" t="s">
        <v>152</v>
      </c>
      <c r="AL876" s="22">
        <v>0.05</v>
      </c>
      <c r="AM876" s="22">
        <v>7.0000000000000007E-2</v>
      </c>
      <c r="AN876" s="8">
        <v>2</v>
      </c>
      <c r="AO876" s="8">
        <v>3684</v>
      </c>
      <c r="AP876" s="8">
        <v>6442405.6500000004</v>
      </c>
      <c r="AQ876" s="24">
        <v>6442405.6500000004</v>
      </c>
      <c r="AR876" s="8">
        <v>5476591.9100000001</v>
      </c>
      <c r="AS876" s="37">
        <v>5476591.9100000001</v>
      </c>
      <c r="AT876" s="8" t="s">
        <v>73</v>
      </c>
      <c r="AU876" s="8" t="s">
        <v>322</v>
      </c>
      <c r="AV876" s="8">
        <v>96.2</v>
      </c>
      <c r="AW876" s="8"/>
      <c r="AX876" s="8" t="s">
        <v>332</v>
      </c>
      <c r="AY876" s="8" t="s">
        <v>192</v>
      </c>
      <c r="AZ876" s="8" t="s">
        <v>188</v>
      </c>
      <c r="BA876" s="21">
        <f>IF(OR(tblsales[[#This Row],[Invoice Value USD]]="",tblsales[[#This Row],[Collected Amount USD]]=""),"",tblsales[[#This Row],[Invoice Value USD]]-tblsales[[#This Row],[Collected Amount USD]])</f>
        <v>2997365.38</v>
      </c>
      <c r="BB876" s="21">
        <f>IF(OR(tblsales[[#This Row],[Contract Value USD]]="",tblsales[[#This Row],[Cost Estimate USD]]=""),"",tblsales[[#This Row],[Contract Value USD]]-tblsales[[#This Row],[Cost Estimate USD]])</f>
        <v>7083437.129999999</v>
      </c>
      <c r="BC876" s="21">
        <f>IF(OR(tblsales[[#This Row],[Contract Value USD]]="",tblsales[[#This Row],[Cost Estimate USD]]=""),"",tblsales[[#This Row],[Contract Value USD]]-tblsales[[#This Row],[Cost Estimate USD]])</f>
        <v>7083437.129999999</v>
      </c>
      <c r="BD876" s="23">
        <f>IF(tblsales[[#This Row],[Invoice Value USD]]="","",tblsales[[#This Row],[Collected Amount USD]]/tblsales[[#This Row],[Invoice Value USD]])</f>
        <v>0.40862876433476741</v>
      </c>
      <c r="BE876" s="11">
        <f>IF(tblsales[[#This Row],[SalesStage]]="Won",1,0)</f>
        <v>0</v>
      </c>
      <c r="BF876" s="21" t="str">
        <f>IF(tblsales[[#This Row],[Win Flag]]=1,"Won","Lost")</f>
        <v>Lost</v>
      </c>
      <c r="BG876" s="8"/>
    </row>
    <row r="877" spans="1:59" x14ac:dyDescent="0.3">
      <c r="A877" s="10" t="s">
        <v>2909</v>
      </c>
      <c r="B877" s="9">
        <v>45910</v>
      </c>
      <c r="C877" s="10" t="s">
        <v>230</v>
      </c>
      <c r="D877" s="10" t="s">
        <v>232</v>
      </c>
      <c r="E877" s="10" t="s">
        <v>20</v>
      </c>
      <c r="F877" s="10" t="s">
        <v>332</v>
      </c>
      <c r="G877" s="10" t="s">
        <v>73</v>
      </c>
      <c r="H877" s="10" t="s">
        <v>236</v>
      </c>
      <c r="I877" s="10" t="s">
        <v>183</v>
      </c>
      <c r="J877" s="10" t="s">
        <v>136</v>
      </c>
      <c r="K877" s="10" t="s">
        <v>184</v>
      </c>
      <c r="L877" s="10" t="s">
        <v>2910</v>
      </c>
      <c r="M877" s="9">
        <v>45907</v>
      </c>
      <c r="N877" s="9">
        <v>45970</v>
      </c>
      <c r="O877" s="9">
        <v>45979</v>
      </c>
      <c r="P877" s="11">
        <v>57</v>
      </c>
      <c r="Q877" s="12"/>
      <c r="S877" s="22">
        <v>0.26</v>
      </c>
      <c r="T877" s="22">
        <v>7.0000000000000007E-2</v>
      </c>
      <c r="U877" s="12">
        <v>20333561.77</v>
      </c>
      <c r="V877" s="24">
        <v>5585629.4182190001</v>
      </c>
      <c r="W877" s="8">
        <v>15511243.76</v>
      </c>
      <c r="X877" s="24">
        <v>4260938.6608720003</v>
      </c>
      <c r="Y877" s="22">
        <v>0.34</v>
      </c>
      <c r="Z877" s="22">
        <v>0.14000000000000001</v>
      </c>
      <c r="AA877" s="8" t="s">
        <v>2911</v>
      </c>
      <c r="AB877" s="8">
        <v>12525049.140000001</v>
      </c>
      <c r="AC877" s="24">
        <v>3440630.9987580003</v>
      </c>
      <c r="AD877" s="8">
        <v>11293672.439999999</v>
      </c>
      <c r="AE877" s="24">
        <v>3102371.8192679998</v>
      </c>
      <c r="AF877" s="8">
        <v>90</v>
      </c>
      <c r="AG877" s="8">
        <v>164</v>
      </c>
      <c r="AH877" s="8" t="s">
        <v>347</v>
      </c>
      <c r="AI877" s="8" t="s">
        <v>381</v>
      </c>
      <c r="AJ877" s="22">
        <v>0.06</v>
      </c>
      <c r="AK877" s="8" t="s">
        <v>155</v>
      </c>
      <c r="AL877" s="22">
        <v>0.05</v>
      </c>
      <c r="AM877" s="22">
        <v>0.03</v>
      </c>
      <c r="AN877" s="8">
        <v>14</v>
      </c>
      <c r="AO877" s="8">
        <v>1726</v>
      </c>
      <c r="AP877" s="8">
        <v>1067116.8500000001</v>
      </c>
      <c r="AQ877" s="24">
        <v>293136.99869500002</v>
      </c>
      <c r="AR877" s="8">
        <v>9019785.6300000008</v>
      </c>
      <c r="AS877" s="37">
        <v>2477735.112561</v>
      </c>
      <c r="AT877" s="8" t="s">
        <v>385</v>
      </c>
      <c r="AU877" s="8" t="s">
        <v>348</v>
      </c>
      <c r="AV877" s="8">
        <v>63.6</v>
      </c>
      <c r="AW877" s="8">
        <v>48</v>
      </c>
      <c r="AX877" s="8" t="s">
        <v>387</v>
      </c>
      <c r="AY877" s="8" t="s">
        <v>229</v>
      </c>
      <c r="AZ877" s="8" t="s">
        <v>361</v>
      </c>
      <c r="BA877" s="21">
        <f>IF(OR(tblsales[[#This Row],[Invoice Value USD]]="",tblsales[[#This Row],[Collected Amount USD]]=""),"",tblsales[[#This Row],[Invoice Value USD]]-tblsales[[#This Row],[Collected Amount USD]])</f>
        <v>338259.17949000048</v>
      </c>
      <c r="BB877" s="21">
        <f>IF(OR(tblsales[[#This Row],[Contract Value USD]]="",tblsales[[#This Row],[Cost Estimate USD]]=""),"",tblsales[[#This Row],[Contract Value USD]]-tblsales[[#This Row],[Cost Estimate USD]])</f>
        <v>1324690.7573469998</v>
      </c>
      <c r="BC877" s="21">
        <f>IF(OR(tblsales[[#This Row],[Contract Value USD]]="",tblsales[[#This Row],[Cost Estimate USD]]=""),"",tblsales[[#This Row],[Contract Value USD]]-tblsales[[#This Row],[Cost Estimate USD]])</f>
        <v>1324690.7573469998</v>
      </c>
      <c r="BD877" s="23">
        <f>IF(tblsales[[#This Row],[Invoice Value USD]]="","",tblsales[[#This Row],[Collected Amount USD]]/tblsales[[#This Row],[Invoice Value USD]])</f>
        <v>0.90168687673507986</v>
      </c>
      <c r="BE877" s="11">
        <f>IF(tblsales[[#This Row],[SalesStage]]="Won",1,0)</f>
        <v>0</v>
      </c>
      <c r="BF877" s="21" t="str">
        <f>IF(tblsales[[#This Row],[Win Flag]]=1,"Won","Lost")</f>
        <v>Lost</v>
      </c>
      <c r="BG877" s="8"/>
    </row>
    <row r="878" spans="1:59" x14ac:dyDescent="0.3">
      <c r="A878" s="10" t="s">
        <v>2912</v>
      </c>
      <c r="B878" s="9">
        <v>45930</v>
      </c>
      <c r="C878" s="10" t="s">
        <v>251</v>
      </c>
      <c r="D878" s="10" t="s">
        <v>242</v>
      </c>
      <c r="E878" s="10" t="s">
        <v>20</v>
      </c>
      <c r="F878" s="10" t="s">
        <v>31</v>
      </c>
      <c r="G878" s="10" t="s">
        <v>80</v>
      </c>
      <c r="H878" s="10" t="s">
        <v>236</v>
      </c>
      <c r="I878" s="10" t="s">
        <v>203</v>
      </c>
      <c r="J878" s="10" t="s">
        <v>136</v>
      </c>
      <c r="K878" s="10" t="s">
        <v>223</v>
      </c>
      <c r="L878" s="10" t="s">
        <v>2913</v>
      </c>
      <c r="M878" s="9">
        <v>45920</v>
      </c>
      <c r="N878" s="9">
        <v>45950</v>
      </c>
      <c r="O878" s="9">
        <v>46042</v>
      </c>
      <c r="P878" s="11">
        <v>21</v>
      </c>
      <c r="Q878" s="12"/>
      <c r="S878" s="22">
        <v>0.28000000000000003</v>
      </c>
      <c r="T878" s="22">
        <v>0.02</v>
      </c>
      <c r="U878" s="12">
        <v>18285605.280000001</v>
      </c>
      <c r="V878" s="24">
        <v>4876770.9281759998</v>
      </c>
      <c r="W878" s="8">
        <v>11798011.199999999</v>
      </c>
      <c r="X878" s="24">
        <v>3146529.5870399997</v>
      </c>
      <c r="Y878" s="22">
        <v>0.2</v>
      </c>
      <c r="Z878" s="22">
        <v>7.0000000000000007E-2</v>
      </c>
      <c r="AA878" s="8" t="s">
        <v>2170</v>
      </c>
      <c r="AB878" s="8">
        <v>8438710.9600000009</v>
      </c>
      <c r="AC878" s="24">
        <v>2250604.2130320002</v>
      </c>
      <c r="AD878" s="8">
        <v>7214432.6299999999</v>
      </c>
      <c r="AE878" s="24">
        <v>1924089.182421</v>
      </c>
      <c r="AF878" s="8">
        <v>90</v>
      </c>
      <c r="AG878" s="8">
        <v>84</v>
      </c>
      <c r="AH878" s="8" t="s">
        <v>376</v>
      </c>
      <c r="AI878" s="8" t="s">
        <v>406</v>
      </c>
      <c r="AJ878" s="22">
        <v>0.25</v>
      </c>
      <c r="AK878" s="8" t="s">
        <v>162</v>
      </c>
      <c r="AL878" s="22">
        <v>0.15</v>
      </c>
      <c r="AM878" s="22">
        <v>0.02</v>
      </c>
      <c r="AN878" s="8">
        <v>13</v>
      </c>
      <c r="AO878" s="8">
        <v>4124</v>
      </c>
      <c r="AP878" s="8"/>
      <c r="AQ878" s="24"/>
      <c r="AR878" s="8">
        <v>2273719.31</v>
      </c>
      <c r="AS878" s="37">
        <v>606400.939977</v>
      </c>
      <c r="AT878" s="8" t="s">
        <v>73</v>
      </c>
      <c r="AU878" s="8" t="s">
        <v>356</v>
      </c>
      <c r="AV878" s="8">
        <v>71.900000000000006</v>
      </c>
      <c r="AW878" s="8">
        <v>36</v>
      </c>
      <c r="AX878" s="8" t="s">
        <v>332</v>
      </c>
      <c r="AY878" s="8" t="s">
        <v>192</v>
      </c>
      <c r="AZ878" s="8" t="s">
        <v>332</v>
      </c>
      <c r="BA878" s="21">
        <f>IF(OR(tblsales[[#This Row],[Invoice Value USD]]="",tblsales[[#This Row],[Collected Amount USD]]=""),"",tblsales[[#This Row],[Invoice Value USD]]-tblsales[[#This Row],[Collected Amount USD]])</f>
        <v>326515.03061100026</v>
      </c>
      <c r="BB878" s="21">
        <f>IF(OR(tblsales[[#This Row],[Contract Value USD]]="",tblsales[[#This Row],[Cost Estimate USD]]=""),"",tblsales[[#This Row],[Contract Value USD]]-tblsales[[#This Row],[Cost Estimate USD]])</f>
        <v>1730241.3411360001</v>
      </c>
      <c r="BC878" s="21">
        <f>IF(OR(tblsales[[#This Row],[Contract Value USD]]="",tblsales[[#This Row],[Cost Estimate USD]]=""),"",tblsales[[#This Row],[Contract Value USD]]-tblsales[[#This Row],[Cost Estimate USD]])</f>
        <v>1730241.3411360001</v>
      </c>
      <c r="BD878" s="23">
        <f>IF(tblsales[[#This Row],[Invoice Value USD]]="","",tblsales[[#This Row],[Collected Amount USD]]/tblsales[[#This Row],[Invoice Value USD]])</f>
        <v>0.85492116795999362</v>
      </c>
      <c r="BE878" s="11">
        <f>IF(tblsales[[#This Row],[SalesStage]]="Won",1,0)</f>
        <v>0</v>
      </c>
      <c r="BF878" s="21" t="str">
        <f>IF(tblsales[[#This Row],[Win Flag]]=1,"Won","Lost")</f>
        <v>Lost</v>
      </c>
      <c r="BG878" s="8"/>
    </row>
    <row r="879" spans="1:59" x14ac:dyDescent="0.3">
      <c r="A879" s="10" t="s">
        <v>2914</v>
      </c>
      <c r="B879" s="9">
        <v>45980</v>
      </c>
      <c r="C879" s="10" t="s">
        <v>267</v>
      </c>
      <c r="D879" s="10" t="s">
        <v>245</v>
      </c>
      <c r="E879" s="10" t="s">
        <v>36</v>
      </c>
      <c r="F879" s="10" t="s">
        <v>339</v>
      </c>
      <c r="G879" s="10" t="s">
        <v>70</v>
      </c>
      <c r="H879" s="10" t="s">
        <v>216</v>
      </c>
      <c r="I879" s="10" t="s">
        <v>198</v>
      </c>
      <c r="J879" s="10" t="s">
        <v>115</v>
      </c>
      <c r="K879" s="10" t="s">
        <v>326</v>
      </c>
      <c r="L879" s="10" t="s">
        <v>2915</v>
      </c>
      <c r="M879" s="9">
        <v>45697</v>
      </c>
      <c r="N879" s="9">
        <v>46004</v>
      </c>
      <c r="O879" s="9"/>
      <c r="P879" s="11">
        <v>24</v>
      </c>
      <c r="Q879" s="12">
        <v>31058286</v>
      </c>
      <c r="R879">
        <v>36058670.046000004</v>
      </c>
      <c r="S879" s="22">
        <v>0.23</v>
      </c>
      <c r="T879" s="22">
        <v>0.01</v>
      </c>
      <c r="U879" s="12">
        <v>24154029.02</v>
      </c>
      <c r="V879" s="24">
        <v>28042827.692219999</v>
      </c>
      <c r="W879" s="8"/>
      <c r="X879" s="24"/>
      <c r="Y879" s="22">
        <v>0.27</v>
      </c>
      <c r="Z879" s="22">
        <v>0.18</v>
      </c>
      <c r="AA879" s="8" t="s">
        <v>2916</v>
      </c>
      <c r="AB879" s="8">
        <v>13587915.390000001</v>
      </c>
      <c r="AC879" s="24">
        <v>15775569.767790001</v>
      </c>
      <c r="AD879" s="8">
        <v>8306469.3300000001</v>
      </c>
      <c r="AE879" s="24">
        <v>9643810.8921300005</v>
      </c>
      <c r="AF879" s="8">
        <v>90</v>
      </c>
      <c r="AG879" s="8">
        <v>155</v>
      </c>
      <c r="AH879" s="8" t="s">
        <v>376</v>
      </c>
      <c r="AI879" s="8" t="s">
        <v>336</v>
      </c>
      <c r="AJ879" s="22">
        <v>0.28000000000000003</v>
      </c>
      <c r="AK879" s="8" t="s">
        <v>159</v>
      </c>
      <c r="AL879" s="22">
        <v>0.15</v>
      </c>
      <c r="AM879" s="22">
        <v>0.03</v>
      </c>
      <c r="AN879" s="8">
        <v>6</v>
      </c>
      <c r="AO879" s="8">
        <v>1100</v>
      </c>
      <c r="AP879" s="8">
        <v>3836518.61</v>
      </c>
      <c r="AQ879" s="24">
        <v>4454198.1062099999</v>
      </c>
      <c r="AR879" s="8"/>
      <c r="AS879" s="37"/>
      <c r="AT879" s="8" t="s">
        <v>385</v>
      </c>
      <c r="AU879" s="8" t="s">
        <v>356</v>
      </c>
      <c r="AV879" s="8">
        <v>74</v>
      </c>
      <c r="AW879" s="8">
        <v>36</v>
      </c>
      <c r="AX879" s="8" t="s">
        <v>392</v>
      </c>
      <c r="AY879" s="8" t="s">
        <v>206</v>
      </c>
      <c r="AZ879" s="8" t="s">
        <v>357</v>
      </c>
      <c r="BA879" s="21">
        <f>IF(OR(tblsales[[#This Row],[Invoice Value USD]]="",tblsales[[#This Row],[Collected Amount USD]]=""),"",tblsales[[#This Row],[Invoice Value USD]]-tblsales[[#This Row],[Collected Amount USD]])</f>
        <v>6131758.8756600004</v>
      </c>
      <c r="BB879" s="21" t="str">
        <f>IF(OR(tblsales[[#This Row],[Contract Value USD]]="",tblsales[[#This Row],[Cost Estimate USD]]=""),"",tblsales[[#This Row],[Contract Value USD]]-tblsales[[#This Row],[Cost Estimate USD]])</f>
        <v/>
      </c>
      <c r="BC879" s="21" t="str">
        <f>IF(OR(tblsales[[#This Row],[Contract Value USD]]="",tblsales[[#This Row],[Cost Estimate USD]]=""),"",tblsales[[#This Row],[Contract Value USD]]-tblsales[[#This Row],[Cost Estimate USD]])</f>
        <v/>
      </c>
      <c r="BD879" s="23">
        <f>IF(tblsales[[#This Row],[Invoice Value USD]]="","",tblsales[[#This Row],[Collected Amount USD]]/tblsales[[#This Row],[Invoice Value USD]])</f>
        <v>0.61131300067655192</v>
      </c>
      <c r="BE879" s="11">
        <f>IF(tblsales[[#This Row],[SalesStage]]="Won",1,0)</f>
        <v>0</v>
      </c>
      <c r="BF879" s="21" t="str">
        <f>IF(tblsales[[#This Row],[Win Flag]]=1,"Won","Lost")</f>
        <v>Lost</v>
      </c>
      <c r="BG879" s="8"/>
    </row>
    <row r="880" spans="1:59" x14ac:dyDescent="0.3">
      <c r="A880" s="10" t="s">
        <v>2917</v>
      </c>
      <c r="B880" s="9">
        <v>46057</v>
      </c>
      <c r="C880" s="10" t="s">
        <v>279</v>
      </c>
      <c r="D880" s="10" t="s">
        <v>274</v>
      </c>
      <c r="E880" s="10" t="s">
        <v>41</v>
      </c>
      <c r="F880" s="10" t="s">
        <v>228</v>
      </c>
      <c r="G880" s="10" t="s">
        <v>66</v>
      </c>
      <c r="H880" s="10" t="s">
        <v>182</v>
      </c>
      <c r="I880" s="10" t="s">
        <v>183</v>
      </c>
      <c r="J880" s="10" t="s">
        <v>130</v>
      </c>
      <c r="K880" s="10" t="s">
        <v>333</v>
      </c>
      <c r="L880" s="10" t="s">
        <v>2918</v>
      </c>
      <c r="M880" s="9">
        <v>46014</v>
      </c>
      <c r="N880" s="9">
        <v>46107</v>
      </c>
      <c r="O880" s="9">
        <v>46133</v>
      </c>
      <c r="P880" s="11">
        <v>20</v>
      </c>
      <c r="Q880" s="12">
        <v>41592802</v>
      </c>
      <c r="R880">
        <v>48289243.122000001</v>
      </c>
      <c r="S880" s="22">
        <v>0.26</v>
      </c>
      <c r="T880" s="22">
        <v>-0.04</v>
      </c>
      <c r="U880" s="12">
        <v>29547526.539999999</v>
      </c>
      <c r="V880" s="24">
        <v>34304678.312940001</v>
      </c>
      <c r="W880" s="8"/>
      <c r="X880" s="24"/>
      <c r="Y880" s="22">
        <v>0.39</v>
      </c>
      <c r="Z880" s="22">
        <v>7.0000000000000007E-2</v>
      </c>
      <c r="AA880" s="8" t="s">
        <v>2919</v>
      </c>
      <c r="AB880" s="8">
        <v>11388182.220000001</v>
      </c>
      <c r="AC880" s="24">
        <v>13221679.55742</v>
      </c>
      <c r="AD880" s="8">
        <v>4819178.68</v>
      </c>
      <c r="AE880" s="24">
        <v>5595066.4474799996</v>
      </c>
      <c r="AF880" s="8">
        <v>45</v>
      </c>
      <c r="AG880" s="8">
        <v>105</v>
      </c>
      <c r="AH880" s="8" t="s">
        <v>347</v>
      </c>
      <c r="AI880" s="8" t="s">
        <v>336</v>
      </c>
      <c r="AJ880" s="22">
        <v>0.67</v>
      </c>
      <c r="AK880" s="8" t="s">
        <v>159</v>
      </c>
      <c r="AL880" s="22">
        <v>0.1</v>
      </c>
      <c r="AM880" s="22">
        <v>0.03</v>
      </c>
      <c r="AN880" s="8">
        <v>2</v>
      </c>
      <c r="AO880" s="8">
        <v>4565</v>
      </c>
      <c r="AP880" s="8">
        <v>3975988.57</v>
      </c>
      <c r="AQ880" s="24">
        <v>4616122.7297700001</v>
      </c>
      <c r="AR880" s="8">
        <v>4239202.03</v>
      </c>
      <c r="AS880" s="37">
        <v>4921713.5568300001</v>
      </c>
      <c r="AT880" s="8" t="s">
        <v>343</v>
      </c>
      <c r="AU880" s="8" t="s">
        <v>321</v>
      </c>
      <c r="AV880" s="8"/>
      <c r="AW880" s="8">
        <v>60</v>
      </c>
      <c r="AX880" s="8" t="s">
        <v>387</v>
      </c>
      <c r="AY880" s="8" t="s">
        <v>206</v>
      </c>
      <c r="AZ880" s="8" t="s">
        <v>332</v>
      </c>
      <c r="BA880" s="21">
        <f>IF(OR(tblsales[[#This Row],[Invoice Value USD]]="",tblsales[[#This Row],[Collected Amount USD]]=""),"",tblsales[[#This Row],[Invoice Value USD]]-tblsales[[#This Row],[Collected Amount USD]])</f>
        <v>7626613.1099400008</v>
      </c>
      <c r="BB880" s="21" t="str">
        <f>IF(OR(tblsales[[#This Row],[Contract Value USD]]="",tblsales[[#This Row],[Cost Estimate USD]]=""),"",tblsales[[#This Row],[Contract Value USD]]-tblsales[[#This Row],[Cost Estimate USD]])</f>
        <v/>
      </c>
      <c r="BC880" s="21" t="str">
        <f>IF(OR(tblsales[[#This Row],[Contract Value USD]]="",tblsales[[#This Row],[Cost Estimate USD]]=""),"",tblsales[[#This Row],[Contract Value USD]]-tblsales[[#This Row],[Cost Estimate USD]])</f>
        <v/>
      </c>
      <c r="BD880" s="23">
        <f>IF(tblsales[[#This Row],[Invoice Value USD]]="","",tblsales[[#This Row],[Collected Amount USD]]/tblsales[[#This Row],[Invoice Value USD]])</f>
        <v>0.42317365378440525</v>
      </c>
      <c r="BE880" s="11">
        <f>IF(tblsales[[#This Row],[SalesStage]]="Won",1,0)</f>
        <v>0</v>
      </c>
      <c r="BF880" s="21" t="str">
        <f>IF(tblsales[[#This Row],[Win Flag]]=1,"Won","Lost")</f>
        <v>Lost</v>
      </c>
      <c r="BG880" s="8"/>
    </row>
    <row r="881" spans="1:59" x14ac:dyDescent="0.3">
      <c r="A881" s="10" t="s">
        <v>2920</v>
      </c>
      <c r="B881" s="9">
        <v>45753</v>
      </c>
      <c r="C881" s="10" t="s">
        <v>278</v>
      </c>
      <c r="D881" s="10" t="s">
        <v>262</v>
      </c>
      <c r="E881" s="10" t="s">
        <v>332</v>
      </c>
      <c r="F881" s="10" t="s">
        <v>367</v>
      </c>
      <c r="G881" s="10" t="s">
        <v>50</v>
      </c>
      <c r="H881" s="10" t="s">
        <v>216</v>
      </c>
      <c r="I881" s="10" t="s">
        <v>183</v>
      </c>
      <c r="J881" s="10" t="s">
        <v>99</v>
      </c>
      <c r="K881" s="10" t="s">
        <v>184</v>
      </c>
      <c r="L881" s="10" t="s">
        <v>2921</v>
      </c>
      <c r="M881" s="9">
        <v>45799</v>
      </c>
      <c r="N881" s="9">
        <v>45855</v>
      </c>
      <c r="O881" s="9">
        <v>45876</v>
      </c>
      <c r="P881" s="11">
        <v>23</v>
      </c>
      <c r="Q881" s="12">
        <v>1638700</v>
      </c>
      <c r="R881">
        <v>446218.00999999995</v>
      </c>
      <c r="S881" s="22">
        <v>0.15</v>
      </c>
      <c r="T881" s="22">
        <v>0.19</v>
      </c>
      <c r="U881" s="12">
        <v>1657545.05</v>
      </c>
      <c r="V881" s="24">
        <v>451349.517115</v>
      </c>
      <c r="W881" s="8">
        <v>1127437.28</v>
      </c>
      <c r="X881" s="24">
        <v>307001.17134399997</v>
      </c>
      <c r="Y881" s="22"/>
      <c r="Z881" s="22">
        <v>0.13</v>
      </c>
      <c r="AA881" s="8" t="s">
        <v>2922</v>
      </c>
      <c r="AB881" s="8">
        <v>1451980.4</v>
      </c>
      <c r="AC881" s="24">
        <v>395374.26291999995</v>
      </c>
      <c r="AD881" s="8">
        <v>647568.66</v>
      </c>
      <c r="AE881" s="24">
        <v>176332.94611799999</v>
      </c>
      <c r="AF881" s="8">
        <v>90</v>
      </c>
      <c r="AG881" s="8">
        <v>104</v>
      </c>
      <c r="AH881" s="8" t="s">
        <v>347</v>
      </c>
      <c r="AI881" s="8" t="s">
        <v>320</v>
      </c>
      <c r="AJ881" s="22">
        <v>0.85</v>
      </c>
      <c r="AK881" s="8" t="s">
        <v>153</v>
      </c>
      <c r="AL881" s="22">
        <v>0.15</v>
      </c>
      <c r="AM881" s="22">
        <v>0.06</v>
      </c>
      <c r="AN881" s="8">
        <v>15</v>
      </c>
      <c r="AO881" s="8">
        <v>2361</v>
      </c>
      <c r="AP881" s="8">
        <v>155753.64000000001</v>
      </c>
      <c r="AQ881" s="24">
        <v>42411.716172</v>
      </c>
      <c r="AR881" s="8">
        <v>723269.67</v>
      </c>
      <c r="AS881" s="37">
        <v>196946.331141</v>
      </c>
      <c r="AT881" s="8" t="s">
        <v>355</v>
      </c>
      <c r="AU881" s="8" t="s">
        <v>330</v>
      </c>
      <c r="AV881" s="8">
        <v>67.2</v>
      </c>
      <c r="AW881" s="8">
        <v>48</v>
      </c>
      <c r="AX881" s="8" t="s">
        <v>387</v>
      </c>
      <c r="AY881" s="8" t="s">
        <v>229</v>
      </c>
      <c r="AZ881" s="8" t="s">
        <v>188</v>
      </c>
      <c r="BA881" s="21">
        <f>IF(OR(tblsales[[#This Row],[Invoice Value USD]]="",tblsales[[#This Row],[Collected Amount USD]]=""),"",tblsales[[#This Row],[Invoice Value USD]]-tblsales[[#This Row],[Collected Amount USD]])</f>
        <v>219041.31680199996</v>
      </c>
      <c r="BB881" s="21">
        <f>IF(OR(tblsales[[#This Row],[Contract Value USD]]="",tblsales[[#This Row],[Cost Estimate USD]]=""),"",tblsales[[#This Row],[Contract Value USD]]-tblsales[[#This Row],[Cost Estimate USD]])</f>
        <v>144348.34577100002</v>
      </c>
      <c r="BC881" s="21">
        <f>IF(OR(tblsales[[#This Row],[Contract Value USD]]="",tblsales[[#This Row],[Cost Estimate USD]]=""),"",tblsales[[#This Row],[Contract Value USD]]-tblsales[[#This Row],[Cost Estimate USD]])</f>
        <v>144348.34577100002</v>
      </c>
      <c r="BD881" s="23">
        <f>IF(tblsales[[#This Row],[Invoice Value USD]]="","",tblsales[[#This Row],[Collected Amount USD]]/tblsales[[#This Row],[Invoice Value USD]])</f>
        <v>0.44598994586979279</v>
      </c>
      <c r="BE881" s="11">
        <f>IF(tblsales[[#This Row],[SalesStage]]="Won",1,0)</f>
        <v>1</v>
      </c>
      <c r="BF881" s="21" t="str">
        <f>IF(tblsales[[#This Row],[Win Flag]]=1,"Won","Lost")</f>
        <v>Won</v>
      </c>
      <c r="BG881" s="8"/>
    </row>
    <row r="882" spans="1:59" x14ac:dyDescent="0.3">
      <c r="A882" s="10" t="s">
        <v>2923</v>
      </c>
      <c r="B882" s="9">
        <v>45891</v>
      </c>
      <c r="C882" s="10" t="s">
        <v>256</v>
      </c>
      <c r="D882" s="10" t="s">
        <v>202</v>
      </c>
      <c r="E882" s="10" t="s">
        <v>36</v>
      </c>
      <c r="F882" s="10" t="s">
        <v>339</v>
      </c>
      <c r="G882" s="10" t="s">
        <v>332</v>
      </c>
      <c r="H882" s="10" t="s">
        <v>182</v>
      </c>
      <c r="I882" s="10" t="s">
        <v>198</v>
      </c>
      <c r="J882" s="10" t="s">
        <v>115</v>
      </c>
      <c r="K882" s="10" t="s">
        <v>221</v>
      </c>
      <c r="L882" s="10" t="s">
        <v>2924</v>
      </c>
      <c r="M882" s="9">
        <v>45783</v>
      </c>
      <c r="N882" s="9">
        <v>45897</v>
      </c>
      <c r="O882" s="9">
        <v>45991</v>
      </c>
      <c r="P882" s="11">
        <v>46</v>
      </c>
      <c r="Q882" s="12">
        <v>9757626</v>
      </c>
      <c r="R882">
        <v>11328603.786</v>
      </c>
      <c r="S882" s="22">
        <v>0.06</v>
      </c>
      <c r="T882" s="22">
        <v>-0.01</v>
      </c>
      <c r="U882" s="12">
        <v>9080446.7599999998</v>
      </c>
      <c r="V882" s="24">
        <v>10542398.68836</v>
      </c>
      <c r="W882" s="8"/>
      <c r="X882" s="24"/>
      <c r="Y882" s="22">
        <v>0.23</v>
      </c>
      <c r="Z882" s="22">
        <v>0.18</v>
      </c>
      <c r="AA882" s="8" t="s">
        <v>2925</v>
      </c>
      <c r="AB882" s="8">
        <v>3767368.68</v>
      </c>
      <c r="AC882" s="24">
        <v>4373915.0374800004</v>
      </c>
      <c r="AD882" s="8">
        <v>3753064.78</v>
      </c>
      <c r="AE882" s="24">
        <v>4357308.2095799996</v>
      </c>
      <c r="AF882" s="8">
        <v>90</v>
      </c>
      <c r="AG882" s="8">
        <v>173</v>
      </c>
      <c r="AH882" s="8" t="s">
        <v>353</v>
      </c>
      <c r="AI882" s="8" t="s">
        <v>381</v>
      </c>
      <c r="AJ882" s="22">
        <v>0.13</v>
      </c>
      <c r="AK882" s="8" t="s">
        <v>159</v>
      </c>
      <c r="AL882" s="22">
        <v>0.1</v>
      </c>
      <c r="AM882" s="22">
        <v>0.09</v>
      </c>
      <c r="AN882" s="8">
        <v>7</v>
      </c>
      <c r="AO882" s="8"/>
      <c r="AP882" s="8"/>
      <c r="AQ882" s="24"/>
      <c r="AR882" s="8">
        <v>3705884</v>
      </c>
      <c r="AS882" s="37">
        <v>4302531.324</v>
      </c>
      <c r="AT882" s="8" t="s">
        <v>332</v>
      </c>
      <c r="AU882" s="8" t="s">
        <v>322</v>
      </c>
      <c r="AV882" s="8">
        <v>94.3</v>
      </c>
      <c r="AW882" s="8">
        <v>12</v>
      </c>
      <c r="AX882" s="8" t="s">
        <v>332</v>
      </c>
      <c r="AY882" s="8" t="s">
        <v>224</v>
      </c>
      <c r="AZ882" s="8" t="s">
        <v>357</v>
      </c>
      <c r="BA882" s="21">
        <f>IF(OR(tblsales[[#This Row],[Invoice Value USD]]="",tblsales[[#This Row],[Collected Amount USD]]=""),"",tblsales[[#This Row],[Invoice Value USD]]-tblsales[[#This Row],[Collected Amount USD]])</f>
        <v>16606.827900000848</v>
      </c>
      <c r="BB882" s="21" t="str">
        <f>IF(OR(tblsales[[#This Row],[Contract Value USD]]="",tblsales[[#This Row],[Cost Estimate USD]]=""),"",tblsales[[#This Row],[Contract Value USD]]-tblsales[[#This Row],[Cost Estimate USD]])</f>
        <v/>
      </c>
      <c r="BC882" s="21" t="str">
        <f>IF(OR(tblsales[[#This Row],[Contract Value USD]]="",tblsales[[#This Row],[Cost Estimate USD]]=""),"",tblsales[[#This Row],[Contract Value USD]]-tblsales[[#This Row],[Cost Estimate USD]])</f>
        <v/>
      </c>
      <c r="BD882" s="23">
        <f>IF(tblsales[[#This Row],[Invoice Value USD]]="","",tblsales[[#This Row],[Collected Amount USD]]/tblsales[[#This Row],[Invoice Value USD]])</f>
        <v>0.99620321205197238</v>
      </c>
      <c r="BE882" s="11">
        <f>IF(tblsales[[#This Row],[SalesStage]]="Won",1,0)</f>
        <v>0</v>
      </c>
      <c r="BF882" s="21" t="str">
        <f>IF(tblsales[[#This Row],[Win Flag]]=1,"Won","Lost")</f>
        <v>Lost</v>
      </c>
      <c r="BG882" s="8"/>
    </row>
    <row r="883" spans="1:59" x14ac:dyDescent="0.3">
      <c r="A883" s="10" t="s">
        <v>2926</v>
      </c>
      <c r="B883" s="9">
        <v>45731</v>
      </c>
      <c r="C883" s="10" t="s">
        <v>270</v>
      </c>
      <c r="D883" s="10" t="s">
        <v>245</v>
      </c>
      <c r="E883" s="10" t="s">
        <v>113</v>
      </c>
      <c r="F883" s="10" t="s">
        <v>181</v>
      </c>
      <c r="G883" s="10" t="s">
        <v>33</v>
      </c>
      <c r="H883" s="10" t="s">
        <v>263</v>
      </c>
      <c r="I883" s="10" t="s">
        <v>240</v>
      </c>
      <c r="J883" s="10" t="s">
        <v>111</v>
      </c>
      <c r="K883" s="10" t="s">
        <v>223</v>
      </c>
      <c r="L883" s="10" t="s">
        <v>2927</v>
      </c>
      <c r="M883" s="9">
        <v>45646</v>
      </c>
      <c r="N883" s="9">
        <v>45812</v>
      </c>
      <c r="O883" s="9">
        <v>45851</v>
      </c>
      <c r="P883" s="11"/>
      <c r="Q883" s="12">
        <v>17538395</v>
      </c>
      <c r="R883">
        <v>4775704.9584999997</v>
      </c>
      <c r="S883" s="22">
        <v>0.1</v>
      </c>
      <c r="T883" s="22">
        <v>0.04</v>
      </c>
      <c r="U883" s="12">
        <v>16415937.720000001</v>
      </c>
      <c r="V883" s="24">
        <v>4470059.8411560003</v>
      </c>
      <c r="W883" s="8">
        <v>13874307.07</v>
      </c>
      <c r="X883" s="24">
        <v>3777973.815161</v>
      </c>
      <c r="Y883" s="22">
        <v>0.09</v>
      </c>
      <c r="Z883" s="22">
        <v>0.17</v>
      </c>
      <c r="AA883" s="8" t="s">
        <v>2928</v>
      </c>
      <c r="AB883" s="8">
        <v>6906351.2999999998</v>
      </c>
      <c r="AC883" s="24">
        <v>1880599.45899</v>
      </c>
      <c r="AD883" s="8">
        <v>3081544.15</v>
      </c>
      <c r="AE883" s="24">
        <v>839104.47204499994</v>
      </c>
      <c r="AF883" s="8">
        <v>45</v>
      </c>
      <c r="AG883" s="8">
        <v>33</v>
      </c>
      <c r="AH883" s="8" t="s">
        <v>376</v>
      </c>
      <c r="AI883" s="8" t="s">
        <v>406</v>
      </c>
      <c r="AJ883" s="22">
        <v>0.14000000000000001</v>
      </c>
      <c r="AK883" s="8" t="s">
        <v>153</v>
      </c>
      <c r="AL883" s="22">
        <v>0.15</v>
      </c>
      <c r="AM883" s="22">
        <v>0.1</v>
      </c>
      <c r="AN883" s="8">
        <v>9</v>
      </c>
      <c r="AO883" s="8">
        <v>936</v>
      </c>
      <c r="AP883" s="8"/>
      <c r="AQ883" s="24"/>
      <c r="AR883" s="8">
        <v>8086504.8600000003</v>
      </c>
      <c r="AS883" s="37">
        <v>2201955.2733780001</v>
      </c>
      <c r="AT883" s="8" t="s">
        <v>385</v>
      </c>
      <c r="AU883" s="8" t="s">
        <v>332</v>
      </c>
      <c r="AV883" s="8">
        <v>92.6</v>
      </c>
      <c r="AW883" s="8">
        <v>60</v>
      </c>
      <c r="AX883" s="8" t="s">
        <v>392</v>
      </c>
      <c r="AY883" s="8" t="s">
        <v>224</v>
      </c>
      <c r="AZ883" s="8" t="s">
        <v>332</v>
      </c>
      <c r="BA883" s="21">
        <f>IF(OR(tblsales[[#This Row],[Invoice Value USD]]="",tblsales[[#This Row],[Collected Amount USD]]=""),"",tblsales[[#This Row],[Invoice Value USD]]-tblsales[[#This Row],[Collected Amount USD]])</f>
        <v>1041494.986945</v>
      </c>
      <c r="BB883" s="21">
        <f>IF(OR(tblsales[[#This Row],[Contract Value USD]]="",tblsales[[#This Row],[Cost Estimate USD]]=""),"",tblsales[[#This Row],[Contract Value USD]]-tblsales[[#This Row],[Cost Estimate USD]])</f>
        <v>692086.02599500027</v>
      </c>
      <c r="BC883" s="21">
        <f>IF(OR(tblsales[[#This Row],[Contract Value USD]]="",tblsales[[#This Row],[Cost Estimate USD]]=""),"",tblsales[[#This Row],[Contract Value USD]]-tblsales[[#This Row],[Cost Estimate USD]])</f>
        <v>692086.02599500027</v>
      </c>
      <c r="BD883" s="23">
        <f>IF(tblsales[[#This Row],[Invoice Value USD]]="","",tblsales[[#This Row],[Collected Amount USD]]/tblsales[[#This Row],[Invoice Value USD]])</f>
        <v>0.44618989335222492</v>
      </c>
      <c r="BE883" s="11">
        <f>IF(tblsales[[#This Row],[SalesStage]]="Won",1,0)</f>
        <v>0</v>
      </c>
      <c r="BF883" s="21" t="str">
        <f>IF(tblsales[[#This Row],[Win Flag]]=1,"Won","Lost")</f>
        <v>Lost</v>
      </c>
      <c r="BG883" s="8"/>
    </row>
    <row r="884" spans="1:59" x14ac:dyDescent="0.3">
      <c r="A884" s="10" t="s">
        <v>2929</v>
      </c>
      <c r="B884" s="9">
        <v>45848</v>
      </c>
      <c r="C884" s="10" t="s">
        <v>244</v>
      </c>
      <c r="D884" s="10" t="s">
        <v>562</v>
      </c>
      <c r="E884" s="10" t="s">
        <v>52</v>
      </c>
      <c r="F884" s="10" t="s">
        <v>75</v>
      </c>
      <c r="G884" s="10" t="s">
        <v>28</v>
      </c>
      <c r="H884" s="10" t="s">
        <v>236</v>
      </c>
      <c r="I884" s="10" t="s">
        <v>240</v>
      </c>
      <c r="J884" s="10" t="s">
        <v>119</v>
      </c>
      <c r="K884" s="10" t="s">
        <v>204</v>
      </c>
      <c r="L884" s="10" t="s">
        <v>2930</v>
      </c>
      <c r="M884" s="9">
        <v>45816</v>
      </c>
      <c r="N884" s="9"/>
      <c r="O884" s="9">
        <v>46012</v>
      </c>
      <c r="P884" s="11">
        <v>42</v>
      </c>
      <c r="Q884" s="12">
        <v>29781945</v>
      </c>
      <c r="R884">
        <v>8109623.6234999998</v>
      </c>
      <c r="S884" s="22">
        <v>0.31</v>
      </c>
      <c r="T884" s="22">
        <v>0.15</v>
      </c>
      <c r="U884" s="12">
        <v>23631973.359999999</v>
      </c>
      <c r="V884" s="24">
        <v>6434986.3459279994</v>
      </c>
      <c r="W884" s="8">
        <v>14661006.73</v>
      </c>
      <c r="X884" s="24">
        <v>3992192.1325789997</v>
      </c>
      <c r="Y884" s="22">
        <v>0.15</v>
      </c>
      <c r="Z884" s="22">
        <v>0.05</v>
      </c>
      <c r="AA884" s="8" t="s">
        <v>2931</v>
      </c>
      <c r="AB884" s="8">
        <v>12892545.52</v>
      </c>
      <c r="AC884" s="24">
        <v>3510640.1450959998</v>
      </c>
      <c r="AD884" s="8">
        <v>11682820.17</v>
      </c>
      <c r="AE884" s="24">
        <v>3181231.9322909997</v>
      </c>
      <c r="AF884" s="8">
        <v>120</v>
      </c>
      <c r="AG884" s="8">
        <v>102</v>
      </c>
      <c r="AH884" s="8" t="s">
        <v>342</v>
      </c>
      <c r="AI884" s="8" t="s">
        <v>354</v>
      </c>
      <c r="AJ884" s="22">
        <v>0.18</v>
      </c>
      <c r="AK884" s="8" t="s">
        <v>153</v>
      </c>
      <c r="AL884" s="22">
        <v>0.15</v>
      </c>
      <c r="AM884" s="22">
        <v>0.1</v>
      </c>
      <c r="AN884" s="8">
        <v>7</v>
      </c>
      <c r="AO884" s="8">
        <v>1539</v>
      </c>
      <c r="AP884" s="8">
        <v>3959237.08</v>
      </c>
      <c r="AQ884" s="24">
        <v>1078100.256884</v>
      </c>
      <c r="AR884" s="8">
        <v>8860412.0500000007</v>
      </c>
      <c r="AS884" s="37">
        <v>2412690.2012149999</v>
      </c>
      <c r="AT884" s="8" t="s">
        <v>355</v>
      </c>
      <c r="AU884" s="8" t="s">
        <v>332</v>
      </c>
      <c r="AV884" s="8">
        <v>97.2</v>
      </c>
      <c r="AW884" s="8">
        <v>60</v>
      </c>
      <c r="AX884" s="8" t="s">
        <v>323</v>
      </c>
      <c r="AY884" s="8" t="s">
        <v>224</v>
      </c>
      <c r="AZ884" s="8" t="s">
        <v>361</v>
      </c>
      <c r="BA884" s="21">
        <f>IF(OR(tblsales[[#This Row],[Invoice Value USD]]="",tblsales[[#This Row],[Collected Amount USD]]=""),"",tblsales[[#This Row],[Invoice Value USD]]-tblsales[[#This Row],[Collected Amount USD]])</f>
        <v>329408.21280500013</v>
      </c>
      <c r="BB884" s="21">
        <f>IF(OR(tblsales[[#This Row],[Contract Value USD]]="",tblsales[[#This Row],[Cost Estimate USD]]=""),"",tblsales[[#This Row],[Contract Value USD]]-tblsales[[#This Row],[Cost Estimate USD]])</f>
        <v>2442794.2133489996</v>
      </c>
      <c r="BC884" s="21">
        <f>IF(OR(tblsales[[#This Row],[Contract Value USD]]="",tblsales[[#This Row],[Cost Estimate USD]]=""),"",tblsales[[#This Row],[Contract Value USD]]-tblsales[[#This Row],[Cost Estimate USD]])</f>
        <v>2442794.2133489996</v>
      </c>
      <c r="BD884" s="23">
        <f>IF(tblsales[[#This Row],[Invoice Value USD]]="","",tblsales[[#This Row],[Collected Amount USD]]/tblsales[[#This Row],[Invoice Value USD]])</f>
        <v>0.90616861905793755</v>
      </c>
      <c r="BE884" s="11">
        <f>IF(tblsales[[#This Row],[SalesStage]]="Won",1,0)</f>
        <v>0</v>
      </c>
      <c r="BF884" s="21" t="str">
        <f>IF(tblsales[[#This Row],[Win Flag]]=1,"Won","Lost")</f>
        <v>Lost</v>
      </c>
      <c r="BG884" s="8"/>
    </row>
    <row r="885" spans="1:59" x14ac:dyDescent="0.3">
      <c r="A885" s="10" t="s">
        <v>2932</v>
      </c>
      <c r="B885" s="9">
        <v>45773</v>
      </c>
      <c r="C885" s="10" t="s">
        <v>275</v>
      </c>
      <c r="D885" s="10" t="s">
        <v>245</v>
      </c>
      <c r="E885" s="10" t="s">
        <v>332</v>
      </c>
      <c r="F885" s="10" t="s">
        <v>181</v>
      </c>
      <c r="G885" s="10" t="s">
        <v>16</v>
      </c>
      <c r="H885" s="10" t="s">
        <v>212</v>
      </c>
      <c r="I885" s="10" t="s">
        <v>203</v>
      </c>
      <c r="J885" s="10" t="s">
        <v>99</v>
      </c>
      <c r="K885" s="10" t="s">
        <v>184</v>
      </c>
      <c r="L885" s="10" t="s">
        <v>2933</v>
      </c>
      <c r="M885" s="9">
        <v>45719</v>
      </c>
      <c r="N885" s="9">
        <v>45827</v>
      </c>
      <c r="O885" s="9">
        <v>45892</v>
      </c>
      <c r="P885" s="11">
        <v>34</v>
      </c>
      <c r="Q885" s="12">
        <v>2042057</v>
      </c>
      <c r="R885">
        <v>2370828.1770000001</v>
      </c>
      <c r="S885" s="22">
        <v>0.3</v>
      </c>
      <c r="T885" s="22">
        <v>0.18</v>
      </c>
      <c r="U885" s="12">
        <v>1686739.08</v>
      </c>
      <c r="V885" s="24">
        <v>1958304.0718800002</v>
      </c>
      <c r="W885" s="8">
        <v>1302746.74</v>
      </c>
      <c r="X885" s="24">
        <v>1512488.96514</v>
      </c>
      <c r="Y885" s="22">
        <v>0.22</v>
      </c>
      <c r="Z885" s="22">
        <v>0.15</v>
      </c>
      <c r="AA885" s="8" t="s">
        <v>2934</v>
      </c>
      <c r="AB885" s="8">
        <v>152148.78</v>
      </c>
      <c r="AC885" s="24">
        <v>176644.73358</v>
      </c>
      <c r="AD885" s="8">
        <v>90865.89</v>
      </c>
      <c r="AE885" s="24">
        <v>105495.29829000001</v>
      </c>
      <c r="AF885" s="8">
        <v>30</v>
      </c>
      <c r="AG885" s="8">
        <v>150</v>
      </c>
      <c r="AH885" s="8" t="s">
        <v>347</v>
      </c>
      <c r="AI885" s="8" t="s">
        <v>320</v>
      </c>
      <c r="AJ885" s="22">
        <v>0.66</v>
      </c>
      <c r="AK885" s="8" t="s">
        <v>159</v>
      </c>
      <c r="AL885" s="22">
        <v>0.1</v>
      </c>
      <c r="AM885" s="22">
        <v>0.03</v>
      </c>
      <c r="AN885" s="8">
        <v>12</v>
      </c>
      <c r="AO885" s="8">
        <v>1254</v>
      </c>
      <c r="AP885" s="8">
        <v>360905.37</v>
      </c>
      <c r="AQ885" s="24">
        <v>419011.13456999999</v>
      </c>
      <c r="AR885" s="8"/>
      <c r="AS885" s="37"/>
      <c r="AT885" s="8" t="s">
        <v>355</v>
      </c>
      <c r="AU885" s="8" t="s">
        <v>322</v>
      </c>
      <c r="AV885" s="8">
        <v>96.3</v>
      </c>
      <c r="AW885" s="8">
        <v>24</v>
      </c>
      <c r="AX885" s="8" t="s">
        <v>332</v>
      </c>
      <c r="AY885" s="8" t="s">
        <v>192</v>
      </c>
      <c r="AZ885" s="8" t="s">
        <v>377</v>
      </c>
      <c r="BA885" s="21">
        <f>IF(OR(tblsales[[#This Row],[Invoice Value USD]]="",tblsales[[#This Row],[Collected Amount USD]]=""),"",tblsales[[#This Row],[Invoice Value USD]]-tblsales[[#This Row],[Collected Amount USD]])</f>
        <v>71149.435289999994</v>
      </c>
      <c r="BB885" s="21">
        <f>IF(OR(tblsales[[#This Row],[Contract Value USD]]="",tblsales[[#This Row],[Cost Estimate USD]]=""),"",tblsales[[#This Row],[Contract Value USD]]-tblsales[[#This Row],[Cost Estimate USD]])</f>
        <v>445815.10674000019</v>
      </c>
      <c r="BC885" s="21">
        <f>IF(OR(tblsales[[#This Row],[Contract Value USD]]="",tblsales[[#This Row],[Cost Estimate USD]]=""),"",tblsales[[#This Row],[Contract Value USD]]-tblsales[[#This Row],[Cost Estimate USD]])</f>
        <v>445815.10674000019</v>
      </c>
      <c r="BD885" s="23">
        <f>IF(tblsales[[#This Row],[Invoice Value USD]]="","",tblsales[[#This Row],[Collected Amount USD]]/tblsales[[#This Row],[Invoice Value USD]])</f>
        <v>0.59721734213051203</v>
      </c>
      <c r="BE885" s="11">
        <f>IF(tblsales[[#This Row],[SalesStage]]="Won",1,0)</f>
        <v>1</v>
      </c>
      <c r="BF885" s="21" t="str">
        <f>IF(tblsales[[#This Row],[Win Flag]]=1,"Won","Lost")</f>
        <v>Won</v>
      </c>
      <c r="BG885" s="8"/>
    </row>
    <row r="886" spans="1:59" x14ac:dyDescent="0.3">
      <c r="A886" s="10" t="s">
        <v>2935</v>
      </c>
      <c r="B886" s="9">
        <v>45671</v>
      </c>
      <c r="C886" s="10" t="s">
        <v>235</v>
      </c>
      <c r="D886" s="10" t="s">
        <v>281</v>
      </c>
      <c r="E886" s="10" t="s">
        <v>20</v>
      </c>
      <c r="F886" s="10" t="s">
        <v>196</v>
      </c>
      <c r="G886" s="10" t="s">
        <v>66</v>
      </c>
      <c r="H886" s="10" t="s">
        <v>263</v>
      </c>
      <c r="I886" s="10" t="s">
        <v>198</v>
      </c>
      <c r="J886" s="10" t="s">
        <v>136</v>
      </c>
      <c r="K886" s="10" t="s">
        <v>221</v>
      </c>
      <c r="L886" s="10" t="s">
        <v>2936</v>
      </c>
      <c r="M886" s="9">
        <v>45661</v>
      </c>
      <c r="N886" s="9"/>
      <c r="O886" s="9">
        <v>45721</v>
      </c>
      <c r="P886" s="11">
        <v>52</v>
      </c>
      <c r="Q886" s="12">
        <v>9466762</v>
      </c>
      <c r="R886">
        <v>10990910.682</v>
      </c>
      <c r="S886" s="22">
        <v>0.16</v>
      </c>
      <c r="T886" s="22">
        <v>0.18</v>
      </c>
      <c r="U886" s="12">
        <v>9383454.4900000002</v>
      </c>
      <c r="V886" s="24">
        <v>10894190.66289</v>
      </c>
      <c r="W886" s="8">
        <v>6213587.9100000001</v>
      </c>
      <c r="X886" s="24">
        <v>7213975.5635100007</v>
      </c>
      <c r="Y886" s="22">
        <v>0.33</v>
      </c>
      <c r="Z886" s="22">
        <v>0.16</v>
      </c>
      <c r="AA886" s="8"/>
      <c r="AB886" s="8">
        <v>2638547.09</v>
      </c>
      <c r="AC886" s="24">
        <v>3063353.1714900001</v>
      </c>
      <c r="AD886" s="8">
        <v>941953.51</v>
      </c>
      <c r="AE886" s="24">
        <v>1093608.02511</v>
      </c>
      <c r="AF886" s="8">
        <v>60</v>
      </c>
      <c r="AG886" s="8">
        <v>48</v>
      </c>
      <c r="AH886" s="8" t="s">
        <v>376</v>
      </c>
      <c r="AI886" s="8" t="s">
        <v>320</v>
      </c>
      <c r="AJ886" s="22">
        <v>0.28999999999999998</v>
      </c>
      <c r="AK886" s="8" t="s">
        <v>159</v>
      </c>
      <c r="AL886" s="22">
        <v>0.15</v>
      </c>
      <c r="AM886" s="22">
        <v>0.03</v>
      </c>
      <c r="AN886" s="8">
        <v>2</v>
      </c>
      <c r="AO886" s="8">
        <v>4535</v>
      </c>
      <c r="AP886" s="8">
        <v>1828786.68</v>
      </c>
      <c r="AQ886" s="24">
        <v>2123221.3354799999</v>
      </c>
      <c r="AR886" s="8"/>
      <c r="AS886" s="37"/>
      <c r="AT886" s="8" t="s">
        <v>391</v>
      </c>
      <c r="AU886" s="8" t="s">
        <v>322</v>
      </c>
      <c r="AV886" s="8">
        <v>63.2</v>
      </c>
      <c r="AW886" s="8">
        <v>36</v>
      </c>
      <c r="AX886" s="8" t="s">
        <v>323</v>
      </c>
      <c r="AY886" s="8" t="s">
        <v>206</v>
      </c>
      <c r="AZ886" s="8" t="s">
        <v>188</v>
      </c>
      <c r="BA886" s="21">
        <f>IF(OR(tblsales[[#This Row],[Invoice Value USD]]="",tblsales[[#This Row],[Collected Amount USD]]=""),"",tblsales[[#This Row],[Invoice Value USD]]-tblsales[[#This Row],[Collected Amount USD]])</f>
        <v>1969745.14638</v>
      </c>
      <c r="BB886" s="21">
        <f>IF(OR(tblsales[[#This Row],[Contract Value USD]]="",tblsales[[#This Row],[Cost Estimate USD]]=""),"",tblsales[[#This Row],[Contract Value USD]]-tblsales[[#This Row],[Cost Estimate USD]])</f>
        <v>3680215.0993799996</v>
      </c>
      <c r="BC886" s="21">
        <f>IF(OR(tblsales[[#This Row],[Contract Value USD]]="",tblsales[[#This Row],[Cost Estimate USD]]=""),"",tblsales[[#This Row],[Contract Value USD]]-tblsales[[#This Row],[Cost Estimate USD]])</f>
        <v>3680215.0993799996</v>
      </c>
      <c r="BD886" s="23">
        <f>IF(tblsales[[#This Row],[Invoice Value USD]]="","",tblsales[[#This Row],[Collected Amount USD]]/tblsales[[#This Row],[Invoice Value USD]])</f>
        <v>0.35699704339936567</v>
      </c>
      <c r="BE886" s="11">
        <f>IF(tblsales[[#This Row],[SalesStage]]="Won",1,0)</f>
        <v>1</v>
      </c>
      <c r="BF886" s="21" t="str">
        <f>IF(tblsales[[#This Row],[Win Flag]]=1,"Won","Lost")</f>
        <v>Won</v>
      </c>
      <c r="BG886" s="8"/>
    </row>
    <row r="887" spans="1:59" x14ac:dyDescent="0.3">
      <c r="A887" s="10" t="s">
        <v>2937</v>
      </c>
      <c r="B887" s="9">
        <v>45994</v>
      </c>
      <c r="C887" s="10" t="s">
        <v>261</v>
      </c>
      <c r="D887" s="10" t="s">
        <v>562</v>
      </c>
      <c r="E887" s="10" t="s">
        <v>52</v>
      </c>
      <c r="F887" s="10" t="s">
        <v>75</v>
      </c>
      <c r="G887" s="10" t="s">
        <v>57</v>
      </c>
      <c r="H887" s="10" t="s">
        <v>332</v>
      </c>
      <c r="I887" s="10" t="s">
        <v>183</v>
      </c>
      <c r="J887" s="10" t="s">
        <v>133</v>
      </c>
      <c r="K887" s="10" t="s">
        <v>210</v>
      </c>
      <c r="L887" s="10" t="s">
        <v>2938</v>
      </c>
      <c r="M887" s="9">
        <v>45948</v>
      </c>
      <c r="N887" s="9">
        <v>46042</v>
      </c>
      <c r="O887" s="9">
        <v>46144</v>
      </c>
      <c r="P887" s="11">
        <v>59</v>
      </c>
      <c r="Q887" s="12">
        <v>23666199</v>
      </c>
      <c r="R887">
        <v>6444305.9876999995</v>
      </c>
      <c r="S887" s="22">
        <v>0.32</v>
      </c>
      <c r="T887" s="22">
        <v>0.12</v>
      </c>
      <c r="U887" s="12">
        <v>18024177.16</v>
      </c>
      <c r="V887" s="24">
        <v>4907983.4406679999</v>
      </c>
      <c r="W887" s="8">
        <v>14025956.029999999</v>
      </c>
      <c r="X887" s="24">
        <v>3819267.8269689996</v>
      </c>
      <c r="Y887" s="22">
        <v>0.21</v>
      </c>
      <c r="Z887" s="22">
        <v>0.06</v>
      </c>
      <c r="AA887" s="8" t="s">
        <v>2939</v>
      </c>
      <c r="AB887" s="8">
        <v>4198501.76</v>
      </c>
      <c r="AC887" s="24">
        <v>1143252.0292479999</v>
      </c>
      <c r="AD887" s="8">
        <v>1648631.72</v>
      </c>
      <c r="AE887" s="24">
        <v>448922.41735599999</v>
      </c>
      <c r="AF887" s="8">
        <v>90</v>
      </c>
      <c r="AG887" s="8">
        <v>96</v>
      </c>
      <c r="AH887" s="8" t="s">
        <v>329</v>
      </c>
      <c r="AI887" s="8" t="s">
        <v>320</v>
      </c>
      <c r="AJ887" s="22">
        <v>0.86</v>
      </c>
      <c r="AK887" s="8" t="s">
        <v>153</v>
      </c>
      <c r="AL887" s="22">
        <v>0.05</v>
      </c>
      <c r="AM887" s="22">
        <v>0.09</v>
      </c>
      <c r="AN887" s="8">
        <v>10</v>
      </c>
      <c r="AO887" s="8">
        <v>4403</v>
      </c>
      <c r="AP887" s="8">
        <v>1564746.14</v>
      </c>
      <c r="AQ887" s="24">
        <v>426080.37392199994</v>
      </c>
      <c r="AR887" s="8">
        <v>6611606.6900000004</v>
      </c>
      <c r="AS887" s="37">
        <v>1800340.501687</v>
      </c>
      <c r="AT887" s="8" t="s">
        <v>391</v>
      </c>
      <c r="AU887" s="8" t="s">
        <v>332</v>
      </c>
      <c r="AV887" s="8">
        <v>95.9</v>
      </c>
      <c r="AW887" s="8">
        <v>48</v>
      </c>
      <c r="AX887" s="8" t="s">
        <v>387</v>
      </c>
      <c r="AY887" s="8" t="s">
        <v>206</v>
      </c>
      <c r="AZ887" s="8" t="s">
        <v>377</v>
      </c>
      <c r="BA887" s="21">
        <f>IF(OR(tblsales[[#This Row],[Invoice Value USD]]="",tblsales[[#This Row],[Collected Amount USD]]=""),"",tblsales[[#This Row],[Invoice Value USD]]-tblsales[[#This Row],[Collected Amount USD]])</f>
        <v>694329.61189199984</v>
      </c>
      <c r="BB887" s="21">
        <f>IF(OR(tblsales[[#This Row],[Contract Value USD]]="",tblsales[[#This Row],[Cost Estimate USD]]=""),"",tblsales[[#This Row],[Contract Value USD]]-tblsales[[#This Row],[Cost Estimate USD]])</f>
        <v>1088715.6136990003</v>
      </c>
      <c r="BC887" s="21">
        <f>IF(OR(tblsales[[#This Row],[Contract Value USD]]="",tblsales[[#This Row],[Cost Estimate USD]]=""),"",tblsales[[#This Row],[Contract Value USD]]-tblsales[[#This Row],[Cost Estimate USD]])</f>
        <v>1088715.6136990003</v>
      </c>
      <c r="BD887" s="23">
        <f>IF(tblsales[[#This Row],[Invoice Value USD]]="","",tblsales[[#This Row],[Collected Amount USD]]/tblsales[[#This Row],[Invoice Value USD]])</f>
        <v>0.39267143715571529</v>
      </c>
      <c r="BE887" s="11">
        <f>IF(tblsales[[#This Row],[SalesStage]]="Won",1,0)</f>
        <v>1</v>
      </c>
      <c r="BF887" s="21" t="str">
        <f>IF(tblsales[[#This Row],[Win Flag]]=1,"Won","Lost")</f>
        <v>Won</v>
      </c>
      <c r="BG887" s="8"/>
    </row>
    <row r="888" spans="1:59" x14ac:dyDescent="0.3">
      <c r="A888" s="10" t="s">
        <v>2940</v>
      </c>
      <c r="B888" s="9">
        <v>45838</v>
      </c>
      <c r="C888" s="10" t="s">
        <v>252</v>
      </c>
      <c r="D888" s="10" t="s">
        <v>232</v>
      </c>
      <c r="E888" s="10" t="s">
        <v>36</v>
      </c>
      <c r="F888" s="10" t="s">
        <v>339</v>
      </c>
      <c r="G888" s="10" t="s">
        <v>50</v>
      </c>
      <c r="H888" s="10" t="s">
        <v>212</v>
      </c>
      <c r="I888" s="10" t="s">
        <v>198</v>
      </c>
      <c r="J888" s="10" t="s">
        <v>115</v>
      </c>
      <c r="K888" s="10" t="s">
        <v>184</v>
      </c>
      <c r="L888" s="10" t="s">
        <v>2941</v>
      </c>
      <c r="M888" s="9">
        <v>45781</v>
      </c>
      <c r="N888" s="9"/>
      <c r="O888" s="9">
        <v>45878</v>
      </c>
      <c r="P888" s="11"/>
      <c r="Q888" s="12">
        <v>41692319</v>
      </c>
      <c r="R888">
        <v>11452880.029300001</v>
      </c>
      <c r="S888" s="22">
        <v>0.21</v>
      </c>
      <c r="T888" s="22">
        <v>-0.01</v>
      </c>
      <c r="U888" s="12">
        <v>32607562.690000001</v>
      </c>
      <c r="V888" s="24">
        <v>8957297.4709430002</v>
      </c>
      <c r="W888" s="8">
        <v>22944388.920000002</v>
      </c>
      <c r="X888" s="24">
        <v>6302823.6363240005</v>
      </c>
      <c r="Y888" s="22">
        <v>0.09</v>
      </c>
      <c r="Z888" s="22">
        <v>0.12</v>
      </c>
      <c r="AA888" s="8" t="s">
        <v>2942</v>
      </c>
      <c r="AB888" s="8">
        <v>7967273.96</v>
      </c>
      <c r="AC888" s="24">
        <v>2188610.1568120001</v>
      </c>
      <c r="AD888" s="8">
        <v>4184876.37</v>
      </c>
      <c r="AE888" s="24">
        <v>1149585.538839</v>
      </c>
      <c r="AF888" s="8">
        <v>45</v>
      </c>
      <c r="AG888" s="8">
        <v>60</v>
      </c>
      <c r="AH888" s="8" t="s">
        <v>342</v>
      </c>
      <c r="AI888" s="8" t="s">
        <v>320</v>
      </c>
      <c r="AJ888" s="22">
        <v>0.89</v>
      </c>
      <c r="AK888" s="8" t="s">
        <v>155</v>
      </c>
      <c r="AL888" s="22">
        <v>0.15</v>
      </c>
      <c r="AM888" s="22">
        <v>0.02</v>
      </c>
      <c r="AN888" s="8">
        <v>13</v>
      </c>
      <c r="AO888" s="8">
        <v>4742</v>
      </c>
      <c r="AP888" s="8">
        <v>3994144.8</v>
      </c>
      <c r="AQ888" s="24">
        <v>1097191.57656</v>
      </c>
      <c r="AR888" s="8">
        <v>6217121.5199999996</v>
      </c>
      <c r="AS888" s="37">
        <v>1707843.2815439999</v>
      </c>
      <c r="AT888" s="8" t="s">
        <v>355</v>
      </c>
      <c r="AU888" s="8" t="s">
        <v>321</v>
      </c>
      <c r="AV888" s="8">
        <v>75.3</v>
      </c>
      <c r="AW888" s="8">
        <v>12</v>
      </c>
      <c r="AX888" s="8" t="s">
        <v>332</v>
      </c>
      <c r="AY888" s="8" t="s">
        <v>224</v>
      </c>
      <c r="AZ888" s="8" t="s">
        <v>188</v>
      </c>
      <c r="BA888" s="21">
        <f>IF(OR(tblsales[[#This Row],[Invoice Value USD]]="",tblsales[[#This Row],[Collected Amount USD]]=""),"",tblsales[[#This Row],[Invoice Value USD]]-tblsales[[#This Row],[Collected Amount USD]])</f>
        <v>1039024.617973</v>
      </c>
      <c r="BB888" s="21">
        <f>IF(OR(tblsales[[#This Row],[Contract Value USD]]="",tblsales[[#This Row],[Cost Estimate USD]]=""),"",tblsales[[#This Row],[Contract Value USD]]-tblsales[[#This Row],[Cost Estimate USD]])</f>
        <v>2654473.8346189996</v>
      </c>
      <c r="BC888" s="21">
        <f>IF(OR(tblsales[[#This Row],[Contract Value USD]]="",tblsales[[#This Row],[Cost Estimate USD]]=""),"",tblsales[[#This Row],[Contract Value USD]]-tblsales[[#This Row],[Cost Estimate USD]])</f>
        <v>2654473.8346189996</v>
      </c>
      <c r="BD888" s="23">
        <f>IF(tblsales[[#This Row],[Invoice Value USD]]="","",tblsales[[#This Row],[Collected Amount USD]]/tblsales[[#This Row],[Invoice Value USD]])</f>
        <v>0.52525824905862784</v>
      </c>
      <c r="BE888" s="11">
        <f>IF(tblsales[[#This Row],[SalesStage]]="Won",1,0)</f>
        <v>1</v>
      </c>
      <c r="BF888" s="21" t="str">
        <f>IF(tblsales[[#This Row],[Win Flag]]=1,"Won","Lost")</f>
        <v>Won</v>
      </c>
      <c r="BG888" s="8"/>
    </row>
    <row r="889" spans="1:59" x14ac:dyDescent="0.3">
      <c r="A889" s="10" t="s">
        <v>2943</v>
      </c>
      <c r="B889" s="9">
        <v>45745</v>
      </c>
      <c r="C889" s="10" t="s">
        <v>230</v>
      </c>
      <c r="D889" s="10" t="s">
        <v>242</v>
      </c>
      <c r="E889" s="10" t="s">
        <v>41</v>
      </c>
      <c r="F889" s="10" t="s">
        <v>350</v>
      </c>
      <c r="G889" s="10" t="s">
        <v>66</v>
      </c>
      <c r="H889" s="10" t="s">
        <v>212</v>
      </c>
      <c r="I889" s="10" t="s">
        <v>198</v>
      </c>
      <c r="J889" s="10" t="s">
        <v>130</v>
      </c>
      <c r="K889" s="10" t="s">
        <v>326</v>
      </c>
      <c r="L889" s="10" t="s">
        <v>2944</v>
      </c>
      <c r="M889" s="9">
        <v>45749</v>
      </c>
      <c r="N889" s="9">
        <v>45752</v>
      </c>
      <c r="O889" s="9">
        <v>45839</v>
      </c>
      <c r="P889" s="11">
        <v>19</v>
      </c>
      <c r="Q889" s="12">
        <v>23436057</v>
      </c>
      <c r="R889">
        <v>6381638.3210999994</v>
      </c>
      <c r="S889" s="22">
        <v>0.19</v>
      </c>
      <c r="T889" s="22">
        <v>0.04</v>
      </c>
      <c r="U889" s="12">
        <v>19742534.420000002</v>
      </c>
      <c r="V889" s="24">
        <v>5375892.1225660006</v>
      </c>
      <c r="W889" s="8">
        <v>12581851.949999999</v>
      </c>
      <c r="X889" s="24">
        <v>3426038.2859849995</v>
      </c>
      <c r="Y889" s="22">
        <v>0.26</v>
      </c>
      <c r="Z889" s="22">
        <v>0.09</v>
      </c>
      <c r="AA889" s="8" t="s">
        <v>2945</v>
      </c>
      <c r="AB889" s="8">
        <v>16878886.82</v>
      </c>
      <c r="AC889" s="24">
        <v>4596120.8810860002</v>
      </c>
      <c r="AD889" s="8">
        <v>18420383.600000001</v>
      </c>
      <c r="AE889" s="24">
        <v>5015870.4542800002</v>
      </c>
      <c r="AF889" s="8">
        <v>60</v>
      </c>
      <c r="AG889" s="8">
        <v>170</v>
      </c>
      <c r="AH889" s="8" t="s">
        <v>342</v>
      </c>
      <c r="AI889" s="8" t="s">
        <v>226</v>
      </c>
      <c r="AJ889" s="22">
        <v>0.24</v>
      </c>
      <c r="AK889" s="8" t="s">
        <v>153</v>
      </c>
      <c r="AL889" s="22">
        <v>0.05</v>
      </c>
      <c r="AM889" s="22">
        <v>7.0000000000000007E-2</v>
      </c>
      <c r="AN889" s="8">
        <v>10</v>
      </c>
      <c r="AO889" s="8">
        <v>1069</v>
      </c>
      <c r="AP889" s="8">
        <v>2356426.04</v>
      </c>
      <c r="AQ889" s="24">
        <v>641654.81069199997</v>
      </c>
      <c r="AR889" s="8">
        <v>3957209.22</v>
      </c>
      <c r="AS889" s="37">
        <v>1077548.070606</v>
      </c>
      <c r="AT889" s="8" t="s">
        <v>355</v>
      </c>
      <c r="AU889" s="8" t="s">
        <v>386</v>
      </c>
      <c r="AV889" s="8"/>
      <c r="AW889" s="8"/>
      <c r="AX889" s="8" t="s">
        <v>332</v>
      </c>
      <c r="AY889" s="8" t="s">
        <v>229</v>
      </c>
      <c r="AZ889" s="8" t="s">
        <v>377</v>
      </c>
      <c r="BA889" s="21">
        <f>IF(OR(tblsales[[#This Row],[Invoice Value USD]]="",tblsales[[#This Row],[Collected Amount USD]]=""),"",tblsales[[#This Row],[Invoice Value USD]]-tblsales[[#This Row],[Collected Amount USD]])</f>
        <v>-419749.57319399994</v>
      </c>
      <c r="BB889" s="21">
        <f>IF(OR(tblsales[[#This Row],[Contract Value USD]]="",tblsales[[#This Row],[Cost Estimate USD]]=""),"",tblsales[[#This Row],[Contract Value USD]]-tblsales[[#This Row],[Cost Estimate USD]])</f>
        <v>1949853.8365810011</v>
      </c>
      <c r="BC889" s="21">
        <f>IF(OR(tblsales[[#This Row],[Contract Value USD]]="",tblsales[[#This Row],[Cost Estimate USD]]=""),"",tblsales[[#This Row],[Contract Value USD]]-tblsales[[#This Row],[Cost Estimate USD]])</f>
        <v>1949853.8365810011</v>
      </c>
      <c r="BD889" s="23">
        <f>IF(tblsales[[#This Row],[Invoice Value USD]]="","",tblsales[[#This Row],[Collected Amount USD]]/tblsales[[#This Row],[Invoice Value USD]])</f>
        <v>1.0913269219966248</v>
      </c>
      <c r="BE889" s="11">
        <f>IF(tblsales[[#This Row],[SalesStage]]="Won",1,0)</f>
        <v>0</v>
      </c>
      <c r="BF889" s="21" t="str">
        <f>IF(tblsales[[#This Row],[Win Flag]]=1,"Won","Lost")</f>
        <v>Lost</v>
      </c>
      <c r="BG889" s="8"/>
    </row>
    <row r="890" spans="1:59" x14ac:dyDescent="0.3">
      <c r="A890" s="10" t="s">
        <v>2946</v>
      </c>
      <c r="B890" s="9">
        <v>45786</v>
      </c>
      <c r="C890" s="10" t="s">
        <v>249</v>
      </c>
      <c r="D890" s="10" t="s">
        <v>238</v>
      </c>
      <c r="E890" s="10" t="s">
        <v>113</v>
      </c>
      <c r="F890" s="10" t="s">
        <v>181</v>
      </c>
      <c r="G890" s="10" t="s">
        <v>38</v>
      </c>
      <c r="H890" s="10" t="s">
        <v>182</v>
      </c>
      <c r="I890" s="10" t="s">
        <v>203</v>
      </c>
      <c r="J890" s="10" t="s">
        <v>127</v>
      </c>
      <c r="K890" s="10" t="s">
        <v>184</v>
      </c>
      <c r="L890" s="10" t="s">
        <v>2947</v>
      </c>
      <c r="M890" s="9">
        <v>45902</v>
      </c>
      <c r="N890" s="9"/>
      <c r="O890" s="9"/>
      <c r="P890" s="11">
        <v>7</v>
      </c>
      <c r="Q890" s="12">
        <v>40924246</v>
      </c>
      <c r="R890">
        <v>40924246</v>
      </c>
      <c r="S890" s="22">
        <v>0.32</v>
      </c>
      <c r="T890" s="22">
        <v>0.03</v>
      </c>
      <c r="U890" s="12">
        <v>28663341.899999999</v>
      </c>
      <c r="V890" s="24">
        <v>28663341.899999999</v>
      </c>
      <c r="W890" s="8"/>
      <c r="X890" s="24"/>
      <c r="Y890" s="22"/>
      <c r="Z890" s="22">
        <v>7.0000000000000007E-2</v>
      </c>
      <c r="AA890" s="8" t="s">
        <v>2948</v>
      </c>
      <c r="AB890" s="8">
        <v>9361774.4800000004</v>
      </c>
      <c r="AC890" s="24">
        <v>9361774.4800000004</v>
      </c>
      <c r="AD890" s="8">
        <v>10292938.039999999</v>
      </c>
      <c r="AE890" s="24">
        <v>10292938.039999999</v>
      </c>
      <c r="AF890" s="8">
        <v>90</v>
      </c>
      <c r="AG890" s="8">
        <v>177</v>
      </c>
      <c r="AH890" s="8" t="s">
        <v>376</v>
      </c>
      <c r="AI890" s="8" t="s">
        <v>226</v>
      </c>
      <c r="AJ890" s="22">
        <v>0.95</v>
      </c>
      <c r="AK890" s="8" t="s">
        <v>152</v>
      </c>
      <c r="AL890" s="22">
        <v>0.05</v>
      </c>
      <c r="AM890" s="22">
        <v>0.01</v>
      </c>
      <c r="AN890" s="8">
        <v>11</v>
      </c>
      <c r="AO890" s="8">
        <v>2946</v>
      </c>
      <c r="AP890" s="8">
        <v>4412912.91</v>
      </c>
      <c r="AQ890" s="24">
        <v>4412912.91</v>
      </c>
      <c r="AR890" s="8">
        <v>6984020.3099999996</v>
      </c>
      <c r="AS890" s="37">
        <v>6984020.3099999996</v>
      </c>
      <c r="AT890" s="8" t="s">
        <v>321</v>
      </c>
      <c r="AU890" s="8" t="s">
        <v>386</v>
      </c>
      <c r="AV890" s="8">
        <v>55.1</v>
      </c>
      <c r="AW890" s="8">
        <v>24</v>
      </c>
      <c r="AX890" s="8" t="s">
        <v>387</v>
      </c>
      <c r="AY890" s="8" t="s">
        <v>229</v>
      </c>
      <c r="AZ890" s="8" t="s">
        <v>324</v>
      </c>
      <c r="BA890" s="21">
        <f>IF(OR(tblsales[[#This Row],[Invoice Value USD]]="",tblsales[[#This Row],[Collected Amount USD]]=""),"",tblsales[[#This Row],[Invoice Value USD]]-tblsales[[#This Row],[Collected Amount USD]])</f>
        <v>-931163.55999999866</v>
      </c>
      <c r="BB890" s="21" t="str">
        <f>IF(OR(tblsales[[#This Row],[Contract Value USD]]="",tblsales[[#This Row],[Cost Estimate USD]]=""),"",tblsales[[#This Row],[Contract Value USD]]-tblsales[[#This Row],[Cost Estimate USD]])</f>
        <v/>
      </c>
      <c r="BC890" s="21" t="str">
        <f>IF(OR(tblsales[[#This Row],[Contract Value USD]]="",tblsales[[#This Row],[Cost Estimate USD]]=""),"",tblsales[[#This Row],[Contract Value USD]]-tblsales[[#This Row],[Cost Estimate USD]])</f>
        <v/>
      </c>
      <c r="BD890" s="23">
        <f>IF(tblsales[[#This Row],[Invoice Value USD]]="","",tblsales[[#This Row],[Collected Amount USD]]/tblsales[[#This Row],[Invoice Value USD]])</f>
        <v>1.0994644297391789</v>
      </c>
      <c r="BE890" s="11">
        <f>IF(tblsales[[#This Row],[SalesStage]]="Won",1,0)</f>
        <v>0</v>
      </c>
      <c r="BF890" s="21" t="str">
        <f>IF(tblsales[[#This Row],[Win Flag]]=1,"Won","Lost")</f>
        <v>Lost</v>
      </c>
      <c r="BG890" s="8"/>
    </row>
    <row r="891" spans="1:59" x14ac:dyDescent="0.3">
      <c r="A891" s="10" t="s">
        <v>2949</v>
      </c>
      <c r="B891" s="9">
        <v>45747</v>
      </c>
      <c r="C891" s="10" t="s">
        <v>272</v>
      </c>
      <c r="D891" s="10" t="s">
        <v>265</v>
      </c>
      <c r="E891" s="10" t="s">
        <v>36</v>
      </c>
      <c r="F891" s="10" t="s">
        <v>339</v>
      </c>
      <c r="G891" s="10" t="s">
        <v>38</v>
      </c>
      <c r="H891" s="10" t="s">
        <v>236</v>
      </c>
      <c r="I891" s="10" t="s">
        <v>191</v>
      </c>
      <c r="J891" s="10" t="s">
        <v>115</v>
      </c>
      <c r="K891" s="10" t="s">
        <v>199</v>
      </c>
      <c r="L891" s="10" t="s">
        <v>2950</v>
      </c>
      <c r="M891" s="9">
        <v>45705</v>
      </c>
      <c r="N891" s="9"/>
      <c r="O891" s="9"/>
      <c r="P891" s="11"/>
      <c r="Q891" s="12">
        <v>40114147</v>
      </c>
      <c r="R891">
        <v>46572524.667000003</v>
      </c>
      <c r="S891" s="22">
        <v>0.14000000000000001</v>
      </c>
      <c r="T891" s="22">
        <v>0.13</v>
      </c>
      <c r="U891" s="12">
        <v>38982928.049999997</v>
      </c>
      <c r="V891" s="24">
        <v>45259179.466049999</v>
      </c>
      <c r="W891" s="8">
        <v>26450494.539999999</v>
      </c>
      <c r="X891" s="24">
        <v>30709024.160939999</v>
      </c>
      <c r="Y891" s="22">
        <v>0.09</v>
      </c>
      <c r="Z891" s="22">
        <v>0.14000000000000001</v>
      </c>
      <c r="AA891" s="8" t="s">
        <v>2951</v>
      </c>
      <c r="AB891" s="8">
        <v>29945449.670000002</v>
      </c>
      <c r="AC891" s="24">
        <v>34766667.066870004</v>
      </c>
      <c r="AD891" s="8"/>
      <c r="AE891" s="24"/>
      <c r="AF891" s="8">
        <v>120</v>
      </c>
      <c r="AG891" s="8">
        <v>66</v>
      </c>
      <c r="AH891" s="8" t="s">
        <v>329</v>
      </c>
      <c r="AI891" s="8" t="s">
        <v>320</v>
      </c>
      <c r="AJ891" s="22">
        <v>0.28000000000000003</v>
      </c>
      <c r="AK891" s="8" t="s">
        <v>159</v>
      </c>
      <c r="AL891" s="22">
        <v>0.15</v>
      </c>
      <c r="AM891" s="22">
        <v>0.06</v>
      </c>
      <c r="AN891" s="8">
        <v>2</v>
      </c>
      <c r="AO891" s="8">
        <v>1462</v>
      </c>
      <c r="AP891" s="8">
        <v>8168932.4800000004</v>
      </c>
      <c r="AQ891" s="24">
        <v>9484130.6092800014</v>
      </c>
      <c r="AR891" s="8">
        <v>19408602.280000001</v>
      </c>
      <c r="AS891" s="37">
        <v>22533387.247080002</v>
      </c>
      <c r="AT891" s="8" t="s">
        <v>343</v>
      </c>
      <c r="AU891" s="8" t="s">
        <v>321</v>
      </c>
      <c r="AV891" s="8">
        <v>91.9</v>
      </c>
      <c r="AW891" s="8">
        <v>48</v>
      </c>
      <c r="AX891" s="8" t="s">
        <v>392</v>
      </c>
      <c r="AY891" s="8" t="s">
        <v>186</v>
      </c>
      <c r="AZ891" s="8" t="s">
        <v>332</v>
      </c>
      <c r="BA891" s="21" t="str">
        <f>IF(OR(tblsales[[#This Row],[Invoice Value USD]]="",tblsales[[#This Row],[Collected Amount USD]]=""),"",tblsales[[#This Row],[Invoice Value USD]]-tblsales[[#This Row],[Collected Amount USD]])</f>
        <v/>
      </c>
      <c r="BB891" s="21">
        <f>IF(OR(tblsales[[#This Row],[Contract Value USD]]="",tblsales[[#This Row],[Cost Estimate USD]]=""),"",tblsales[[#This Row],[Contract Value USD]]-tblsales[[#This Row],[Cost Estimate USD]])</f>
        <v>14550155.30511</v>
      </c>
      <c r="BC891" s="21">
        <f>IF(OR(tblsales[[#This Row],[Contract Value USD]]="",tblsales[[#This Row],[Cost Estimate USD]]=""),"",tblsales[[#This Row],[Contract Value USD]]-tblsales[[#This Row],[Cost Estimate USD]])</f>
        <v>14550155.30511</v>
      </c>
      <c r="BD891" s="23">
        <f>IF(tblsales[[#This Row],[Invoice Value USD]]="","",tblsales[[#This Row],[Collected Amount USD]]/tblsales[[#This Row],[Invoice Value USD]])</f>
        <v>0</v>
      </c>
      <c r="BE891" s="11">
        <f>IF(tblsales[[#This Row],[SalesStage]]="Won",1,0)</f>
        <v>1</v>
      </c>
      <c r="BF891" s="21" t="str">
        <f>IF(tblsales[[#This Row],[Win Flag]]=1,"Won","Lost")</f>
        <v>Won</v>
      </c>
      <c r="BG891" s="8"/>
    </row>
    <row r="892" spans="1:59" x14ac:dyDescent="0.3">
      <c r="A892" s="10" t="s">
        <v>2952</v>
      </c>
      <c r="B892" s="9">
        <v>45688</v>
      </c>
      <c r="C892" s="10" t="s">
        <v>231</v>
      </c>
      <c r="D892" s="10" t="s">
        <v>190</v>
      </c>
      <c r="E892" s="10" t="s">
        <v>20</v>
      </c>
      <c r="F892" s="10" t="s">
        <v>35</v>
      </c>
      <c r="G892" s="10" t="s">
        <v>28</v>
      </c>
      <c r="H892" s="10" t="s">
        <v>182</v>
      </c>
      <c r="I892" s="10" t="s">
        <v>240</v>
      </c>
      <c r="J892" s="10" t="s">
        <v>136</v>
      </c>
      <c r="K892" s="10" t="s">
        <v>210</v>
      </c>
      <c r="L892" s="10" t="s">
        <v>2953</v>
      </c>
      <c r="M892" s="9">
        <v>45654</v>
      </c>
      <c r="N892" s="9">
        <v>45903</v>
      </c>
      <c r="O892" s="9">
        <v>45771</v>
      </c>
      <c r="P892" s="11">
        <v>55</v>
      </c>
      <c r="Q892" s="12">
        <v>17763720</v>
      </c>
      <c r="R892">
        <v>17763720</v>
      </c>
      <c r="S892" s="22">
        <v>0.28999999999999998</v>
      </c>
      <c r="T892" s="22">
        <v>-0.01</v>
      </c>
      <c r="U892" s="12">
        <v>12486118.789999999</v>
      </c>
      <c r="V892" s="24">
        <v>12486118.789999999</v>
      </c>
      <c r="W892" s="8">
        <v>7587195.4800000004</v>
      </c>
      <c r="X892" s="24">
        <v>7587195.4800000004</v>
      </c>
      <c r="Y892" s="22">
        <v>0.3</v>
      </c>
      <c r="Z892" s="22">
        <v>7.0000000000000007E-2</v>
      </c>
      <c r="AA892" s="8" t="s">
        <v>2954</v>
      </c>
      <c r="AB892" s="8">
        <v>7512145.0300000003</v>
      </c>
      <c r="AC892" s="24">
        <v>7512145.0300000003</v>
      </c>
      <c r="AD892" s="8">
        <v>7605929.1699999999</v>
      </c>
      <c r="AE892" s="24">
        <v>7605929.1699999999</v>
      </c>
      <c r="AF892" s="8">
        <v>60</v>
      </c>
      <c r="AG892" s="8">
        <v>150</v>
      </c>
      <c r="AH892" s="8" t="s">
        <v>332</v>
      </c>
      <c r="AI892" s="8" t="s">
        <v>381</v>
      </c>
      <c r="AJ892" s="22">
        <v>0.1</v>
      </c>
      <c r="AK892" s="8" t="s">
        <v>152</v>
      </c>
      <c r="AL892" s="22">
        <v>0.1</v>
      </c>
      <c r="AM892" s="22">
        <v>0.03</v>
      </c>
      <c r="AN892" s="8">
        <v>6</v>
      </c>
      <c r="AO892" s="8">
        <v>947</v>
      </c>
      <c r="AP892" s="8">
        <v>1360398.95</v>
      </c>
      <c r="AQ892" s="24">
        <v>1360398.95</v>
      </c>
      <c r="AR892" s="8">
        <v>1592537.27</v>
      </c>
      <c r="AS892" s="37">
        <v>1592537.27</v>
      </c>
      <c r="AT892" s="8" t="s">
        <v>385</v>
      </c>
      <c r="AU892" s="8" t="s">
        <v>386</v>
      </c>
      <c r="AV892" s="8">
        <v>85</v>
      </c>
      <c r="AW892" s="8">
        <v>12</v>
      </c>
      <c r="AX892" s="8" t="s">
        <v>387</v>
      </c>
      <c r="AY892" s="8" t="s">
        <v>224</v>
      </c>
      <c r="AZ892" s="8" t="s">
        <v>361</v>
      </c>
      <c r="BA892" s="21">
        <f>IF(OR(tblsales[[#This Row],[Invoice Value USD]]="",tblsales[[#This Row],[Collected Amount USD]]=""),"",tblsales[[#This Row],[Invoice Value USD]]-tblsales[[#This Row],[Collected Amount USD]])</f>
        <v>-93784.139999999665</v>
      </c>
      <c r="BB892" s="21">
        <f>IF(OR(tblsales[[#This Row],[Contract Value USD]]="",tblsales[[#This Row],[Cost Estimate USD]]=""),"",tblsales[[#This Row],[Contract Value USD]]-tblsales[[#This Row],[Cost Estimate USD]])</f>
        <v>4898923.3099999987</v>
      </c>
      <c r="BC892" s="21">
        <f>IF(OR(tblsales[[#This Row],[Contract Value USD]]="",tblsales[[#This Row],[Cost Estimate USD]]=""),"",tblsales[[#This Row],[Contract Value USD]]-tblsales[[#This Row],[Cost Estimate USD]])</f>
        <v>4898923.3099999987</v>
      </c>
      <c r="BD892" s="23">
        <f>IF(tblsales[[#This Row],[Invoice Value USD]]="","",tblsales[[#This Row],[Collected Amount USD]]/tblsales[[#This Row],[Invoice Value USD]])</f>
        <v>1.0124843356492013</v>
      </c>
      <c r="BE892" s="11">
        <f>IF(tblsales[[#This Row],[SalesStage]]="Won",1,0)</f>
        <v>0</v>
      </c>
      <c r="BF892" s="21" t="str">
        <f>IF(tblsales[[#This Row],[Win Flag]]=1,"Won","Lost")</f>
        <v>Lost</v>
      </c>
      <c r="BG892" s="8"/>
    </row>
    <row r="893" spans="1:59" x14ac:dyDescent="0.3">
      <c r="A893" s="10" t="s">
        <v>2955</v>
      </c>
      <c r="B893" s="9">
        <v>46015</v>
      </c>
      <c r="C893" s="10" t="s">
        <v>243</v>
      </c>
      <c r="D893" s="10" t="s">
        <v>394</v>
      </c>
      <c r="E893" s="10" t="s">
        <v>41</v>
      </c>
      <c r="F893" s="10" t="s">
        <v>363</v>
      </c>
      <c r="G893" s="10" t="s">
        <v>38</v>
      </c>
      <c r="H893" s="10" t="s">
        <v>216</v>
      </c>
      <c r="I893" s="10" t="s">
        <v>213</v>
      </c>
      <c r="J893" s="10" t="s">
        <v>105</v>
      </c>
      <c r="K893" s="10" t="s">
        <v>333</v>
      </c>
      <c r="L893" s="10" t="s">
        <v>2956</v>
      </c>
      <c r="M893" s="9">
        <v>45911</v>
      </c>
      <c r="N893" s="9">
        <v>46053</v>
      </c>
      <c r="O893" s="9">
        <v>46103</v>
      </c>
      <c r="P893" s="11">
        <v>23</v>
      </c>
      <c r="Q893" s="12">
        <v>24406563</v>
      </c>
      <c r="R893">
        <v>28336019.642999999</v>
      </c>
      <c r="S893" s="22">
        <v>0.32</v>
      </c>
      <c r="T893" s="22">
        <v>0.17</v>
      </c>
      <c r="U893" s="12">
        <v>19417861.52</v>
      </c>
      <c r="V893" s="24">
        <v>22544137.224720001</v>
      </c>
      <c r="W893" s="8">
        <v>14650271.960000001</v>
      </c>
      <c r="X893" s="24">
        <v>17008965.745560002</v>
      </c>
      <c r="Y893" s="22">
        <v>0.23</v>
      </c>
      <c r="Z893" s="22">
        <v>0.18</v>
      </c>
      <c r="AA893" s="8" t="s">
        <v>2957</v>
      </c>
      <c r="AB893" s="8">
        <v>3831804.77</v>
      </c>
      <c r="AC893" s="24">
        <v>4448725.3379699998</v>
      </c>
      <c r="AD893" s="8">
        <v>1274373.3</v>
      </c>
      <c r="AE893" s="24">
        <v>1479547.4013</v>
      </c>
      <c r="AF893" s="8">
        <v>90</v>
      </c>
      <c r="AG893" s="8">
        <v>33</v>
      </c>
      <c r="AH893" s="8" t="s">
        <v>329</v>
      </c>
      <c r="AI893" s="8" t="s">
        <v>354</v>
      </c>
      <c r="AJ893" s="22">
        <v>0.56000000000000005</v>
      </c>
      <c r="AK893" s="8" t="s">
        <v>159</v>
      </c>
      <c r="AL893" s="22">
        <v>0.15</v>
      </c>
      <c r="AM893" s="22">
        <v>0.06</v>
      </c>
      <c r="AN893" s="8">
        <v>5</v>
      </c>
      <c r="AO893" s="8">
        <v>3478</v>
      </c>
      <c r="AP893" s="8">
        <v>2416256.9500000002</v>
      </c>
      <c r="AQ893" s="24">
        <v>2805274.3189500002</v>
      </c>
      <c r="AR893" s="8">
        <v>7652141.1200000001</v>
      </c>
      <c r="AS893" s="37">
        <v>8884135.8403200004</v>
      </c>
      <c r="AT893" s="8" t="s">
        <v>391</v>
      </c>
      <c r="AU893" s="8" t="s">
        <v>356</v>
      </c>
      <c r="AV893" s="8">
        <v>71.8</v>
      </c>
      <c r="AW893" s="8"/>
      <c r="AX893" s="8" t="s">
        <v>392</v>
      </c>
      <c r="AY893" s="8" t="s">
        <v>186</v>
      </c>
      <c r="AZ893" s="8" t="s">
        <v>188</v>
      </c>
      <c r="BA893" s="21">
        <f>IF(OR(tblsales[[#This Row],[Invoice Value USD]]="",tblsales[[#This Row],[Collected Amount USD]]=""),"",tblsales[[#This Row],[Invoice Value USD]]-tblsales[[#This Row],[Collected Amount USD]])</f>
        <v>2969177.9366699997</v>
      </c>
      <c r="BB893" s="21">
        <f>IF(OR(tblsales[[#This Row],[Contract Value USD]]="",tblsales[[#This Row],[Cost Estimate USD]]=""),"",tblsales[[#This Row],[Contract Value USD]]-tblsales[[#This Row],[Cost Estimate USD]])</f>
        <v>5535171.4791599996</v>
      </c>
      <c r="BC893" s="21">
        <f>IF(OR(tblsales[[#This Row],[Contract Value USD]]="",tblsales[[#This Row],[Cost Estimate USD]]=""),"",tblsales[[#This Row],[Contract Value USD]]-tblsales[[#This Row],[Cost Estimate USD]])</f>
        <v>5535171.4791599996</v>
      </c>
      <c r="BD893" s="23">
        <f>IF(tblsales[[#This Row],[Invoice Value USD]]="","",tblsales[[#This Row],[Collected Amount USD]]/tblsales[[#This Row],[Invoice Value USD]])</f>
        <v>0.33257782598355085</v>
      </c>
      <c r="BE893" s="11">
        <f>IF(tblsales[[#This Row],[SalesStage]]="Won",1,0)</f>
        <v>0</v>
      </c>
      <c r="BF893" s="21" t="str">
        <f>IF(tblsales[[#This Row],[Win Flag]]=1,"Won","Lost")</f>
        <v>Lost</v>
      </c>
      <c r="BG893" s="8"/>
    </row>
    <row r="894" spans="1:59" x14ac:dyDescent="0.3">
      <c r="A894" s="10" t="s">
        <v>2958</v>
      </c>
      <c r="B894" s="9">
        <v>46205</v>
      </c>
      <c r="C894" s="10" t="s">
        <v>269</v>
      </c>
      <c r="D894" s="10" t="s">
        <v>220</v>
      </c>
      <c r="E894" s="10" t="s">
        <v>332</v>
      </c>
      <c r="F894" s="10" t="s">
        <v>350</v>
      </c>
      <c r="G894" s="10" t="s">
        <v>38</v>
      </c>
      <c r="H894" s="10" t="s">
        <v>263</v>
      </c>
      <c r="I894" s="10" t="s">
        <v>198</v>
      </c>
      <c r="J894" s="10" t="s">
        <v>99</v>
      </c>
      <c r="K894" s="10" t="s">
        <v>221</v>
      </c>
      <c r="L894" s="10" t="s">
        <v>2959</v>
      </c>
      <c r="M894" s="9">
        <v>46007</v>
      </c>
      <c r="N894" s="9">
        <v>46081</v>
      </c>
      <c r="O894" s="9">
        <v>46135</v>
      </c>
      <c r="P894" s="11">
        <v>46</v>
      </c>
      <c r="Q894" s="12">
        <v>14307411</v>
      </c>
      <c r="R894">
        <v>3895908.0152999996</v>
      </c>
      <c r="S894" s="22">
        <v>0.23</v>
      </c>
      <c r="T894" s="22">
        <v>0.12</v>
      </c>
      <c r="U894" s="12">
        <v>12338711.25</v>
      </c>
      <c r="V894" s="24">
        <v>3359831.0733749997</v>
      </c>
      <c r="W894" s="8">
        <v>10326588.699999999</v>
      </c>
      <c r="X894" s="24">
        <v>2811930.1030099997</v>
      </c>
      <c r="Y894" s="22">
        <v>0.35</v>
      </c>
      <c r="Z894" s="22">
        <v>0.19</v>
      </c>
      <c r="AA894" s="8"/>
      <c r="AB894" s="8">
        <v>3361838.1</v>
      </c>
      <c r="AC894" s="24">
        <v>915428.51462999999</v>
      </c>
      <c r="AD894" s="8">
        <v>1206758.05</v>
      </c>
      <c r="AE894" s="24">
        <v>328600.217015</v>
      </c>
      <c r="AF894" s="8">
        <v>60</v>
      </c>
      <c r="AG894" s="8">
        <v>131</v>
      </c>
      <c r="AH894" s="8" t="s">
        <v>347</v>
      </c>
      <c r="AI894" s="8" t="s">
        <v>455</v>
      </c>
      <c r="AJ894" s="22">
        <v>0.25</v>
      </c>
      <c r="AK894" s="8" t="s">
        <v>153</v>
      </c>
      <c r="AL894" s="22">
        <v>0.1</v>
      </c>
      <c r="AM894" s="22">
        <v>0.04</v>
      </c>
      <c r="AN894" s="8">
        <v>10</v>
      </c>
      <c r="AO894" s="8">
        <v>1252</v>
      </c>
      <c r="AP894" s="8">
        <v>972583.73</v>
      </c>
      <c r="AQ894" s="24">
        <v>264834.54967899999</v>
      </c>
      <c r="AR894" s="8">
        <v>3000468.33</v>
      </c>
      <c r="AS894" s="37">
        <v>817027.52625899995</v>
      </c>
      <c r="AT894" s="8" t="s">
        <v>332</v>
      </c>
      <c r="AU894" s="8" t="s">
        <v>330</v>
      </c>
      <c r="AV894" s="8">
        <v>86.2</v>
      </c>
      <c r="AW894" s="8">
        <v>48</v>
      </c>
      <c r="AX894" s="8" t="s">
        <v>323</v>
      </c>
      <c r="AY894" s="8" t="s">
        <v>224</v>
      </c>
      <c r="AZ894" s="8" t="s">
        <v>188</v>
      </c>
      <c r="BA894" s="21">
        <f>IF(OR(tblsales[[#This Row],[Invoice Value USD]]="",tblsales[[#This Row],[Collected Amount USD]]=""),"",tblsales[[#This Row],[Invoice Value USD]]-tblsales[[#This Row],[Collected Amount USD]])</f>
        <v>586828.29761500005</v>
      </c>
      <c r="BB894" s="21">
        <f>IF(OR(tblsales[[#This Row],[Contract Value USD]]="",tblsales[[#This Row],[Cost Estimate USD]]=""),"",tblsales[[#This Row],[Contract Value USD]]-tblsales[[#This Row],[Cost Estimate USD]])</f>
        <v>547900.97036499996</v>
      </c>
      <c r="BC894" s="21">
        <f>IF(OR(tblsales[[#This Row],[Contract Value USD]]="",tblsales[[#This Row],[Cost Estimate USD]]=""),"",tblsales[[#This Row],[Contract Value USD]]-tblsales[[#This Row],[Cost Estimate USD]])</f>
        <v>547900.97036499996</v>
      </c>
      <c r="BD894" s="23">
        <f>IF(tblsales[[#This Row],[Invoice Value USD]]="","",tblsales[[#This Row],[Collected Amount USD]]/tblsales[[#This Row],[Invoice Value USD]])</f>
        <v>0.35895781239435653</v>
      </c>
      <c r="BE894" s="11">
        <f>IF(tblsales[[#This Row],[SalesStage]]="Won",1,0)</f>
        <v>0</v>
      </c>
      <c r="BF894" s="21" t="str">
        <f>IF(tblsales[[#This Row],[Win Flag]]=1,"Won","Lost")</f>
        <v>Lost</v>
      </c>
      <c r="BG894" s="8"/>
    </row>
    <row r="895" spans="1:59" x14ac:dyDescent="0.3">
      <c r="A895" s="10" t="s">
        <v>2960</v>
      </c>
      <c r="B895" s="9">
        <v>46077</v>
      </c>
      <c r="C895" s="10" t="s">
        <v>225</v>
      </c>
      <c r="D895" s="10" t="s">
        <v>281</v>
      </c>
      <c r="E895" s="10" t="s">
        <v>20</v>
      </c>
      <c r="F895" s="10" t="s">
        <v>35</v>
      </c>
      <c r="G895" s="10" t="s">
        <v>28</v>
      </c>
      <c r="H895" s="10" t="s">
        <v>216</v>
      </c>
      <c r="I895" s="10" t="s">
        <v>191</v>
      </c>
      <c r="J895" s="10" t="s">
        <v>136</v>
      </c>
      <c r="K895" s="10" t="s">
        <v>210</v>
      </c>
      <c r="L895" s="10" t="s">
        <v>2961</v>
      </c>
      <c r="M895" s="9">
        <v>46235</v>
      </c>
      <c r="N895" s="9" t="s">
        <v>2962</v>
      </c>
      <c r="O895" s="9"/>
      <c r="P895" s="11">
        <v>20</v>
      </c>
      <c r="Q895" s="12">
        <v>1559751</v>
      </c>
      <c r="R895">
        <v>424720.1973</v>
      </c>
      <c r="S895" s="22">
        <v>7.0000000000000007E-2</v>
      </c>
      <c r="T895" s="22">
        <v>0.17</v>
      </c>
      <c r="U895" s="12">
        <v>1697165.06</v>
      </c>
      <c r="V895" s="24">
        <v>462138.04583800002</v>
      </c>
      <c r="W895" s="8">
        <v>1443305.83</v>
      </c>
      <c r="X895" s="24">
        <v>393012.177509</v>
      </c>
      <c r="Y895" s="22">
        <v>0.24</v>
      </c>
      <c r="Z895" s="22">
        <v>0.12</v>
      </c>
      <c r="AA895" s="8" t="s">
        <v>2963</v>
      </c>
      <c r="AB895" s="8">
        <v>1117379.82</v>
      </c>
      <c r="AC895" s="24">
        <v>304262.52498599997</v>
      </c>
      <c r="AD895" s="8">
        <v>522619.62</v>
      </c>
      <c r="AE895" s="24">
        <v>142309.322526</v>
      </c>
      <c r="AF895" s="8">
        <v>60</v>
      </c>
      <c r="AG895" s="8">
        <v>94</v>
      </c>
      <c r="AH895" s="8" t="s">
        <v>329</v>
      </c>
      <c r="AI895" s="8" t="s">
        <v>336</v>
      </c>
      <c r="AJ895" s="22">
        <v>0.15</v>
      </c>
      <c r="AK895" s="8" t="s">
        <v>153</v>
      </c>
      <c r="AL895" s="22">
        <v>0.05</v>
      </c>
      <c r="AM895" s="22">
        <v>0.09</v>
      </c>
      <c r="AN895" s="8">
        <v>13</v>
      </c>
      <c r="AO895" s="8">
        <v>4970</v>
      </c>
      <c r="AP895" s="8">
        <v>103663.88</v>
      </c>
      <c r="AQ895" s="24">
        <v>28227.674523999998</v>
      </c>
      <c r="AR895" s="8">
        <v>296123.37</v>
      </c>
      <c r="AS895" s="37">
        <v>80634.393650999991</v>
      </c>
      <c r="AT895" s="8" t="s">
        <v>321</v>
      </c>
      <c r="AU895" s="8" t="s">
        <v>348</v>
      </c>
      <c r="AV895" s="8">
        <v>51.6</v>
      </c>
      <c r="AW895" s="8">
        <v>48</v>
      </c>
      <c r="AX895" s="8" t="s">
        <v>387</v>
      </c>
      <c r="AY895" s="8" t="s">
        <v>224</v>
      </c>
      <c r="AZ895" s="8" t="s">
        <v>324</v>
      </c>
      <c r="BA895" s="21">
        <f>IF(OR(tblsales[[#This Row],[Invoice Value USD]]="",tblsales[[#This Row],[Collected Amount USD]]=""),"",tblsales[[#This Row],[Invoice Value USD]]-tblsales[[#This Row],[Collected Amount USD]])</f>
        <v>161953.20245999997</v>
      </c>
      <c r="BB895" s="21">
        <f>IF(OR(tblsales[[#This Row],[Contract Value USD]]="",tblsales[[#This Row],[Cost Estimate USD]]=""),"",tblsales[[#This Row],[Contract Value USD]]-tblsales[[#This Row],[Cost Estimate USD]])</f>
        <v>69125.868329000019</v>
      </c>
      <c r="BC895" s="21">
        <f>IF(OR(tblsales[[#This Row],[Contract Value USD]]="",tblsales[[#This Row],[Cost Estimate USD]]=""),"",tblsales[[#This Row],[Contract Value USD]]-tblsales[[#This Row],[Cost Estimate USD]])</f>
        <v>69125.868329000019</v>
      </c>
      <c r="BD895" s="23">
        <f>IF(tblsales[[#This Row],[Invoice Value USD]]="","",tblsales[[#This Row],[Collected Amount USD]]/tblsales[[#This Row],[Invoice Value USD]])</f>
        <v>0.46771886394010592</v>
      </c>
      <c r="BE895" s="11">
        <f>IF(tblsales[[#This Row],[SalesStage]]="Won",1,0)</f>
        <v>0</v>
      </c>
      <c r="BF895" s="21" t="str">
        <f>IF(tblsales[[#This Row],[Win Flag]]=1,"Won","Lost")</f>
        <v>Lost</v>
      </c>
      <c r="BG895" s="8"/>
    </row>
    <row r="896" spans="1:59" x14ac:dyDescent="0.3">
      <c r="A896" s="10" t="s">
        <v>2964</v>
      </c>
      <c r="B896" s="9">
        <v>46025</v>
      </c>
      <c r="C896" s="10" t="s">
        <v>282</v>
      </c>
      <c r="D896" s="10" t="s">
        <v>262</v>
      </c>
      <c r="E896" s="10" t="s">
        <v>41</v>
      </c>
      <c r="F896" s="10" t="s">
        <v>363</v>
      </c>
      <c r="G896" s="10" t="s">
        <v>46</v>
      </c>
      <c r="H896" s="10" t="s">
        <v>212</v>
      </c>
      <c r="I896" s="10" t="s">
        <v>213</v>
      </c>
      <c r="J896" s="10" t="s">
        <v>105</v>
      </c>
      <c r="K896" s="10" t="s">
        <v>221</v>
      </c>
      <c r="L896" s="10" t="s">
        <v>2965</v>
      </c>
      <c r="M896" s="9">
        <v>46002</v>
      </c>
      <c r="N896" s="9"/>
      <c r="O896" s="9">
        <v>46129</v>
      </c>
      <c r="P896" s="11"/>
      <c r="Q896" s="12">
        <v>26164107</v>
      </c>
      <c r="R896">
        <v>7124486.3361</v>
      </c>
      <c r="S896" s="22">
        <v>0.28999999999999998</v>
      </c>
      <c r="T896" s="22">
        <v>0.09</v>
      </c>
      <c r="U896" s="12">
        <v>20248402.41</v>
      </c>
      <c r="V896" s="24">
        <v>5513639.9762429995</v>
      </c>
      <c r="W896" s="8">
        <v>15890515.130000001</v>
      </c>
      <c r="X896" s="24">
        <v>4326987.2698990004</v>
      </c>
      <c r="Y896" s="22">
        <v>0.26</v>
      </c>
      <c r="Z896" s="22">
        <v>0.06</v>
      </c>
      <c r="AA896" s="8" t="s">
        <v>2966</v>
      </c>
      <c r="AB896" s="8">
        <v>4252885.51</v>
      </c>
      <c r="AC896" s="24">
        <v>1158060.724373</v>
      </c>
      <c r="AD896" s="8">
        <v>1395278.18</v>
      </c>
      <c r="AE896" s="24">
        <v>379934.24841399997</v>
      </c>
      <c r="AF896" s="8">
        <v>60</v>
      </c>
      <c r="AG896" s="8">
        <v>114</v>
      </c>
      <c r="AH896" s="8" t="s">
        <v>332</v>
      </c>
      <c r="AI896" s="8" t="s">
        <v>226</v>
      </c>
      <c r="AJ896" s="22">
        <v>0.13</v>
      </c>
      <c r="AK896" s="8" t="s">
        <v>153</v>
      </c>
      <c r="AL896" s="22">
        <v>0.1</v>
      </c>
      <c r="AM896" s="22">
        <v>0.03</v>
      </c>
      <c r="AN896" s="8">
        <v>6</v>
      </c>
      <c r="AO896" s="8">
        <v>3221</v>
      </c>
      <c r="AP896" s="8">
        <v>3230464.87</v>
      </c>
      <c r="AQ896" s="24">
        <v>879655.58410099999</v>
      </c>
      <c r="AR896" s="8">
        <v>6273845.6100000003</v>
      </c>
      <c r="AS896" s="37">
        <v>1708368.1596029999</v>
      </c>
      <c r="AT896" s="8" t="s">
        <v>391</v>
      </c>
      <c r="AU896" s="8" t="s">
        <v>356</v>
      </c>
      <c r="AV896" s="8">
        <v>74.099999999999994</v>
      </c>
      <c r="AW896" s="8">
        <v>60</v>
      </c>
      <c r="AX896" s="8" t="s">
        <v>332</v>
      </c>
      <c r="AY896" s="8" t="s">
        <v>229</v>
      </c>
      <c r="AZ896" s="8" t="s">
        <v>361</v>
      </c>
      <c r="BA896" s="21">
        <f>IF(OR(tblsales[[#This Row],[Invoice Value USD]]="",tblsales[[#This Row],[Collected Amount USD]]=""),"",tblsales[[#This Row],[Invoice Value USD]]-tblsales[[#This Row],[Collected Amount USD]])</f>
        <v>778126.47595899994</v>
      </c>
      <c r="BB896" s="21">
        <f>IF(OR(tblsales[[#This Row],[Contract Value USD]]="",tblsales[[#This Row],[Cost Estimate USD]]=""),"",tblsales[[#This Row],[Contract Value USD]]-tblsales[[#This Row],[Cost Estimate USD]])</f>
        <v>1186652.7063439991</v>
      </c>
      <c r="BC896" s="21">
        <f>IF(OR(tblsales[[#This Row],[Contract Value USD]]="",tblsales[[#This Row],[Cost Estimate USD]]=""),"",tblsales[[#This Row],[Contract Value USD]]-tblsales[[#This Row],[Cost Estimate USD]])</f>
        <v>1186652.7063439991</v>
      </c>
      <c r="BD896" s="23">
        <f>IF(tblsales[[#This Row],[Invoice Value USD]]="","",tblsales[[#This Row],[Collected Amount USD]]/tblsales[[#This Row],[Invoice Value USD]])</f>
        <v>0.32807800179883045</v>
      </c>
      <c r="BE896" s="11">
        <f>IF(tblsales[[#This Row],[SalesStage]]="Won",1,0)</f>
        <v>0</v>
      </c>
      <c r="BF896" s="21" t="str">
        <f>IF(tblsales[[#This Row],[Win Flag]]=1,"Won","Lost")</f>
        <v>Lost</v>
      </c>
      <c r="BG896" s="8"/>
    </row>
    <row r="897" spans="1:59" x14ac:dyDescent="0.3">
      <c r="A897" s="10" t="s">
        <v>2967</v>
      </c>
      <c r="B897" s="9">
        <v>45797</v>
      </c>
      <c r="C897" s="10" t="s">
        <v>247</v>
      </c>
      <c r="D897" s="10" t="s">
        <v>220</v>
      </c>
      <c r="E897" s="10" t="s">
        <v>41</v>
      </c>
      <c r="F897" s="10" t="s">
        <v>332</v>
      </c>
      <c r="G897" s="10" t="s">
        <v>46</v>
      </c>
      <c r="H897" s="10" t="s">
        <v>236</v>
      </c>
      <c r="I897" s="10" t="s">
        <v>240</v>
      </c>
      <c r="J897" s="10" t="s">
        <v>105</v>
      </c>
      <c r="K897" s="10" t="s">
        <v>326</v>
      </c>
      <c r="L897" s="10" t="s">
        <v>2968</v>
      </c>
      <c r="M897" s="9">
        <v>45735</v>
      </c>
      <c r="N897" s="9">
        <v>45848</v>
      </c>
      <c r="O897" s="9">
        <v>45861</v>
      </c>
      <c r="P897" s="11"/>
      <c r="Q897" s="12">
        <v>26290341</v>
      </c>
      <c r="R897">
        <v>26290341</v>
      </c>
      <c r="S897" s="22">
        <v>0.05</v>
      </c>
      <c r="T897" s="22">
        <v>0.01</v>
      </c>
      <c r="U897" s="12">
        <v>25225582.190000001</v>
      </c>
      <c r="V897" s="24">
        <v>25225582.190000001</v>
      </c>
      <c r="W897" s="8">
        <v>22050535.32</v>
      </c>
      <c r="X897" s="24">
        <v>22050535.32</v>
      </c>
      <c r="Y897" s="22">
        <v>0.28000000000000003</v>
      </c>
      <c r="Z897" s="22">
        <v>0.11</v>
      </c>
      <c r="AA897" s="8"/>
      <c r="AB897" s="8">
        <v>15400803.460000001</v>
      </c>
      <c r="AC897" s="24">
        <v>15400803.460000001</v>
      </c>
      <c r="AD897" s="8">
        <v>11995685.01</v>
      </c>
      <c r="AE897" s="24">
        <v>11995685.01</v>
      </c>
      <c r="AF897" s="8">
        <v>30</v>
      </c>
      <c r="AG897" s="8">
        <v>10</v>
      </c>
      <c r="AH897" s="8" t="s">
        <v>347</v>
      </c>
      <c r="AI897" s="8" t="s">
        <v>455</v>
      </c>
      <c r="AJ897" s="22">
        <v>0.18</v>
      </c>
      <c r="AK897" s="8" t="s">
        <v>152</v>
      </c>
      <c r="AL897" s="22">
        <v>0.05</v>
      </c>
      <c r="AM897" s="22">
        <v>0.04</v>
      </c>
      <c r="AN897" s="8">
        <v>3</v>
      </c>
      <c r="AO897" s="8">
        <v>1703</v>
      </c>
      <c r="AP897" s="8">
        <v>5928556.1600000001</v>
      </c>
      <c r="AQ897" s="24">
        <v>5928556.1600000001</v>
      </c>
      <c r="AR897" s="8">
        <v>9428419.9600000009</v>
      </c>
      <c r="AS897" s="37">
        <v>9428419.9600000009</v>
      </c>
      <c r="AT897" s="8" t="s">
        <v>355</v>
      </c>
      <c r="AU897" s="8" t="s">
        <v>332</v>
      </c>
      <c r="AV897" s="8">
        <v>54.2</v>
      </c>
      <c r="AW897" s="8">
        <v>24</v>
      </c>
      <c r="AX897" s="8" t="s">
        <v>337</v>
      </c>
      <c r="AY897" s="8" t="s">
        <v>192</v>
      </c>
      <c r="AZ897" s="8" t="s">
        <v>377</v>
      </c>
      <c r="BA897" s="21">
        <f>IF(OR(tblsales[[#This Row],[Invoice Value USD]]="",tblsales[[#This Row],[Collected Amount USD]]=""),"",tblsales[[#This Row],[Invoice Value USD]]-tblsales[[#This Row],[Collected Amount USD]])</f>
        <v>3405118.4500000011</v>
      </c>
      <c r="BB897" s="21">
        <f>IF(OR(tblsales[[#This Row],[Contract Value USD]]="",tblsales[[#This Row],[Cost Estimate USD]]=""),"",tblsales[[#This Row],[Contract Value USD]]-tblsales[[#This Row],[Cost Estimate USD]])</f>
        <v>3175046.870000001</v>
      </c>
      <c r="BC897" s="21">
        <f>IF(OR(tblsales[[#This Row],[Contract Value USD]]="",tblsales[[#This Row],[Cost Estimate USD]]=""),"",tblsales[[#This Row],[Contract Value USD]]-tblsales[[#This Row],[Cost Estimate USD]])</f>
        <v>3175046.870000001</v>
      </c>
      <c r="BD897" s="23">
        <f>IF(tblsales[[#This Row],[Invoice Value USD]]="","",tblsales[[#This Row],[Collected Amount USD]]/tblsales[[#This Row],[Invoice Value USD]])</f>
        <v>0.77889994773038929</v>
      </c>
      <c r="BE897" s="11">
        <f>IF(tblsales[[#This Row],[SalesStage]]="Won",1,0)</f>
        <v>0</v>
      </c>
      <c r="BF897" s="21" t="str">
        <f>IF(tblsales[[#This Row],[Win Flag]]=1,"Won","Lost")</f>
        <v>Lost</v>
      </c>
      <c r="BG897" s="8"/>
    </row>
    <row r="898" spans="1:59" x14ac:dyDescent="0.3">
      <c r="A898" s="10" t="s">
        <v>2969</v>
      </c>
      <c r="B898" s="9">
        <v>45762</v>
      </c>
      <c r="C898" s="10" t="s">
        <v>214</v>
      </c>
      <c r="D898" s="10" t="s">
        <v>220</v>
      </c>
      <c r="E898" s="10" t="s">
        <v>113</v>
      </c>
      <c r="F898" s="10" t="s">
        <v>181</v>
      </c>
      <c r="G898" s="10" t="s">
        <v>66</v>
      </c>
      <c r="H898" s="10" t="s">
        <v>263</v>
      </c>
      <c r="I898" s="10" t="s">
        <v>183</v>
      </c>
      <c r="J898" s="10" t="s">
        <v>127</v>
      </c>
      <c r="K898" s="10" t="s">
        <v>326</v>
      </c>
      <c r="L898" s="10" t="s">
        <v>2970</v>
      </c>
      <c r="M898" s="9">
        <v>45747</v>
      </c>
      <c r="N898" s="9"/>
      <c r="O898" s="9">
        <v>45792</v>
      </c>
      <c r="P898" s="11">
        <v>46</v>
      </c>
      <c r="Q898" s="12">
        <v>45855839</v>
      </c>
      <c r="R898">
        <v>12486544.9597</v>
      </c>
      <c r="S898" s="22">
        <v>0.03</v>
      </c>
      <c r="T898" s="22">
        <v>0.12</v>
      </c>
      <c r="U898" s="12">
        <v>49817783.490000002</v>
      </c>
      <c r="V898" s="24">
        <v>13565382.444327001</v>
      </c>
      <c r="W898" s="8">
        <v>39654166.060000002</v>
      </c>
      <c r="X898" s="24">
        <v>10797829.418137999</v>
      </c>
      <c r="Y898" s="22">
        <v>0.3</v>
      </c>
      <c r="Z898" s="22">
        <v>0.16</v>
      </c>
      <c r="AA898" s="8" t="s">
        <v>2971</v>
      </c>
      <c r="AB898" s="8">
        <v>8584302.2699999996</v>
      </c>
      <c r="AC898" s="24">
        <v>2337505.5081209997</v>
      </c>
      <c r="AD898" s="8">
        <v>4845227.0999999996</v>
      </c>
      <c r="AE898" s="24">
        <v>1319355.3393299999</v>
      </c>
      <c r="AF898" s="8">
        <v>90</v>
      </c>
      <c r="AG898" s="8">
        <v>11</v>
      </c>
      <c r="AH898" s="8" t="s">
        <v>329</v>
      </c>
      <c r="AI898" s="8" t="s">
        <v>320</v>
      </c>
      <c r="AJ898" s="22">
        <v>0.56999999999999995</v>
      </c>
      <c r="AK898" s="8" t="s">
        <v>153</v>
      </c>
      <c r="AL898" s="22">
        <v>0.15</v>
      </c>
      <c r="AM898" s="22">
        <v>0.06</v>
      </c>
      <c r="AN898" s="8">
        <v>10</v>
      </c>
      <c r="AO898" s="8"/>
      <c r="AP898" s="8">
        <v>7394047.6799999997</v>
      </c>
      <c r="AQ898" s="24">
        <v>2013399.1832639999</v>
      </c>
      <c r="AR898" s="8"/>
      <c r="AS898" s="37"/>
      <c r="AT898" s="8" t="s">
        <v>355</v>
      </c>
      <c r="AU898" s="8" t="s">
        <v>348</v>
      </c>
      <c r="AV898" s="8">
        <v>65.8</v>
      </c>
      <c r="AW898" s="8"/>
      <c r="AX898" s="8" t="s">
        <v>332</v>
      </c>
      <c r="AY898" s="8" t="s">
        <v>229</v>
      </c>
      <c r="AZ898" s="8" t="s">
        <v>361</v>
      </c>
      <c r="BA898" s="21">
        <f>IF(OR(tblsales[[#This Row],[Invoice Value USD]]="",tblsales[[#This Row],[Collected Amount USD]]=""),"",tblsales[[#This Row],[Invoice Value USD]]-tblsales[[#This Row],[Collected Amount USD]])</f>
        <v>1018150.1687909998</v>
      </c>
      <c r="BB898" s="21">
        <f>IF(OR(tblsales[[#This Row],[Contract Value USD]]="",tblsales[[#This Row],[Cost Estimate USD]]=""),"",tblsales[[#This Row],[Contract Value USD]]-tblsales[[#This Row],[Cost Estimate USD]])</f>
        <v>2767553.0261890013</v>
      </c>
      <c r="BC898" s="21">
        <f>IF(OR(tblsales[[#This Row],[Contract Value USD]]="",tblsales[[#This Row],[Cost Estimate USD]]=""),"",tblsales[[#This Row],[Contract Value USD]]-tblsales[[#This Row],[Cost Estimate USD]])</f>
        <v>2767553.0261890013</v>
      </c>
      <c r="BD898" s="23">
        <f>IF(tblsales[[#This Row],[Invoice Value USD]]="","",tblsales[[#This Row],[Collected Amount USD]]/tblsales[[#This Row],[Invoice Value USD]])</f>
        <v>0.56442876166335187</v>
      </c>
      <c r="BE898" s="11">
        <f>IF(tblsales[[#This Row],[SalesStage]]="Won",1,0)</f>
        <v>1</v>
      </c>
      <c r="BF898" s="21" t="str">
        <f>IF(tblsales[[#This Row],[Win Flag]]=1,"Won","Lost")</f>
        <v>Won</v>
      </c>
      <c r="BG898" s="8"/>
    </row>
    <row r="899" spans="1:59" x14ac:dyDescent="0.3">
      <c r="A899" s="10" t="s">
        <v>2972</v>
      </c>
      <c r="B899" s="9">
        <v>45770</v>
      </c>
      <c r="C899" s="10" t="s">
        <v>211</v>
      </c>
      <c r="D899" s="10" t="s">
        <v>332</v>
      </c>
      <c r="E899" s="10" t="s">
        <v>113</v>
      </c>
      <c r="F899" s="10" t="s">
        <v>181</v>
      </c>
      <c r="G899" s="10" t="s">
        <v>62</v>
      </c>
      <c r="H899" s="10" t="s">
        <v>332</v>
      </c>
      <c r="I899" s="10" t="s">
        <v>233</v>
      </c>
      <c r="J899" s="10" t="s">
        <v>123</v>
      </c>
      <c r="K899" s="10" t="s">
        <v>326</v>
      </c>
      <c r="L899" s="10" t="s">
        <v>2973</v>
      </c>
      <c r="M899" s="9">
        <v>45693</v>
      </c>
      <c r="N899" s="9">
        <v>45752</v>
      </c>
      <c r="O899" s="9">
        <v>45855</v>
      </c>
      <c r="P899" s="11"/>
      <c r="Q899" s="12">
        <v>28026135</v>
      </c>
      <c r="R899">
        <v>7631516.5604999997</v>
      </c>
      <c r="S899" s="22">
        <v>0.1</v>
      </c>
      <c r="T899" s="22">
        <v>0.17</v>
      </c>
      <c r="U899" s="12">
        <v>29511520.149999999</v>
      </c>
      <c r="V899" s="24">
        <v>8035986.936844999</v>
      </c>
      <c r="W899" s="8">
        <v>23439668.989999998</v>
      </c>
      <c r="X899" s="24">
        <v>6382621.8659769995</v>
      </c>
      <c r="Y899" s="22">
        <v>0.1</v>
      </c>
      <c r="Z899" s="22">
        <v>0.17</v>
      </c>
      <c r="AA899" s="8"/>
      <c r="AB899" s="8">
        <v>5784123.7999999998</v>
      </c>
      <c r="AC899" s="24">
        <v>1575016.91074</v>
      </c>
      <c r="AD899" s="8">
        <v>3641367.38</v>
      </c>
      <c r="AE899" s="24">
        <v>991544.33757399989</v>
      </c>
      <c r="AF899" s="8">
        <v>90</v>
      </c>
      <c r="AG899" s="8">
        <v>35</v>
      </c>
      <c r="AH899" s="8" t="s">
        <v>332</v>
      </c>
      <c r="AI899" s="8" t="s">
        <v>406</v>
      </c>
      <c r="AJ899" s="22">
        <v>0.35</v>
      </c>
      <c r="AK899" s="8" t="s">
        <v>153</v>
      </c>
      <c r="AL899" s="22">
        <v>0.1</v>
      </c>
      <c r="AM899" s="22">
        <v>7.0000000000000007E-2</v>
      </c>
      <c r="AN899" s="8">
        <v>5</v>
      </c>
      <c r="AO899" s="8">
        <v>330</v>
      </c>
      <c r="AP899" s="8">
        <v>3904076.27</v>
      </c>
      <c r="AQ899" s="24">
        <v>1063079.968321</v>
      </c>
      <c r="AR899" s="8">
        <v>10128123.380000001</v>
      </c>
      <c r="AS899" s="37">
        <v>2757887.9963739999</v>
      </c>
      <c r="AT899" s="8" t="s">
        <v>332</v>
      </c>
      <c r="AU899" s="8" t="s">
        <v>332</v>
      </c>
      <c r="AV899" s="8">
        <v>56.1</v>
      </c>
      <c r="AW899" s="8">
        <v>60</v>
      </c>
      <c r="AX899" s="8" t="s">
        <v>387</v>
      </c>
      <c r="AY899" s="8" t="s">
        <v>192</v>
      </c>
      <c r="AZ899" s="8" t="s">
        <v>188</v>
      </c>
      <c r="BA899" s="21">
        <f>IF(OR(tblsales[[#This Row],[Invoice Value USD]]="",tblsales[[#This Row],[Collected Amount USD]]=""),"",tblsales[[#This Row],[Invoice Value USD]]-tblsales[[#This Row],[Collected Amount USD]])</f>
        <v>583472.57316600007</v>
      </c>
      <c r="BB899" s="21">
        <f>IF(OR(tblsales[[#This Row],[Contract Value USD]]="",tblsales[[#This Row],[Cost Estimate USD]]=""),"",tblsales[[#This Row],[Contract Value USD]]-tblsales[[#This Row],[Cost Estimate USD]])</f>
        <v>1653365.0708679995</v>
      </c>
      <c r="BC899" s="21">
        <f>IF(OR(tblsales[[#This Row],[Contract Value USD]]="",tblsales[[#This Row],[Cost Estimate USD]]=""),"",tblsales[[#This Row],[Contract Value USD]]-tblsales[[#This Row],[Cost Estimate USD]])</f>
        <v>1653365.0708679995</v>
      </c>
      <c r="BD899" s="23">
        <f>IF(tblsales[[#This Row],[Invoice Value USD]]="","",tblsales[[#This Row],[Collected Amount USD]]/tblsales[[#This Row],[Invoice Value USD]])</f>
        <v>0.62954520095161171</v>
      </c>
      <c r="BE899" s="11">
        <f>IF(tblsales[[#This Row],[SalesStage]]="Won",1,0)</f>
        <v>0</v>
      </c>
      <c r="BF899" s="21" t="str">
        <f>IF(tblsales[[#This Row],[Win Flag]]=1,"Won","Lost")</f>
        <v>Lost</v>
      </c>
      <c r="BG899" s="8"/>
    </row>
    <row r="900" spans="1:59" x14ac:dyDescent="0.3">
      <c r="A900" s="10" t="s">
        <v>2974</v>
      </c>
      <c r="B900" s="9">
        <v>46009</v>
      </c>
      <c r="C900" s="10" t="s">
        <v>284</v>
      </c>
      <c r="D900" s="10" t="s">
        <v>242</v>
      </c>
      <c r="E900" s="10" t="s">
        <v>113</v>
      </c>
      <c r="F900" s="10" t="s">
        <v>181</v>
      </c>
      <c r="G900" s="10" t="s">
        <v>66</v>
      </c>
      <c r="H900" s="10" t="s">
        <v>182</v>
      </c>
      <c r="I900" s="10" t="s">
        <v>198</v>
      </c>
      <c r="J900" s="10" t="s">
        <v>127</v>
      </c>
      <c r="K900" s="10" t="s">
        <v>210</v>
      </c>
      <c r="L900" s="10" t="s">
        <v>2975</v>
      </c>
      <c r="M900" s="9">
        <v>45818</v>
      </c>
      <c r="N900" s="9"/>
      <c r="O900" s="9"/>
      <c r="P900" s="11">
        <v>17</v>
      </c>
      <c r="Q900" s="12">
        <v>21551062</v>
      </c>
      <c r="R900">
        <v>21551062</v>
      </c>
      <c r="S900" s="22">
        <v>0.22</v>
      </c>
      <c r="T900" s="22">
        <v>-0.03</v>
      </c>
      <c r="U900" s="12">
        <v>16305533.51</v>
      </c>
      <c r="V900" s="24">
        <v>16305533.51</v>
      </c>
      <c r="W900" s="8"/>
      <c r="X900" s="24"/>
      <c r="Y900" s="22">
        <v>0.35</v>
      </c>
      <c r="Z900" s="22">
        <v>0.1</v>
      </c>
      <c r="AA900" s="8" t="s">
        <v>2976</v>
      </c>
      <c r="AB900" s="8">
        <v>5549428.8700000001</v>
      </c>
      <c r="AC900" s="24">
        <v>5549428.8700000001</v>
      </c>
      <c r="AD900" s="8">
        <v>2611449.19</v>
      </c>
      <c r="AE900" s="24">
        <v>2611449.19</v>
      </c>
      <c r="AF900" s="8">
        <v>30</v>
      </c>
      <c r="AG900" s="8">
        <v>113</v>
      </c>
      <c r="AH900" s="8" t="s">
        <v>376</v>
      </c>
      <c r="AI900" s="8" t="s">
        <v>226</v>
      </c>
      <c r="AJ900" s="22">
        <v>0.1</v>
      </c>
      <c r="AK900" s="8" t="s">
        <v>152</v>
      </c>
      <c r="AL900" s="22">
        <v>0.15</v>
      </c>
      <c r="AM900" s="22">
        <v>0.09</v>
      </c>
      <c r="AN900" s="8">
        <v>6</v>
      </c>
      <c r="AO900" s="8">
        <v>560</v>
      </c>
      <c r="AP900" s="8">
        <v>3724753.91</v>
      </c>
      <c r="AQ900" s="24">
        <v>3724753.91</v>
      </c>
      <c r="AR900" s="8"/>
      <c r="AS900" s="37"/>
      <c r="AT900" s="8" t="s">
        <v>332</v>
      </c>
      <c r="AU900" s="8" t="s">
        <v>330</v>
      </c>
      <c r="AV900" s="8">
        <v>90.4</v>
      </c>
      <c r="AW900" s="8">
        <v>12</v>
      </c>
      <c r="AX900" s="8" t="s">
        <v>332</v>
      </c>
      <c r="AY900" s="8" t="s">
        <v>186</v>
      </c>
      <c r="AZ900" s="8" t="s">
        <v>361</v>
      </c>
      <c r="BA900" s="21">
        <f>IF(OR(tblsales[[#This Row],[Invoice Value USD]]="",tblsales[[#This Row],[Collected Amount USD]]=""),"",tblsales[[#This Row],[Invoice Value USD]]-tblsales[[#This Row],[Collected Amount USD]])</f>
        <v>2937979.68</v>
      </c>
      <c r="BB900" s="21" t="str">
        <f>IF(OR(tblsales[[#This Row],[Contract Value USD]]="",tblsales[[#This Row],[Cost Estimate USD]]=""),"",tblsales[[#This Row],[Contract Value USD]]-tblsales[[#This Row],[Cost Estimate USD]])</f>
        <v/>
      </c>
      <c r="BC900" s="21" t="str">
        <f>IF(OR(tblsales[[#This Row],[Contract Value USD]]="",tblsales[[#This Row],[Cost Estimate USD]]=""),"",tblsales[[#This Row],[Contract Value USD]]-tblsales[[#This Row],[Cost Estimate USD]])</f>
        <v/>
      </c>
      <c r="BD900" s="23">
        <f>IF(tblsales[[#This Row],[Invoice Value USD]]="","",tblsales[[#This Row],[Collected Amount USD]]/tblsales[[#This Row],[Invoice Value USD]])</f>
        <v>0.47057981121578007</v>
      </c>
      <c r="BE900" s="11">
        <f>IF(tblsales[[#This Row],[SalesStage]]="Won",1,0)</f>
        <v>0</v>
      </c>
      <c r="BF900" s="21" t="str">
        <f>IF(tblsales[[#This Row],[Win Flag]]=1,"Won","Lost")</f>
        <v>Lost</v>
      </c>
      <c r="BG900" s="8"/>
    </row>
    <row r="901" spans="1:59" x14ac:dyDescent="0.3">
      <c r="A901" s="10" t="s">
        <v>2977</v>
      </c>
      <c r="B901" s="9">
        <v>45738</v>
      </c>
      <c r="C901" s="10" t="s">
        <v>230</v>
      </c>
      <c r="D901" s="10" t="s">
        <v>215</v>
      </c>
      <c r="E901" s="10" t="s">
        <v>36</v>
      </c>
      <c r="F901" s="10" t="s">
        <v>332</v>
      </c>
      <c r="G901" s="10" t="s">
        <v>38</v>
      </c>
      <c r="H901" s="10" t="s">
        <v>332</v>
      </c>
      <c r="I901" s="10" t="s">
        <v>191</v>
      </c>
      <c r="J901" s="10" t="s">
        <v>115</v>
      </c>
      <c r="K901" s="10" t="s">
        <v>326</v>
      </c>
      <c r="L901" s="10" t="s">
        <v>2978</v>
      </c>
      <c r="M901" s="9">
        <v>45703</v>
      </c>
      <c r="N901" s="9"/>
      <c r="O901" s="9">
        <v>45663</v>
      </c>
      <c r="P901" s="11">
        <v>51</v>
      </c>
      <c r="Q901" s="12">
        <v>9663399</v>
      </c>
      <c r="R901">
        <v>9663399</v>
      </c>
      <c r="S901" s="22">
        <v>0.15</v>
      </c>
      <c r="T901" s="22">
        <v>0.06</v>
      </c>
      <c r="U901" s="12">
        <v>8706722.5</v>
      </c>
      <c r="V901" s="24">
        <v>8706722.5</v>
      </c>
      <c r="W901" s="8">
        <v>5779200.3200000003</v>
      </c>
      <c r="X901" s="24">
        <v>5779200.3200000003</v>
      </c>
      <c r="Y901" s="22">
        <v>0.28999999999999998</v>
      </c>
      <c r="Z901" s="22">
        <v>0.17</v>
      </c>
      <c r="AA901" s="8" t="s">
        <v>2979</v>
      </c>
      <c r="AB901" s="8">
        <v>1078547.33</v>
      </c>
      <c r="AC901" s="24">
        <v>1078547.33</v>
      </c>
      <c r="AD901" s="8">
        <v>584687.51</v>
      </c>
      <c r="AE901" s="24">
        <v>584687.51</v>
      </c>
      <c r="AF901" s="8">
        <v>45</v>
      </c>
      <c r="AG901" s="8">
        <v>5</v>
      </c>
      <c r="AH901" s="8" t="s">
        <v>376</v>
      </c>
      <c r="AI901" s="8" t="s">
        <v>455</v>
      </c>
      <c r="AJ901" s="22">
        <v>0.61</v>
      </c>
      <c r="AK901" s="8" t="s">
        <v>152</v>
      </c>
      <c r="AL901" s="22">
        <v>0.15</v>
      </c>
      <c r="AM901" s="22">
        <v>0.01</v>
      </c>
      <c r="AN901" s="8">
        <v>6</v>
      </c>
      <c r="AO901" s="8">
        <v>4664</v>
      </c>
      <c r="AP901" s="8">
        <v>686103.53</v>
      </c>
      <c r="AQ901" s="24">
        <v>686103.53</v>
      </c>
      <c r="AR901" s="8">
        <v>2108023.4700000002</v>
      </c>
      <c r="AS901" s="37">
        <v>2108023.4700000002</v>
      </c>
      <c r="AT901" s="8" t="s">
        <v>391</v>
      </c>
      <c r="AU901" s="8" t="s">
        <v>348</v>
      </c>
      <c r="AV901" s="8">
        <v>86.3</v>
      </c>
      <c r="AW901" s="8">
        <v>36</v>
      </c>
      <c r="AX901" s="8" t="s">
        <v>392</v>
      </c>
      <c r="AY901" s="8" t="s">
        <v>206</v>
      </c>
      <c r="AZ901" s="8" t="s">
        <v>361</v>
      </c>
      <c r="BA901" s="21">
        <f>IF(OR(tblsales[[#This Row],[Invoice Value USD]]="",tblsales[[#This Row],[Collected Amount USD]]=""),"",tblsales[[#This Row],[Invoice Value USD]]-tblsales[[#This Row],[Collected Amount USD]])</f>
        <v>493859.82000000007</v>
      </c>
      <c r="BB901" s="21">
        <f>IF(OR(tblsales[[#This Row],[Contract Value USD]]="",tblsales[[#This Row],[Cost Estimate USD]]=""),"",tblsales[[#This Row],[Contract Value USD]]-tblsales[[#This Row],[Cost Estimate USD]])</f>
        <v>2927522.1799999997</v>
      </c>
      <c r="BC901" s="21">
        <f>IF(OR(tblsales[[#This Row],[Contract Value USD]]="",tblsales[[#This Row],[Cost Estimate USD]]=""),"",tblsales[[#This Row],[Contract Value USD]]-tblsales[[#This Row],[Cost Estimate USD]])</f>
        <v>2927522.1799999997</v>
      </c>
      <c r="BD901" s="23">
        <f>IF(tblsales[[#This Row],[Invoice Value USD]]="","",tblsales[[#This Row],[Collected Amount USD]]/tblsales[[#This Row],[Invoice Value USD]])</f>
        <v>0.54210649244294173</v>
      </c>
      <c r="BE901" s="11">
        <f>IF(tblsales[[#This Row],[SalesStage]]="Won",1,0)</f>
        <v>0</v>
      </c>
      <c r="BF901" s="21" t="str">
        <f>IF(tblsales[[#This Row],[Win Flag]]=1,"Won","Lost")</f>
        <v>Lost</v>
      </c>
      <c r="BG901" s="8"/>
    </row>
    <row r="902" spans="1:59" x14ac:dyDescent="0.3">
      <c r="A902" s="10" t="s">
        <v>5798</v>
      </c>
      <c r="B902" s="9">
        <v>46000</v>
      </c>
      <c r="C902" s="10" t="s">
        <v>214</v>
      </c>
      <c r="D902" s="10" t="s">
        <v>265</v>
      </c>
      <c r="E902" s="10" t="s">
        <v>52</v>
      </c>
      <c r="F902" s="10" t="s">
        <v>75</v>
      </c>
      <c r="G902" s="10" t="s">
        <v>28</v>
      </c>
      <c r="H902" s="10" t="s">
        <v>212</v>
      </c>
      <c r="I902" s="10" t="s">
        <v>240</v>
      </c>
      <c r="J902" s="10" t="s">
        <v>133</v>
      </c>
      <c r="K902" s="10" t="s">
        <v>210</v>
      </c>
      <c r="L902" s="10" t="s">
        <v>4229</v>
      </c>
      <c r="M902" s="9">
        <v>45665</v>
      </c>
      <c r="N902" s="9">
        <v>45955</v>
      </c>
      <c r="O902" s="9"/>
      <c r="P902" s="11">
        <v>43</v>
      </c>
      <c r="Q902" s="12">
        <v>208275</v>
      </c>
      <c r="R902">
        <v>241807.27499999999</v>
      </c>
      <c r="S902" s="22">
        <v>0.34</v>
      </c>
      <c r="T902" s="22">
        <v>0.05</v>
      </c>
      <c r="U902" s="12">
        <v>144334.57</v>
      </c>
      <c r="V902" s="24">
        <v>167572.43577000001</v>
      </c>
      <c r="W902" s="8">
        <v>122156.11</v>
      </c>
      <c r="X902" s="24">
        <v>141823.24371000001</v>
      </c>
      <c r="Y902" s="22">
        <v>0.15</v>
      </c>
      <c r="Z902" s="22">
        <v>0.12</v>
      </c>
      <c r="AA902" s="8" t="s">
        <v>4230</v>
      </c>
      <c r="AB902" s="8">
        <v>8016.12</v>
      </c>
      <c r="AC902" s="24">
        <v>9306.7153199999993</v>
      </c>
      <c r="AD902" s="8">
        <v>5183.01</v>
      </c>
      <c r="AE902" s="24">
        <v>6017.4746100000002</v>
      </c>
      <c r="AF902" s="8">
        <v>30</v>
      </c>
      <c r="AG902" s="8">
        <v>37</v>
      </c>
      <c r="AH902" s="8" t="s">
        <v>342</v>
      </c>
      <c r="AI902" s="8" t="s">
        <v>354</v>
      </c>
      <c r="AJ902" s="22">
        <v>0.23</v>
      </c>
      <c r="AK902" s="8" t="s">
        <v>159</v>
      </c>
      <c r="AL902" s="22">
        <v>0.15</v>
      </c>
      <c r="AM902" s="22">
        <v>0.1</v>
      </c>
      <c r="AN902" s="8">
        <v>2</v>
      </c>
      <c r="AO902" s="8">
        <v>2343</v>
      </c>
      <c r="AP902" s="8">
        <v>19035.28</v>
      </c>
      <c r="AQ902" s="24">
        <v>22099.960080000001</v>
      </c>
      <c r="AR902" s="8">
        <v>68956.42</v>
      </c>
      <c r="AS902" s="37">
        <v>80058.403619999997</v>
      </c>
      <c r="AT902" s="8" t="s">
        <v>385</v>
      </c>
      <c r="AU902" s="8" t="s">
        <v>322</v>
      </c>
      <c r="AV902" s="8">
        <v>59.4</v>
      </c>
      <c r="AW902" s="8">
        <v>48</v>
      </c>
      <c r="AX902" s="8" t="s">
        <v>387</v>
      </c>
      <c r="AY902" s="8" t="s">
        <v>206</v>
      </c>
      <c r="AZ902" s="8" t="s">
        <v>188</v>
      </c>
      <c r="BA902" s="21">
        <f>IF(OR(tblsales[[#This Row],[Invoice Value USD]]="",tblsales[[#This Row],[Collected Amount USD]]=""),"",tblsales[[#This Row],[Invoice Value USD]]-tblsales[[#This Row],[Collected Amount USD]])</f>
        <v>3289.2407099999991</v>
      </c>
      <c r="BB902" s="21">
        <f>IF(OR(tblsales[[#This Row],[Contract Value USD]]="",tblsales[[#This Row],[Cost Estimate USD]]=""),"",tblsales[[#This Row],[Contract Value USD]]-tblsales[[#This Row],[Cost Estimate USD]])</f>
        <v>25749.192060000001</v>
      </c>
      <c r="BC902" s="21">
        <f>IF(OR(tblsales[[#This Row],[Contract Value USD]]="",tblsales[[#This Row],[Cost Estimate USD]]=""),"",tblsales[[#This Row],[Contract Value USD]]-tblsales[[#This Row],[Cost Estimate USD]])</f>
        <v>25749.192060000001</v>
      </c>
      <c r="BD902" s="23">
        <f>IF(tblsales[[#This Row],[Invoice Value USD]]="","",tblsales[[#This Row],[Collected Amount USD]]/tblsales[[#This Row],[Invoice Value USD]])</f>
        <v>0.64657340458975177</v>
      </c>
      <c r="BE902" s="11">
        <f>IF(tblsales[[#This Row],[SalesStage]]="Won",1,0)</f>
        <v>0</v>
      </c>
      <c r="BF902" s="21" t="str">
        <f>IF(tblsales[[#This Row],[Win Flag]]=1,"Won","Lost")</f>
        <v>Lost</v>
      </c>
      <c r="BG902" s="8"/>
    </row>
    <row r="903" spans="1:59" x14ac:dyDescent="0.3">
      <c r="A903" s="10" t="s">
        <v>2980</v>
      </c>
      <c r="B903" s="9">
        <v>45921</v>
      </c>
      <c r="C903" s="10" t="s">
        <v>270</v>
      </c>
      <c r="D903" s="10" t="s">
        <v>250</v>
      </c>
      <c r="E903" s="10" t="s">
        <v>332</v>
      </c>
      <c r="F903" s="10" t="s">
        <v>196</v>
      </c>
      <c r="G903" s="10" t="s">
        <v>66</v>
      </c>
      <c r="H903" s="10" t="s">
        <v>182</v>
      </c>
      <c r="I903" s="10" t="s">
        <v>191</v>
      </c>
      <c r="J903" s="10" t="s">
        <v>99</v>
      </c>
      <c r="K903" s="10" t="s">
        <v>223</v>
      </c>
      <c r="L903" s="10" t="s">
        <v>2981</v>
      </c>
      <c r="M903" s="9">
        <v>45896</v>
      </c>
      <c r="N903" s="9">
        <v>45943</v>
      </c>
      <c r="O903" s="9">
        <v>46004</v>
      </c>
      <c r="P903" s="11">
        <v>37</v>
      </c>
      <c r="Q903" s="12">
        <v>27603090</v>
      </c>
      <c r="R903">
        <v>27603090</v>
      </c>
      <c r="S903" s="22">
        <v>0.25</v>
      </c>
      <c r="T903" s="22">
        <v>-0.05</v>
      </c>
      <c r="U903" s="12">
        <v>19667201.620000001</v>
      </c>
      <c r="V903" s="24">
        <v>19667201.620000001</v>
      </c>
      <c r="W903" s="8">
        <v>17396908.07</v>
      </c>
      <c r="X903" s="24">
        <v>17396908.07</v>
      </c>
      <c r="Y903" s="22">
        <v>0.1</v>
      </c>
      <c r="Z903" s="22">
        <v>0.05</v>
      </c>
      <c r="AA903" s="8" t="s">
        <v>2982</v>
      </c>
      <c r="AB903" s="8">
        <v>14155519.630000001</v>
      </c>
      <c r="AC903" s="24">
        <v>14155519.630000001</v>
      </c>
      <c r="AD903" s="8">
        <v>12070913.98</v>
      </c>
      <c r="AE903" s="24">
        <v>12070913.98</v>
      </c>
      <c r="AF903" s="8">
        <v>45</v>
      </c>
      <c r="AG903" s="8">
        <v>57</v>
      </c>
      <c r="AH903" s="8" t="s">
        <v>342</v>
      </c>
      <c r="AI903" s="8" t="s">
        <v>336</v>
      </c>
      <c r="AJ903" s="22">
        <v>0.17</v>
      </c>
      <c r="AK903" s="8" t="s">
        <v>152</v>
      </c>
      <c r="AL903" s="22">
        <v>0.15</v>
      </c>
      <c r="AM903" s="22">
        <v>0.08</v>
      </c>
      <c r="AN903" s="8">
        <v>4</v>
      </c>
      <c r="AO903" s="8">
        <v>3319</v>
      </c>
      <c r="AP903" s="8"/>
      <c r="AQ903" s="24"/>
      <c r="AR903" s="8">
        <v>7893033.3399999999</v>
      </c>
      <c r="AS903" s="37">
        <v>7893033.3399999999</v>
      </c>
      <c r="AT903" s="8" t="s">
        <v>391</v>
      </c>
      <c r="AU903" s="8" t="s">
        <v>330</v>
      </c>
      <c r="AV903" s="8">
        <v>59.2</v>
      </c>
      <c r="AW903" s="8">
        <v>48</v>
      </c>
      <c r="AX903" s="8" t="s">
        <v>332</v>
      </c>
      <c r="AY903" s="8" t="s">
        <v>224</v>
      </c>
      <c r="AZ903" s="8" t="s">
        <v>357</v>
      </c>
      <c r="BA903" s="21">
        <f>IF(OR(tblsales[[#This Row],[Invoice Value USD]]="",tblsales[[#This Row],[Collected Amount USD]]=""),"",tblsales[[#This Row],[Invoice Value USD]]-tblsales[[#This Row],[Collected Amount USD]])</f>
        <v>2084605.6500000004</v>
      </c>
      <c r="BB903" s="21">
        <f>IF(OR(tblsales[[#This Row],[Contract Value USD]]="",tblsales[[#This Row],[Cost Estimate USD]]=""),"",tblsales[[#This Row],[Contract Value USD]]-tblsales[[#This Row],[Cost Estimate USD]])</f>
        <v>2270293.5500000007</v>
      </c>
      <c r="BC903" s="21">
        <f>IF(OR(tblsales[[#This Row],[Contract Value USD]]="",tblsales[[#This Row],[Cost Estimate USD]]=""),"",tblsales[[#This Row],[Contract Value USD]]-tblsales[[#This Row],[Cost Estimate USD]])</f>
        <v>2270293.5500000007</v>
      </c>
      <c r="BD903" s="23">
        <f>IF(tblsales[[#This Row],[Invoice Value USD]]="","",tblsales[[#This Row],[Collected Amount USD]]/tblsales[[#This Row],[Invoice Value USD]])</f>
        <v>0.85273549085530809</v>
      </c>
      <c r="BE903" s="11">
        <f>IF(tblsales[[#This Row],[SalesStage]]="Won",1,0)</f>
        <v>0</v>
      </c>
      <c r="BF903" s="21" t="str">
        <f>IF(tblsales[[#This Row],[Win Flag]]=1,"Won","Lost")</f>
        <v>Lost</v>
      </c>
      <c r="BG903" s="8"/>
    </row>
    <row r="904" spans="1:59" x14ac:dyDescent="0.3">
      <c r="A904" s="10" t="s">
        <v>2983</v>
      </c>
      <c r="B904" s="9">
        <v>46032</v>
      </c>
      <c r="C904" s="10" t="s">
        <v>211</v>
      </c>
      <c r="D904" s="10" t="s">
        <v>238</v>
      </c>
      <c r="E904" s="10" t="s">
        <v>41</v>
      </c>
      <c r="F904" s="10" t="s">
        <v>228</v>
      </c>
      <c r="G904" s="10" t="s">
        <v>70</v>
      </c>
      <c r="H904" s="10" t="s">
        <v>332</v>
      </c>
      <c r="I904" s="10" t="s">
        <v>183</v>
      </c>
      <c r="J904" s="10" t="s">
        <v>105</v>
      </c>
      <c r="K904" s="10" t="s">
        <v>221</v>
      </c>
      <c r="L904" s="10" t="s">
        <v>2984</v>
      </c>
      <c r="M904" s="9">
        <v>45955</v>
      </c>
      <c r="N904" s="9">
        <v>46085</v>
      </c>
      <c r="O904" s="9">
        <v>46074</v>
      </c>
      <c r="P904" s="11">
        <v>12</v>
      </c>
      <c r="Q904" s="12">
        <v>22839000</v>
      </c>
      <c r="R904">
        <v>6273873.2999999998</v>
      </c>
      <c r="S904" s="22">
        <v>0.33</v>
      </c>
      <c r="T904" s="22">
        <v>0.06</v>
      </c>
      <c r="U904" s="12">
        <v>16220257.800000001</v>
      </c>
      <c r="V904" s="24">
        <v>4455704.8176600002</v>
      </c>
      <c r="W904" s="8">
        <v>9903405.4100000001</v>
      </c>
      <c r="X904" s="24">
        <v>2720465.4661269998</v>
      </c>
      <c r="Y904" s="22">
        <v>0.12</v>
      </c>
      <c r="Z904" s="22">
        <v>0.17</v>
      </c>
      <c r="AA904" s="8" t="s">
        <v>2985</v>
      </c>
      <c r="AB904" s="8">
        <v>9070861.7300000004</v>
      </c>
      <c r="AC904" s="24">
        <v>2491765.7172310003</v>
      </c>
      <c r="AD904" s="8">
        <v>9332833.5500000007</v>
      </c>
      <c r="AE904" s="24">
        <v>2563729.3761850004</v>
      </c>
      <c r="AF904" s="8">
        <v>120</v>
      </c>
      <c r="AG904" s="8">
        <v>86</v>
      </c>
      <c r="AH904" s="8" t="s">
        <v>376</v>
      </c>
      <c r="AI904" s="8" t="s">
        <v>320</v>
      </c>
      <c r="AJ904" s="22">
        <v>0.8</v>
      </c>
      <c r="AK904" s="8" t="s">
        <v>155</v>
      </c>
      <c r="AL904" s="22">
        <v>0.05</v>
      </c>
      <c r="AM904" s="22">
        <v>0.05</v>
      </c>
      <c r="AN904" s="8">
        <v>0</v>
      </c>
      <c r="AO904" s="8">
        <v>2953</v>
      </c>
      <c r="AP904" s="8"/>
      <c r="AQ904" s="24"/>
      <c r="AR904" s="8">
        <v>7833132.7300000004</v>
      </c>
      <c r="AS904" s="37">
        <v>2151761.5609309999</v>
      </c>
      <c r="AT904" s="8" t="s">
        <v>73</v>
      </c>
      <c r="AU904" s="8" t="s">
        <v>322</v>
      </c>
      <c r="AV904" s="8">
        <v>77.7</v>
      </c>
      <c r="AW904" s="8">
        <v>60</v>
      </c>
      <c r="AX904" s="8" t="s">
        <v>392</v>
      </c>
      <c r="AY904" s="8" t="s">
        <v>224</v>
      </c>
      <c r="AZ904" s="8" t="s">
        <v>324</v>
      </c>
      <c r="BA904" s="21">
        <f>IF(OR(tblsales[[#This Row],[Invoice Value USD]]="",tblsales[[#This Row],[Collected Amount USD]]=""),"",tblsales[[#This Row],[Invoice Value USD]]-tblsales[[#This Row],[Collected Amount USD]])</f>
        <v>-71963.6589540001</v>
      </c>
      <c r="BB904" s="21">
        <f>IF(OR(tblsales[[#This Row],[Contract Value USD]]="",tblsales[[#This Row],[Cost Estimate USD]]=""),"",tblsales[[#This Row],[Contract Value USD]]-tblsales[[#This Row],[Cost Estimate USD]])</f>
        <v>1735239.3515330004</v>
      </c>
      <c r="BC904" s="21">
        <f>IF(OR(tblsales[[#This Row],[Contract Value USD]]="",tblsales[[#This Row],[Cost Estimate USD]]=""),"",tblsales[[#This Row],[Contract Value USD]]-tblsales[[#This Row],[Cost Estimate USD]])</f>
        <v>1735239.3515330004</v>
      </c>
      <c r="BD904" s="23">
        <f>IF(tblsales[[#This Row],[Invoice Value USD]]="","",tblsales[[#This Row],[Collected Amount USD]]/tblsales[[#This Row],[Invoice Value USD]])</f>
        <v>1.028880587952695</v>
      </c>
      <c r="BE904" s="11">
        <f>IF(tblsales[[#This Row],[SalesStage]]="Won",1,0)</f>
        <v>1</v>
      </c>
      <c r="BF904" s="21" t="str">
        <f>IF(tblsales[[#This Row],[Win Flag]]=1,"Won","Lost")</f>
        <v>Won</v>
      </c>
      <c r="BG904" s="8"/>
    </row>
    <row r="905" spans="1:59" x14ac:dyDescent="0.3">
      <c r="A905" s="10" t="s">
        <v>2986</v>
      </c>
      <c r="B905" s="9">
        <v>45882</v>
      </c>
      <c r="C905" s="10" t="s">
        <v>286</v>
      </c>
      <c r="D905" s="10" t="s">
        <v>180</v>
      </c>
      <c r="E905" s="10" t="s">
        <v>41</v>
      </c>
      <c r="F905" s="10" t="s">
        <v>228</v>
      </c>
      <c r="G905" s="10" t="s">
        <v>73</v>
      </c>
      <c r="H905" s="10" t="s">
        <v>182</v>
      </c>
      <c r="I905" s="10" t="s">
        <v>240</v>
      </c>
      <c r="J905" s="10" t="s">
        <v>105</v>
      </c>
      <c r="K905" s="10" t="s">
        <v>184</v>
      </c>
      <c r="L905" s="10" t="s">
        <v>2987</v>
      </c>
      <c r="M905" s="9">
        <v>45824</v>
      </c>
      <c r="N905" s="9">
        <v>45925</v>
      </c>
      <c r="O905" s="9">
        <v>45990</v>
      </c>
      <c r="P905" s="11">
        <v>47</v>
      </c>
      <c r="Q905" s="12">
        <v>37196765</v>
      </c>
      <c r="R905">
        <v>37196765</v>
      </c>
      <c r="S905" s="22">
        <v>0.35</v>
      </c>
      <c r="T905" s="22">
        <v>0.05</v>
      </c>
      <c r="U905" s="12">
        <v>25386792.109999999</v>
      </c>
      <c r="V905" s="24">
        <v>25386792.109999999</v>
      </c>
      <c r="W905" s="8">
        <v>15615608.220000001</v>
      </c>
      <c r="X905" s="24">
        <v>15615608.220000001</v>
      </c>
      <c r="Y905" s="22">
        <v>0.23</v>
      </c>
      <c r="Z905" s="22">
        <v>0.06</v>
      </c>
      <c r="AA905" s="8" t="s">
        <v>2988</v>
      </c>
      <c r="AB905" s="8">
        <v>10712454.880000001</v>
      </c>
      <c r="AC905" s="24">
        <v>10712454.880000001</v>
      </c>
      <c r="AD905" s="8">
        <v>7785365.8799999999</v>
      </c>
      <c r="AE905" s="24">
        <v>7785365.8799999999</v>
      </c>
      <c r="AF905" s="8">
        <v>45</v>
      </c>
      <c r="AG905" s="8">
        <v>63</v>
      </c>
      <c r="AH905" s="8" t="s">
        <v>332</v>
      </c>
      <c r="AI905" s="8" t="s">
        <v>381</v>
      </c>
      <c r="AJ905" s="22">
        <v>0.42</v>
      </c>
      <c r="AK905" s="8" t="s">
        <v>152</v>
      </c>
      <c r="AL905" s="22">
        <v>0.15</v>
      </c>
      <c r="AM905" s="22">
        <v>0.06</v>
      </c>
      <c r="AN905" s="8">
        <v>9</v>
      </c>
      <c r="AO905" s="8">
        <v>2382</v>
      </c>
      <c r="AP905" s="8">
        <v>3889677.21</v>
      </c>
      <c r="AQ905" s="24">
        <v>3889677.21</v>
      </c>
      <c r="AR905" s="8">
        <v>10203434.74</v>
      </c>
      <c r="AS905" s="37">
        <v>10203434.74</v>
      </c>
      <c r="AT905" s="8" t="s">
        <v>343</v>
      </c>
      <c r="AU905" s="8" t="s">
        <v>321</v>
      </c>
      <c r="AV905" s="8">
        <v>75.900000000000006</v>
      </c>
      <c r="AW905" s="8"/>
      <c r="AX905" s="8" t="s">
        <v>392</v>
      </c>
      <c r="AY905" s="8" t="s">
        <v>186</v>
      </c>
      <c r="AZ905" s="8" t="s">
        <v>357</v>
      </c>
      <c r="BA905" s="21">
        <f>IF(OR(tblsales[[#This Row],[Invoice Value USD]]="",tblsales[[#This Row],[Collected Amount USD]]=""),"",tblsales[[#This Row],[Invoice Value USD]]-tblsales[[#This Row],[Collected Amount USD]])</f>
        <v>2927089.0000000009</v>
      </c>
      <c r="BB905" s="21">
        <f>IF(OR(tblsales[[#This Row],[Contract Value USD]]="",tblsales[[#This Row],[Cost Estimate USD]]=""),"",tblsales[[#This Row],[Contract Value USD]]-tblsales[[#This Row],[Cost Estimate USD]])</f>
        <v>9771183.8899999987</v>
      </c>
      <c r="BC905" s="21">
        <f>IF(OR(tblsales[[#This Row],[Contract Value USD]]="",tblsales[[#This Row],[Cost Estimate USD]]=""),"",tblsales[[#This Row],[Contract Value USD]]-tblsales[[#This Row],[Cost Estimate USD]])</f>
        <v>9771183.8899999987</v>
      </c>
      <c r="BD905" s="23">
        <f>IF(tblsales[[#This Row],[Invoice Value USD]]="","",tblsales[[#This Row],[Collected Amount USD]]/tblsales[[#This Row],[Invoice Value USD]])</f>
        <v>0.72675833571398896</v>
      </c>
      <c r="BE905" s="11">
        <f>IF(tblsales[[#This Row],[SalesStage]]="Won",1,0)</f>
        <v>0</v>
      </c>
      <c r="BF905" s="21" t="str">
        <f>IF(tblsales[[#This Row],[Win Flag]]=1,"Won","Lost")</f>
        <v>Lost</v>
      </c>
      <c r="BG905" s="8"/>
    </row>
    <row r="906" spans="1:59" x14ac:dyDescent="0.3">
      <c r="A906" s="10" t="s">
        <v>2989</v>
      </c>
      <c r="B906" s="9">
        <v>45658</v>
      </c>
      <c r="C906" s="10" t="s">
        <v>286</v>
      </c>
      <c r="D906" s="10" t="s">
        <v>255</v>
      </c>
      <c r="E906" s="10" t="s">
        <v>20</v>
      </c>
      <c r="F906" s="10" t="s">
        <v>35</v>
      </c>
      <c r="G906" s="10" t="s">
        <v>66</v>
      </c>
      <c r="H906" s="10" t="s">
        <v>182</v>
      </c>
      <c r="I906" s="10" t="s">
        <v>191</v>
      </c>
      <c r="J906" s="10" t="s">
        <v>136</v>
      </c>
      <c r="K906" s="10" t="s">
        <v>326</v>
      </c>
      <c r="L906" s="10" t="s">
        <v>2990</v>
      </c>
      <c r="M906" s="9">
        <v>45626</v>
      </c>
      <c r="N906" s="9">
        <v>45691</v>
      </c>
      <c r="O906" s="9">
        <v>45702</v>
      </c>
      <c r="P906" s="11">
        <v>18</v>
      </c>
      <c r="Q906" s="12">
        <v>30705793</v>
      </c>
      <c r="R906">
        <v>30705793</v>
      </c>
      <c r="S906" s="22">
        <v>0.27</v>
      </c>
      <c r="T906" s="22">
        <v>0.02</v>
      </c>
      <c r="U906" s="12">
        <v>22863533.469999999</v>
      </c>
      <c r="V906" s="24">
        <v>22863533.469999999</v>
      </c>
      <c r="W906" s="8">
        <v>15061205.460000001</v>
      </c>
      <c r="X906" s="24">
        <v>15061205.460000001</v>
      </c>
      <c r="Y906" s="22"/>
      <c r="Z906" s="22">
        <v>0.19</v>
      </c>
      <c r="AA906" s="8" t="s">
        <v>2991</v>
      </c>
      <c r="AB906" s="8">
        <v>19789683.699999999</v>
      </c>
      <c r="AC906" s="24">
        <v>19789683.699999999</v>
      </c>
      <c r="AD906" s="8">
        <v>6772779.9299999997</v>
      </c>
      <c r="AE906" s="24">
        <v>6772779.9299999997</v>
      </c>
      <c r="AF906" s="8">
        <v>60</v>
      </c>
      <c r="AG906" s="8">
        <v>73</v>
      </c>
      <c r="AH906" s="8" t="s">
        <v>353</v>
      </c>
      <c r="AI906" s="8" t="s">
        <v>455</v>
      </c>
      <c r="AJ906" s="22">
        <v>0.27</v>
      </c>
      <c r="AK906" s="8" t="s">
        <v>152</v>
      </c>
      <c r="AL906" s="22">
        <v>0.05</v>
      </c>
      <c r="AM906" s="22">
        <v>0.05</v>
      </c>
      <c r="AN906" s="8">
        <v>5</v>
      </c>
      <c r="AO906" s="8">
        <v>1310</v>
      </c>
      <c r="AP906" s="8">
        <v>4943006.18</v>
      </c>
      <c r="AQ906" s="24">
        <v>4943006.18</v>
      </c>
      <c r="AR906" s="8">
        <v>4735053.4800000004</v>
      </c>
      <c r="AS906" s="37">
        <v>4735053.4800000004</v>
      </c>
      <c r="AT906" s="8" t="s">
        <v>343</v>
      </c>
      <c r="AU906" s="8" t="s">
        <v>386</v>
      </c>
      <c r="AV906" s="8">
        <v>83.2</v>
      </c>
      <c r="AW906" s="8">
        <v>24</v>
      </c>
      <c r="AX906" s="8" t="s">
        <v>392</v>
      </c>
      <c r="AY906" s="8" t="s">
        <v>229</v>
      </c>
      <c r="AZ906" s="8" t="s">
        <v>324</v>
      </c>
      <c r="BA906" s="21">
        <f>IF(OR(tblsales[[#This Row],[Invoice Value USD]]="",tblsales[[#This Row],[Collected Amount USD]]=""),"",tblsales[[#This Row],[Invoice Value USD]]-tblsales[[#This Row],[Collected Amount USD]])</f>
        <v>13016903.77</v>
      </c>
      <c r="BB906" s="21">
        <f>IF(OR(tblsales[[#This Row],[Contract Value USD]]="",tblsales[[#This Row],[Cost Estimate USD]]=""),"",tblsales[[#This Row],[Contract Value USD]]-tblsales[[#This Row],[Cost Estimate USD]])</f>
        <v>7802328.0099999979</v>
      </c>
      <c r="BC906" s="21">
        <f>IF(OR(tblsales[[#This Row],[Contract Value USD]]="",tblsales[[#This Row],[Cost Estimate USD]]=""),"",tblsales[[#This Row],[Contract Value USD]]-tblsales[[#This Row],[Cost Estimate USD]])</f>
        <v>7802328.0099999979</v>
      </c>
      <c r="BD906" s="23">
        <f>IF(tblsales[[#This Row],[Invoice Value USD]]="","",tblsales[[#This Row],[Collected Amount USD]]/tblsales[[#This Row],[Invoice Value USD]])</f>
        <v>0.34223790701616924</v>
      </c>
      <c r="BE906" s="11">
        <f>IF(tblsales[[#This Row],[SalesStage]]="Won",1,0)</f>
        <v>0</v>
      </c>
      <c r="BF906" s="21" t="str">
        <f>IF(tblsales[[#This Row],[Win Flag]]=1,"Won","Lost")</f>
        <v>Lost</v>
      </c>
      <c r="BG906" s="8"/>
    </row>
    <row r="907" spans="1:59" x14ac:dyDescent="0.3">
      <c r="A907" s="10" t="s">
        <v>2992</v>
      </c>
      <c r="B907" s="9">
        <v>45777</v>
      </c>
      <c r="C907" s="10" t="s">
        <v>276</v>
      </c>
      <c r="D907" s="10" t="s">
        <v>250</v>
      </c>
      <c r="E907" s="10" t="s">
        <v>41</v>
      </c>
      <c r="F907" s="10" t="s">
        <v>363</v>
      </c>
      <c r="G907" s="10" t="s">
        <v>28</v>
      </c>
      <c r="H907" s="10" t="s">
        <v>216</v>
      </c>
      <c r="I907" s="10" t="s">
        <v>191</v>
      </c>
      <c r="J907" s="10" t="s">
        <v>130</v>
      </c>
      <c r="K907" s="10" t="s">
        <v>223</v>
      </c>
      <c r="L907" s="10" t="s">
        <v>2993</v>
      </c>
      <c r="M907" s="9">
        <v>45781</v>
      </c>
      <c r="N907" s="9">
        <v>45694</v>
      </c>
      <c r="O907" s="9">
        <v>45783</v>
      </c>
      <c r="P907" s="11">
        <v>5</v>
      </c>
      <c r="Q907" s="12">
        <v>21327276</v>
      </c>
      <c r="R907">
        <v>5807417.2547999993</v>
      </c>
      <c r="S907" s="22">
        <v>0.18</v>
      </c>
      <c r="T907" s="22">
        <v>-0.03</v>
      </c>
      <c r="U907" s="12">
        <v>16963715.329999998</v>
      </c>
      <c r="V907" s="24">
        <v>4619219.6843589991</v>
      </c>
      <c r="W907" s="8">
        <v>14076001.17</v>
      </c>
      <c r="X907" s="24">
        <v>3832895.1185909999</v>
      </c>
      <c r="Y907" s="22">
        <v>0.36</v>
      </c>
      <c r="Z907" s="22">
        <v>0.15</v>
      </c>
      <c r="AA907" s="8" t="s">
        <v>2994</v>
      </c>
      <c r="AB907" s="8">
        <v>12368396.279999999</v>
      </c>
      <c r="AC907" s="24">
        <v>3367914.3070439994</v>
      </c>
      <c r="AD907" s="8">
        <v>7780884.4100000001</v>
      </c>
      <c r="AE907" s="24">
        <v>2118734.8248430002</v>
      </c>
      <c r="AF907" s="8">
        <v>60</v>
      </c>
      <c r="AG907" s="8">
        <v>112</v>
      </c>
      <c r="AH907" s="8" t="s">
        <v>347</v>
      </c>
      <c r="AI907" s="8" t="s">
        <v>354</v>
      </c>
      <c r="AJ907" s="22">
        <v>0.44</v>
      </c>
      <c r="AK907" s="8" t="s">
        <v>153</v>
      </c>
      <c r="AL907" s="22">
        <v>0.15</v>
      </c>
      <c r="AM907" s="22">
        <v>0.03</v>
      </c>
      <c r="AN907" s="8">
        <v>15</v>
      </c>
      <c r="AO907" s="8">
        <v>2227</v>
      </c>
      <c r="AP907" s="8">
        <v>2437782.19</v>
      </c>
      <c r="AQ907" s="24">
        <v>663808.09033699997</v>
      </c>
      <c r="AR907" s="8">
        <v>6400408.7999999998</v>
      </c>
      <c r="AS907" s="37">
        <v>1742831.3162399998</v>
      </c>
      <c r="AT907" s="8" t="s">
        <v>321</v>
      </c>
      <c r="AU907" s="8" t="s">
        <v>348</v>
      </c>
      <c r="AV907" s="8">
        <v>75.5</v>
      </c>
      <c r="AW907" s="8">
        <v>24</v>
      </c>
      <c r="AX907" s="8" t="s">
        <v>387</v>
      </c>
      <c r="AY907" s="8" t="s">
        <v>192</v>
      </c>
      <c r="AZ907" s="8" t="s">
        <v>332</v>
      </c>
      <c r="BA907" s="21">
        <f>IF(OR(tblsales[[#This Row],[Invoice Value USD]]="",tblsales[[#This Row],[Collected Amount USD]]=""),"",tblsales[[#This Row],[Invoice Value USD]]-tblsales[[#This Row],[Collected Amount USD]])</f>
        <v>1249179.4822009993</v>
      </c>
      <c r="BB907" s="21">
        <f>IF(OR(tblsales[[#This Row],[Contract Value USD]]="",tblsales[[#This Row],[Cost Estimate USD]]=""),"",tblsales[[#This Row],[Contract Value USD]]-tblsales[[#This Row],[Cost Estimate USD]])</f>
        <v>786324.56576799927</v>
      </c>
      <c r="BC907" s="21">
        <f>IF(OR(tblsales[[#This Row],[Contract Value USD]]="",tblsales[[#This Row],[Cost Estimate USD]]=""),"",tblsales[[#This Row],[Contract Value USD]]-tblsales[[#This Row],[Cost Estimate USD]])</f>
        <v>786324.56576799927</v>
      </c>
      <c r="BD907" s="23">
        <f>IF(tblsales[[#This Row],[Invoice Value USD]]="","",tblsales[[#This Row],[Collected Amount USD]]/tblsales[[#This Row],[Invoice Value USD]])</f>
        <v>0.62909404209354791</v>
      </c>
      <c r="BE907" s="11">
        <f>IF(tblsales[[#This Row],[SalesStage]]="Won",1,0)</f>
        <v>0</v>
      </c>
      <c r="BF907" s="21" t="str">
        <f>IF(tblsales[[#This Row],[Win Flag]]=1,"Won","Lost")</f>
        <v>Lost</v>
      </c>
      <c r="BG907" s="8"/>
    </row>
    <row r="908" spans="1:59" x14ac:dyDescent="0.3">
      <c r="A908" s="10" t="s">
        <v>2995</v>
      </c>
      <c r="B908" s="9">
        <v>45861</v>
      </c>
      <c r="C908" s="10" t="s">
        <v>283</v>
      </c>
      <c r="D908" s="10" t="s">
        <v>242</v>
      </c>
      <c r="E908" s="10" t="s">
        <v>113</v>
      </c>
      <c r="F908" s="10" t="s">
        <v>332</v>
      </c>
      <c r="G908" s="10" t="s">
        <v>62</v>
      </c>
      <c r="H908" s="10" t="s">
        <v>216</v>
      </c>
      <c r="I908" s="10" t="s">
        <v>332</v>
      </c>
      <c r="J908" s="10" t="s">
        <v>123</v>
      </c>
      <c r="K908" s="10" t="s">
        <v>199</v>
      </c>
      <c r="L908" s="10" t="s">
        <v>2996</v>
      </c>
      <c r="M908" s="9">
        <v>45791</v>
      </c>
      <c r="N908" s="9">
        <v>45666</v>
      </c>
      <c r="O908" s="9"/>
      <c r="P908" s="11">
        <v>9</v>
      </c>
      <c r="Q908" s="12">
        <v>37846756</v>
      </c>
      <c r="R908">
        <v>10305671.6588</v>
      </c>
      <c r="S908" s="22">
        <v>0.21</v>
      </c>
      <c r="T908" s="22">
        <v>7.0000000000000007E-2</v>
      </c>
      <c r="U908" s="12">
        <v>31991862.850000001</v>
      </c>
      <c r="V908" s="24">
        <v>8711384.2540550008</v>
      </c>
      <c r="W908" s="8">
        <v>25954721.829999998</v>
      </c>
      <c r="X908" s="24">
        <v>7067470.7543089995</v>
      </c>
      <c r="Y908" s="22">
        <v>0.34</v>
      </c>
      <c r="Z908" s="22">
        <v>0.08</v>
      </c>
      <c r="AA908" s="8" t="s">
        <v>2997</v>
      </c>
      <c r="AB908" s="8">
        <v>25967762.66</v>
      </c>
      <c r="AC908" s="24">
        <v>7071021.772318</v>
      </c>
      <c r="AD908" s="8"/>
      <c r="AE908" s="24"/>
      <c r="AF908" s="8">
        <v>60</v>
      </c>
      <c r="AG908" s="8">
        <v>120</v>
      </c>
      <c r="AH908" s="8" t="s">
        <v>353</v>
      </c>
      <c r="AI908" s="8" t="s">
        <v>226</v>
      </c>
      <c r="AJ908" s="22">
        <v>0.53</v>
      </c>
      <c r="AK908" s="8" t="s">
        <v>153</v>
      </c>
      <c r="AL908" s="22">
        <v>0.15</v>
      </c>
      <c r="AM908" s="22">
        <v>0.08</v>
      </c>
      <c r="AN908" s="8">
        <v>2</v>
      </c>
      <c r="AO908" s="8">
        <v>2254</v>
      </c>
      <c r="AP908" s="8">
        <v>2914484.57</v>
      </c>
      <c r="AQ908" s="24">
        <v>793614.14841099991</v>
      </c>
      <c r="AR908" s="8">
        <v>10013769.18</v>
      </c>
      <c r="AS908" s="37">
        <v>2726749.3477139999</v>
      </c>
      <c r="AT908" s="8" t="s">
        <v>385</v>
      </c>
      <c r="AU908" s="8" t="s">
        <v>356</v>
      </c>
      <c r="AV908" s="8">
        <v>54.6</v>
      </c>
      <c r="AW908" s="8">
        <v>24</v>
      </c>
      <c r="AX908" s="8" t="s">
        <v>337</v>
      </c>
      <c r="AY908" s="8" t="s">
        <v>192</v>
      </c>
      <c r="AZ908" s="8" t="s">
        <v>324</v>
      </c>
      <c r="BA908" s="21" t="str">
        <f>IF(OR(tblsales[[#This Row],[Invoice Value USD]]="",tblsales[[#This Row],[Collected Amount USD]]=""),"",tblsales[[#This Row],[Invoice Value USD]]-tblsales[[#This Row],[Collected Amount USD]])</f>
        <v/>
      </c>
      <c r="BB908" s="21">
        <f>IF(OR(tblsales[[#This Row],[Contract Value USD]]="",tblsales[[#This Row],[Cost Estimate USD]]=""),"",tblsales[[#This Row],[Contract Value USD]]-tblsales[[#This Row],[Cost Estimate USD]])</f>
        <v>1643913.4997460013</v>
      </c>
      <c r="BC908" s="21">
        <f>IF(OR(tblsales[[#This Row],[Contract Value USD]]="",tblsales[[#This Row],[Cost Estimate USD]]=""),"",tblsales[[#This Row],[Contract Value USD]]-tblsales[[#This Row],[Cost Estimate USD]])</f>
        <v>1643913.4997460013</v>
      </c>
      <c r="BD908" s="23">
        <f>IF(tblsales[[#This Row],[Invoice Value USD]]="","",tblsales[[#This Row],[Collected Amount USD]]/tblsales[[#This Row],[Invoice Value USD]])</f>
        <v>0</v>
      </c>
      <c r="BE908" s="11">
        <f>IF(tblsales[[#This Row],[SalesStage]]="Won",1,0)</f>
        <v>0</v>
      </c>
      <c r="BF908" s="21" t="str">
        <f>IF(tblsales[[#This Row],[Win Flag]]=1,"Won","Lost")</f>
        <v>Lost</v>
      </c>
      <c r="BG908" s="8"/>
    </row>
    <row r="909" spans="1:59" x14ac:dyDescent="0.3">
      <c r="A909" s="10" t="s">
        <v>2998</v>
      </c>
      <c r="B909" s="9">
        <v>45704</v>
      </c>
      <c r="C909" s="10" t="s">
        <v>208</v>
      </c>
      <c r="D909" s="10" t="s">
        <v>245</v>
      </c>
      <c r="E909" s="10" t="s">
        <v>113</v>
      </c>
      <c r="F909" s="10" t="s">
        <v>181</v>
      </c>
      <c r="G909" s="10" t="s">
        <v>33</v>
      </c>
      <c r="H909" s="10" t="s">
        <v>216</v>
      </c>
      <c r="I909" s="10" t="s">
        <v>198</v>
      </c>
      <c r="J909" s="10" t="s">
        <v>127</v>
      </c>
      <c r="K909" s="10" t="s">
        <v>199</v>
      </c>
      <c r="L909" s="10" t="s">
        <v>2999</v>
      </c>
      <c r="M909" s="9">
        <v>45642</v>
      </c>
      <c r="N909" s="9">
        <v>45738</v>
      </c>
      <c r="O909" s="9">
        <v>45737</v>
      </c>
      <c r="P909" s="11">
        <v>22</v>
      </c>
      <c r="Q909" s="12">
        <v>39844200</v>
      </c>
      <c r="R909">
        <v>10626448.140000001</v>
      </c>
      <c r="S909" s="22">
        <v>0.16</v>
      </c>
      <c r="T909" s="22">
        <v>0.08</v>
      </c>
      <c r="U909" s="12">
        <v>36146658.240000002</v>
      </c>
      <c r="V909" s="24">
        <v>9640313.7526079994</v>
      </c>
      <c r="W909" s="8">
        <v>31649602.719999999</v>
      </c>
      <c r="X909" s="24">
        <v>8440949.0454239994</v>
      </c>
      <c r="Y909" s="22">
        <v>0.23</v>
      </c>
      <c r="Z909" s="22">
        <v>0.13</v>
      </c>
      <c r="AA909" s="8" t="s">
        <v>3000</v>
      </c>
      <c r="AB909" s="8">
        <v>24248187.690000001</v>
      </c>
      <c r="AC909" s="24">
        <v>6466991.6569229998</v>
      </c>
      <c r="AD909" s="8">
        <v>11660045.880000001</v>
      </c>
      <c r="AE909" s="24">
        <v>3109734.2361960001</v>
      </c>
      <c r="AF909" s="8">
        <v>60</v>
      </c>
      <c r="AG909" s="8">
        <v>93</v>
      </c>
      <c r="AH909" s="8" t="s">
        <v>376</v>
      </c>
      <c r="AI909" s="8" t="s">
        <v>455</v>
      </c>
      <c r="AJ909" s="22">
        <v>0.06</v>
      </c>
      <c r="AK909" s="8" t="s">
        <v>162</v>
      </c>
      <c r="AL909" s="22">
        <v>0.1</v>
      </c>
      <c r="AM909" s="22">
        <v>0.02</v>
      </c>
      <c r="AN909" s="8">
        <v>11</v>
      </c>
      <c r="AO909" s="8">
        <v>3040</v>
      </c>
      <c r="AP909" s="8">
        <v>7794931.6299999999</v>
      </c>
      <c r="AQ909" s="24">
        <v>2078908.2657209998</v>
      </c>
      <c r="AR909" s="8">
        <v>14545934.630000001</v>
      </c>
      <c r="AS909" s="37">
        <v>3879400.7658210001</v>
      </c>
      <c r="AT909" s="8" t="s">
        <v>355</v>
      </c>
      <c r="AU909" s="8" t="s">
        <v>348</v>
      </c>
      <c r="AV909" s="8">
        <v>57</v>
      </c>
      <c r="AW909" s="8">
        <v>24</v>
      </c>
      <c r="AX909" s="8" t="s">
        <v>332</v>
      </c>
      <c r="AY909" s="8" t="s">
        <v>206</v>
      </c>
      <c r="AZ909" s="8" t="s">
        <v>377</v>
      </c>
      <c r="BA909" s="21">
        <f>IF(OR(tblsales[[#This Row],[Invoice Value USD]]="",tblsales[[#This Row],[Collected Amount USD]]=""),"",tblsales[[#This Row],[Invoice Value USD]]-tblsales[[#This Row],[Collected Amount USD]])</f>
        <v>3357257.4207269996</v>
      </c>
      <c r="BB909" s="21">
        <f>IF(OR(tblsales[[#This Row],[Contract Value USD]]="",tblsales[[#This Row],[Cost Estimate USD]]=""),"",tblsales[[#This Row],[Contract Value USD]]-tblsales[[#This Row],[Cost Estimate USD]])</f>
        <v>1199364.7071839999</v>
      </c>
      <c r="BC909" s="21">
        <f>IF(OR(tblsales[[#This Row],[Contract Value USD]]="",tblsales[[#This Row],[Cost Estimate USD]]=""),"",tblsales[[#This Row],[Contract Value USD]]-tblsales[[#This Row],[Cost Estimate USD]])</f>
        <v>1199364.7071839999</v>
      </c>
      <c r="BD909" s="23">
        <f>IF(tblsales[[#This Row],[Invoice Value USD]]="","",tblsales[[#This Row],[Collected Amount USD]]/tblsales[[#This Row],[Invoice Value USD]])</f>
        <v>0.48086257121841014</v>
      </c>
      <c r="BE909" s="11">
        <f>IF(tblsales[[#This Row],[SalesStage]]="Won",1,0)</f>
        <v>0</v>
      </c>
      <c r="BF909" s="21" t="str">
        <f>IF(tblsales[[#This Row],[Win Flag]]=1,"Won","Lost")</f>
        <v>Lost</v>
      </c>
      <c r="BG909" s="8"/>
    </row>
    <row r="910" spans="1:59" x14ac:dyDescent="0.3">
      <c r="A910" s="10" t="s">
        <v>3001</v>
      </c>
      <c r="B910" s="9">
        <v>45696</v>
      </c>
      <c r="C910" s="10" t="s">
        <v>235</v>
      </c>
      <c r="D910" s="10" t="s">
        <v>245</v>
      </c>
      <c r="E910" s="10" t="s">
        <v>36</v>
      </c>
      <c r="F910" s="10" t="s">
        <v>19</v>
      </c>
      <c r="G910" s="10" t="s">
        <v>16</v>
      </c>
      <c r="H910" s="10" t="s">
        <v>263</v>
      </c>
      <c r="I910" s="10" t="s">
        <v>246</v>
      </c>
      <c r="J910" s="10" t="s">
        <v>115</v>
      </c>
      <c r="K910" s="10" t="s">
        <v>221</v>
      </c>
      <c r="L910" s="10" t="s">
        <v>3002</v>
      </c>
      <c r="M910" s="9">
        <v>45642</v>
      </c>
      <c r="N910" s="9">
        <v>45873</v>
      </c>
      <c r="O910" s="9">
        <v>45765</v>
      </c>
      <c r="P910" s="11"/>
      <c r="Q910" s="12">
        <v>27591556</v>
      </c>
      <c r="R910">
        <v>7513180.6987999994</v>
      </c>
      <c r="S910" s="22">
        <v>0.01</v>
      </c>
      <c r="T910" s="22">
        <v>0.12</v>
      </c>
      <c r="U910" s="12">
        <v>30593517.289999999</v>
      </c>
      <c r="V910" s="24">
        <v>8330614.7580669997</v>
      </c>
      <c r="W910" s="8">
        <v>21716984.850000001</v>
      </c>
      <c r="X910" s="24">
        <v>5913534.9746550005</v>
      </c>
      <c r="Y910" s="22">
        <v>0.34</v>
      </c>
      <c r="Z910" s="22">
        <v>0.17</v>
      </c>
      <c r="AA910" s="8" t="s">
        <v>3003</v>
      </c>
      <c r="AB910" s="8">
        <v>8616041.8499999996</v>
      </c>
      <c r="AC910" s="24">
        <v>2346148.1957549998</v>
      </c>
      <c r="AD910" s="8">
        <v>7251459.0099999998</v>
      </c>
      <c r="AE910" s="24">
        <v>1974572.2884229999</v>
      </c>
      <c r="AF910" s="8">
        <v>60</v>
      </c>
      <c r="AG910" s="8">
        <v>29</v>
      </c>
      <c r="AH910" s="8" t="s">
        <v>342</v>
      </c>
      <c r="AI910" s="8" t="s">
        <v>336</v>
      </c>
      <c r="AJ910" s="22">
        <v>0.5</v>
      </c>
      <c r="AK910" s="8" t="s">
        <v>153</v>
      </c>
      <c r="AL910" s="22">
        <v>0.15</v>
      </c>
      <c r="AM910" s="22">
        <v>0.02</v>
      </c>
      <c r="AN910" s="8">
        <v>6</v>
      </c>
      <c r="AO910" s="8">
        <v>2289</v>
      </c>
      <c r="AP910" s="8">
        <v>3626220.39</v>
      </c>
      <c r="AQ910" s="24">
        <v>987419.81219700002</v>
      </c>
      <c r="AR910" s="8">
        <v>8194085.1399999997</v>
      </c>
      <c r="AS910" s="37">
        <v>2231249.383622</v>
      </c>
      <c r="AT910" s="8" t="s">
        <v>332</v>
      </c>
      <c r="AU910" s="8" t="s">
        <v>332</v>
      </c>
      <c r="AV910" s="8">
        <v>69.400000000000006</v>
      </c>
      <c r="AW910" s="8"/>
      <c r="AX910" s="8" t="s">
        <v>323</v>
      </c>
      <c r="AY910" s="8" t="s">
        <v>192</v>
      </c>
      <c r="AZ910" s="8" t="s">
        <v>332</v>
      </c>
      <c r="BA910" s="21">
        <f>IF(OR(tblsales[[#This Row],[Invoice Value USD]]="",tblsales[[#This Row],[Collected Amount USD]]=""),"",tblsales[[#This Row],[Invoice Value USD]]-tblsales[[#This Row],[Collected Amount USD]])</f>
        <v>371575.90733199986</v>
      </c>
      <c r="BB910" s="21">
        <f>IF(OR(tblsales[[#This Row],[Contract Value USD]]="",tblsales[[#This Row],[Cost Estimate USD]]=""),"",tblsales[[#This Row],[Contract Value USD]]-tblsales[[#This Row],[Cost Estimate USD]])</f>
        <v>2417079.7834119992</v>
      </c>
      <c r="BC910" s="21">
        <f>IF(OR(tblsales[[#This Row],[Contract Value USD]]="",tblsales[[#This Row],[Cost Estimate USD]]=""),"",tblsales[[#This Row],[Contract Value USD]]-tblsales[[#This Row],[Cost Estimate USD]])</f>
        <v>2417079.7834119992</v>
      </c>
      <c r="BD910" s="23">
        <f>IF(tblsales[[#This Row],[Invoice Value USD]]="","",tblsales[[#This Row],[Collected Amount USD]]/tblsales[[#This Row],[Invoice Value USD]])</f>
        <v>0.84162300233024057</v>
      </c>
      <c r="BE910" s="11">
        <f>IF(tblsales[[#This Row],[SalesStage]]="Won",1,0)</f>
        <v>0</v>
      </c>
      <c r="BF910" s="21" t="str">
        <f>IF(tblsales[[#This Row],[Win Flag]]=1,"Won","Lost")</f>
        <v>Lost</v>
      </c>
      <c r="BG910" s="8"/>
    </row>
    <row r="911" spans="1:59" x14ac:dyDescent="0.3">
      <c r="A911" s="10" t="s">
        <v>3004</v>
      </c>
      <c r="B911" s="9">
        <v>45970</v>
      </c>
      <c r="C911" s="10" t="s">
        <v>260</v>
      </c>
      <c r="D911" s="10" t="s">
        <v>190</v>
      </c>
      <c r="E911" s="10" t="s">
        <v>113</v>
      </c>
      <c r="F911" s="10" t="s">
        <v>181</v>
      </c>
      <c r="G911" s="10" t="s">
        <v>28</v>
      </c>
      <c r="H911" s="10" t="s">
        <v>332</v>
      </c>
      <c r="I911" s="10" t="s">
        <v>233</v>
      </c>
      <c r="J911" s="10" t="s">
        <v>123</v>
      </c>
      <c r="K911" s="10" t="s">
        <v>221</v>
      </c>
      <c r="L911" s="10" t="s">
        <v>3005</v>
      </c>
      <c r="M911" s="9">
        <v>45877</v>
      </c>
      <c r="N911" s="9">
        <v>45949</v>
      </c>
      <c r="O911" s="9">
        <v>46007</v>
      </c>
      <c r="P911" s="11"/>
      <c r="Q911" s="12">
        <v>1404536</v>
      </c>
      <c r="R911">
        <v>1630666.2960000001</v>
      </c>
      <c r="S911" s="22">
        <v>0.05</v>
      </c>
      <c r="T911" s="22">
        <v>0.12</v>
      </c>
      <c r="U911" s="12">
        <v>1494426.3</v>
      </c>
      <c r="V911" s="24">
        <v>1735028.9343000001</v>
      </c>
      <c r="W911" s="8">
        <v>1237384.6100000001</v>
      </c>
      <c r="X911" s="24">
        <v>1436603.5322100001</v>
      </c>
      <c r="Y911" s="22">
        <v>0.23</v>
      </c>
      <c r="Z911" s="22">
        <v>0.19</v>
      </c>
      <c r="AA911" s="8" t="s">
        <v>3006</v>
      </c>
      <c r="AB911" s="8">
        <v>97195.79</v>
      </c>
      <c r="AC911" s="24">
        <v>112844.31219</v>
      </c>
      <c r="AD911" s="8">
        <v>55409.16</v>
      </c>
      <c r="AE911" s="24">
        <v>64330.034760000002</v>
      </c>
      <c r="AF911" s="8">
        <v>120</v>
      </c>
      <c r="AG911" s="8">
        <v>146</v>
      </c>
      <c r="AH911" s="8" t="s">
        <v>332</v>
      </c>
      <c r="AI911" s="8" t="s">
        <v>320</v>
      </c>
      <c r="AJ911" s="22">
        <v>0.23</v>
      </c>
      <c r="AK911" s="8" t="s">
        <v>159</v>
      </c>
      <c r="AL911" s="22">
        <v>0.1</v>
      </c>
      <c r="AM911" s="22">
        <v>0.06</v>
      </c>
      <c r="AN911" s="8">
        <v>15</v>
      </c>
      <c r="AO911" s="8">
        <v>1329</v>
      </c>
      <c r="AP911" s="8">
        <v>330373.53000000003</v>
      </c>
      <c r="AQ911" s="24">
        <v>383563.66833000001</v>
      </c>
      <c r="AR911" s="8">
        <v>472349.98</v>
      </c>
      <c r="AS911" s="37">
        <v>548398.32678</v>
      </c>
      <c r="AT911" s="8" t="s">
        <v>355</v>
      </c>
      <c r="AU911" s="8" t="s">
        <v>332</v>
      </c>
      <c r="AV911" s="8"/>
      <c r="AW911" s="8">
        <v>12</v>
      </c>
      <c r="AX911" s="8" t="s">
        <v>332</v>
      </c>
      <c r="AY911" s="8" t="s">
        <v>206</v>
      </c>
      <c r="AZ911" s="8" t="s">
        <v>357</v>
      </c>
      <c r="BA911" s="21">
        <f>IF(OR(tblsales[[#This Row],[Invoice Value USD]]="",tblsales[[#This Row],[Collected Amount USD]]=""),"",tblsales[[#This Row],[Invoice Value USD]]-tblsales[[#This Row],[Collected Amount USD]])</f>
        <v>48514.277429999995</v>
      </c>
      <c r="BB911" s="21">
        <f>IF(OR(tblsales[[#This Row],[Contract Value USD]]="",tblsales[[#This Row],[Cost Estimate USD]]=""),"",tblsales[[#This Row],[Contract Value USD]]-tblsales[[#This Row],[Cost Estimate USD]])</f>
        <v>298425.40208999999</v>
      </c>
      <c r="BC911" s="21">
        <f>IF(OR(tblsales[[#This Row],[Contract Value USD]]="",tblsales[[#This Row],[Cost Estimate USD]]=""),"",tblsales[[#This Row],[Contract Value USD]]-tblsales[[#This Row],[Cost Estimate USD]])</f>
        <v>298425.40208999999</v>
      </c>
      <c r="BD911" s="23">
        <f>IF(tblsales[[#This Row],[Invoice Value USD]]="","",tblsales[[#This Row],[Collected Amount USD]]/tblsales[[#This Row],[Invoice Value USD]])</f>
        <v>0.57007777806014026</v>
      </c>
      <c r="BE911" s="11">
        <f>IF(tblsales[[#This Row],[SalesStage]]="Won",1,0)</f>
        <v>1</v>
      </c>
      <c r="BF911" s="21" t="str">
        <f>IF(tblsales[[#This Row],[Win Flag]]=1,"Won","Lost")</f>
        <v>Won</v>
      </c>
      <c r="BG911" s="8"/>
    </row>
    <row r="912" spans="1:59" x14ac:dyDescent="0.3">
      <c r="A912" s="10" t="s">
        <v>3007</v>
      </c>
      <c r="B912" s="9">
        <v>45947</v>
      </c>
      <c r="C912" s="10" t="s">
        <v>264</v>
      </c>
      <c r="D912" s="10" t="s">
        <v>262</v>
      </c>
      <c r="E912" s="10" t="s">
        <v>41</v>
      </c>
      <c r="F912" s="10" t="s">
        <v>363</v>
      </c>
      <c r="G912" s="10" t="s">
        <v>16</v>
      </c>
      <c r="H912" s="10" t="s">
        <v>197</v>
      </c>
      <c r="I912" s="10" t="s">
        <v>233</v>
      </c>
      <c r="J912" s="10" t="s">
        <v>105</v>
      </c>
      <c r="K912" s="10" t="s">
        <v>184</v>
      </c>
      <c r="L912" s="10" t="s">
        <v>3008</v>
      </c>
      <c r="M912" s="9">
        <v>45919</v>
      </c>
      <c r="N912" s="9">
        <v>45983</v>
      </c>
      <c r="O912" s="9">
        <v>45942</v>
      </c>
      <c r="P912" s="11">
        <v>7</v>
      </c>
      <c r="Q912" s="12">
        <v>14776894</v>
      </c>
      <c r="R912">
        <v>4023748.2361999997</v>
      </c>
      <c r="S912" s="22">
        <v>0.01</v>
      </c>
      <c r="T912" s="22">
        <v>-0.05</v>
      </c>
      <c r="U912" s="12">
        <v>13897668.810000001</v>
      </c>
      <c r="V912" s="24">
        <v>3784335.2169630001</v>
      </c>
      <c r="W912" s="8">
        <v>11518527.33</v>
      </c>
      <c r="X912" s="24">
        <v>3136494.991959</v>
      </c>
      <c r="Y912" s="22">
        <v>0.23</v>
      </c>
      <c r="Z912" s="22">
        <v>0.08</v>
      </c>
      <c r="AA912" s="8" t="s">
        <v>3009</v>
      </c>
      <c r="AB912" s="8">
        <v>781798.88</v>
      </c>
      <c r="AC912" s="24">
        <v>212883.835024</v>
      </c>
      <c r="AD912" s="8">
        <v>389196.97</v>
      </c>
      <c r="AE912" s="24">
        <v>105978.33493099999</v>
      </c>
      <c r="AF912" s="8">
        <v>90</v>
      </c>
      <c r="AG912" s="8">
        <v>89</v>
      </c>
      <c r="AH912" s="8" t="s">
        <v>347</v>
      </c>
      <c r="AI912" s="8" t="s">
        <v>354</v>
      </c>
      <c r="AJ912" s="22">
        <v>0.56999999999999995</v>
      </c>
      <c r="AK912" s="8" t="s">
        <v>153</v>
      </c>
      <c r="AL912" s="22">
        <v>0.15</v>
      </c>
      <c r="AM912" s="22">
        <v>0.09</v>
      </c>
      <c r="AN912" s="8">
        <v>0</v>
      </c>
      <c r="AO912" s="8">
        <v>4816</v>
      </c>
      <c r="AP912" s="8">
        <v>1603401.33</v>
      </c>
      <c r="AQ912" s="24">
        <v>436606.18215900002</v>
      </c>
      <c r="AR912" s="8">
        <v>2467398.2000000002</v>
      </c>
      <c r="AS912" s="37">
        <v>671872.52986000001</v>
      </c>
      <c r="AT912" s="8" t="s">
        <v>391</v>
      </c>
      <c r="AU912" s="8" t="s">
        <v>348</v>
      </c>
      <c r="AV912" s="8">
        <v>63.3</v>
      </c>
      <c r="AW912" s="8">
        <v>48</v>
      </c>
      <c r="AX912" s="8" t="s">
        <v>337</v>
      </c>
      <c r="AY912" s="8" t="s">
        <v>206</v>
      </c>
      <c r="AZ912" s="8" t="s">
        <v>357</v>
      </c>
      <c r="BA912" s="21">
        <f>IF(OR(tblsales[[#This Row],[Invoice Value USD]]="",tblsales[[#This Row],[Collected Amount USD]]=""),"",tblsales[[#This Row],[Invoice Value USD]]-tblsales[[#This Row],[Collected Amount USD]])</f>
        <v>106905.50009300001</v>
      </c>
      <c r="BB912" s="21">
        <f>IF(OR(tblsales[[#This Row],[Contract Value USD]]="",tblsales[[#This Row],[Cost Estimate USD]]=""),"",tblsales[[#This Row],[Contract Value USD]]-tblsales[[#This Row],[Cost Estimate USD]])</f>
        <v>647840.22500400012</v>
      </c>
      <c r="BC912" s="21">
        <f>IF(OR(tblsales[[#This Row],[Contract Value USD]]="",tblsales[[#This Row],[Cost Estimate USD]]=""),"",tblsales[[#This Row],[Contract Value USD]]-tblsales[[#This Row],[Cost Estimate USD]])</f>
        <v>647840.22500400012</v>
      </c>
      <c r="BD912" s="23">
        <f>IF(tblsales[[#This Row],[Invoice Value USD]]="","",tblsales[[#This Row],[Collected Amount USD]]/tblsales[[#This Row],[Invoice Value USD]])</f>
        <v>0.49782236833084226</v>
      </c>
      <c r="BE912" s="11">
        <f>IF(tblsales[[#This Row],[SalesStage]]="Won",1,0)</f>
        <v>0</v>
      </c>
      <c r="BF912" s="21" t="str">
        <f>IF(tblsales[[#This Row],[Win Flag]]=1,"Won","Lost")</f>
        <v>Lost</v>
      </c>
      <c r="BG912" s="8"/>
    </row>
    <row r="913" spans="1:59" x14ac:dyDescent="0.3">
      <c r="A913" s="10" t="s">
        <v>3010</v>
      </c>
      <c r="B913" s="9">
        <v>46019</v>
      </c>
      <c r="C913" s="10" t="s">
        <v>195</v>
      </c>
      <c r="D913" s="10" t="s">
        <v>202</v>
      </c>
      <c r="E913" s="10" t="s">
        <v>36</v>
      </c>
      <c r="F913" s="10" t="s">
        <v>332</v>
      </c>
      <c r="G913" s="10" t="s">
        <v>23</v>
      </c>
      <c r="H913" s="10" t="s">
        <v>332</v>
      </c>
      <c r="I913" s="10" t="s">
        <v>191</v>
      </c>
      <c r="J913" s="10" t="s">
        <v>115</v>
      </c>
      <c r="K913" s="10" t="s">
        <v>184</v>
      </c>
      <c r="L913" s="10" t="s">
        <v>3011</v>
      </c>
      <c r="M913" s="9">
        <v>45849</v>
      </c>
      <c r="N913" s="9"/>
      <c r="O913" s="9">
        <v>46146</v>
      </c>
      <c r="P913" s="11">
        <v>54</v>
      </c>
      <c r="Q913" s="12">
        <v>20275732</v>
      </c>
      <c r="R913">
        <v>5569743.5804000003</v>
      </c>
      <c r="S913" s="22">
        <v>0.33</v>
      </c>
      <c r="T913" s="22">
        <v>0.15</v>
      </c>
      <c r="U913" s="12">
        <v>15622451.51</v>
      </c>
      <c r="V913" s="24">
        <v>4291487.4297970003</v>
      </c>
      <c r="W913" s="8">
        <v>13473412.98</v>
      </c>
      <c r="X913" s="24">
        <v>3701146.5456060003</v>
      </c>
      <c r="Y913" s="22">
        <v>0.24</v>
      </c>
      <c r="Z913" s="22">
        <v>0.17</v>
      </c>
      <c r="AA913" s="8" t="s">
        <v>3012</v>
      </c>
      <c r="AB913" s="8">
        <v>9929570.0199999996</v>
      </c>
      <c r="AC913" s="24">
        <v>2727652.8844939996</v>
      </c>
      <c r="AD913" s="8">
        <v>7926046.2199999997</v>
      </c>
      <c r="AE913" s="24">
        <v>2177284.8966339999</v>
      </c>
      <c r="AF913" s="8">
        <v>60</v>
      </c>
      <c r="AG913" s="8">
        <v>70</v>
      </c>
      <c r="AH913" s="8" t="s">
        <v>353</v>
      </c>
      <c r="AI913" s="8" t="s">
        <v>455</v>
      </c>
      <c r="AJ913" s="22">
        <v>0.71</v>
      </c>
      <c r="AK913" s="8" t="s">
        <v>155</v>
      </c>
      <c r="AL913" s="22">
        <v>0.15</v>
      </c>
      <c r="AM913" s="22">
        <v>7.0000000000000007E-2</v>
      </c>
      <c r="AN913" s="8">
        <v>2</v>
      </c>
      <c r="AO913" s="8"/>
      <c r="AP913" s="8">
        <v>2374855.08</v>
      </c>
      <c r="AQ913" s="24">
        <v>652372.69047600008</v>
      </c>
      <c r="AR913" s="8">
        <v>2817674.71</v>
      </c>
      <c r="AS913" s="37">
        <v>774015.24283699994</v>
      </c>
      <c r="AT913" s="8" t="s">
        <v>332</v>
      </c>
      <c r="AU913" s="8" t="s">
        <v>330</v>
      </c>
      <c r="AV913" s="8">
        <v>98</v>
      </c>
      <c r="AW913" s="8">
        <v>48</v>
      </c>
      <c r="AX913" s="8" t="s">
        <v>337</v>
      </c>
      <c r="AY913" s="8" t="s">
        <v>224</v>
      </c>
      <c r="AZ913" s="8" t="s">
        <v>357</v>
      </c>
      <c r="BA913" s="21">
        <f>IF(OR(tblsales[[#This Row],[Invoice Value USD]]="",tblsales[[#This Row],[Collected Amount USD]]=""),"",tblsales[[#This Row],[Invoice Value USD]]-tblsales[[#This Row],[Collected Amount USD]])</f>
        <v>550367.98785999976</v>
      </c>
      <c r="BB913" s="21">
        <f>IF(OR(tblsales[[#This Row],[Contract Value USD]]="",tblsales[[#This Row],[Cost Estimate USD]]=""),"",tblsales[[#This Row],[Contract Value USD]]-tblsales[[#This Row],[Cost Estimate USD]])</f>
        <v>590340.8841909999</v>
      </c>
      <c r="BC913" s="21">
        <f>IF(OR(tblsales[[#This Row],[Contract Value USD]]="",tblsales[[#This Row],[Cost Estimate USD]]=""),"",tblsales[[#This Row],[Contract Value USD]]-tblsales[[#This Row],[Cost Estimate USD]])</f>
        <v>590340.8841909999</v>
      </c>
      <c r="BD913" s="23">
        <f>IF(tblsales[[#This Row],[Invoice Value USD]]="","",tblsales[[#This Row],[Collected Amount USD]]/tblsales[[#This Row],[Invoice Value USD]])</f>
        <v>0.79822652985330378</v>
      </c>
      <c r="BE913" s="11">
        <f>IF(tblsales[[#This Row],[SalesStage]]="Won",1,0)</f>
        <v>0</v>
      </c>
      <c r="BF913" s="21" t="str">
        <f>IF(tblsales[[#This Row],[Win Flag]]=1,"Won","Lost")</f>
        <v>Lost</v>
      </c>
      <c r="BG913" s="8"/>
    </row>
    <row r="914" spans="1:59" x14ac:dyDescent="0.3">
      <c r="A914" s="10" t="s">
        <v>3013</v>
      </c>
      <c r="B914" s="9">
        <v>45799</v>
      </c>
      <c r="C914" s="10" t="s">
        <v>258</v>
      </c>
      <c r="D914" s="10" t="s">
        <v>190</v>
      </c>
      <c r="E914" s="10" t="s">
        <v>113</v>
      </c>
      <c r="F914" s="10" t="s">
        <v>367</v>
      </c>
      <c r="G914" s="10" t="s">
        <v>28</v>
      </c>
      <c r="H914" s="10" t="s">
        <v>212</v>
      </c>
      <c r="I914" s="10" t="s">
        <v>246</v>
      </c>
      <c r="J914" s="10" t="s">
        <v>111</v>
      </c>
      <c r="K914" s="10" t="s">
        <v>221</v>
      </c>
      <c r="L914" s="10" t="s">
        <v>3014</v>
      </c>
      <c r="M914" s="9">
        <v>45813</v>
      </c>
      <c r="N914" s="9"/>
      <c r="O914" s="9">
        <v>45866</v>
      </c>
      <c r="P914" s="11">
        <v>35</v>
      </c>
      <c r="Q914" s="12">
        <v>42036956</v>
      </c>
      <c r="R914">
        <v>11446663.118799999</v>
      </c>
      <c r="S914" s="22">
        <v>0.28999999999999998</v>
      </c>
      <c r="T914" s="22">
        <v>0.15</v>
      </c>
      <c r="U914" s="12">
        <v>34323174.57</v>
      </c>
      <c r="V914" s="24">
        <v>9346200.4354109988</v>
      </c>
      <c r="W914" s="8">
        <v>29890923.050000001</v>
      </c>
      <c r="X914" s="24">
        <v>8139298.3465149999</v>
      </c>
      <c r="Y914" s="22">
        <v>0.11</v>
      </c>
      <c r="Z914" s="22">
        <v>0.06</v>
      </c>
      <c r="AA914" s="8" t="s">
        <v>3015</v>
      </c>
      <c r="AB914" s="8">
        <v>26761563.449999999</v>
      </c>
      <c r="AC914" s="24">
        <v>7287173.7274349993</v>
      </c>
      <c r="AD914" s="8">
        <v>12562827.08</v>
      </c>
      <c r="AE914" s="24">
        <v>3420857.8138839998</v>
      </c>
      <c r="AF914" s="8">
        <v>45</v>
      </c>
      <c r="AG914" s="8">
        <v>140</v>
      </c>
      <c r="AH914" s="8" t="s">
        <v>376</v>
      </c>
      <c r="AI914" s="8" t="s">
        <v>320</v>
      </c>
      <c r="AJ914" s="22">
        <v>0.67</v>
      </c>
      <c r="AK914" s="8" t="s">
        <v>153</v>
      </c>
      <c r="AL914" s="22">
        <v>0.05</v>
      </c>
      <c r="AM914" s="22">
        <v>0.09</v>
      </c>
      <c r="AN914" s="8">
        <v>9</v>
      </c>
      <c r="AO914" s="8">
        <v>3180</v>
      </c>
      <c r="AP914" s="8">
        <v>1489508.29</v>
      </c>
      <c r="AQ914" s="24">
        <v>405593.10736700002</v>
      </c>
      <c r="AR914" s="8">
        <v>13289267.58</v>
      </c>
      <c r="AS914" s="37">
        <v>3618667.5620339997</v>
      </c>
      <c r="AT914" s="8" t="s">
        <v>355</v>
      </c>
      <c r="AU914" s="8" t="s">
        <v>356</v>
      </c>
      <c r="AV914" s="8">
        <v>52.1</v>
      </c>
      <c r="AW914" s="8">
        <v>48</v>
      </c>
      <c r="AX914" s="8" t="s">
        <v>332</v>
      </c>
      <c r="AY914" s="8" t="s">
        <v>206</v>
      </c>
      <c r="AZ914" s="8" t="s">
        <v>332</v>
      </c>
      <c r="BA914" s="21">
        <f>IF(OR(tblsales[[#This Row],[Invoice Value USD]]="",tblsales[[#This Row],[Collected Amount USD]]=""),"",tblsales[[#This Row],[Invoice Value USD]]-tblsales[[#This Row],[Collected Amount USD]])</f>
        <v>3866315.9135509995</v>
      </c>
      <c r="BB914" s="21">
        <f>IF(OR(tblsales[[#This Row],[Contract Value USD]]="",tblsales[[#This Row],[Cost Estimate USD]]=""),"",tblsales[[#This Row],[Contract Value USD]]-tblsales[[#This Row],[Cost Estimate USD]])</f>
        <v>1206902.0888959989</v>
      </c>
      <c r="BC914" s="21">
        <f>IF(OR(tblsales[[#This Row],[Contract Value USD]]="",tblsales[[#This Row],[Cost Estimate USD]]=""),"",tblsales[[#This Row],[Contract Value USD]]-tblsales[[#This Row],[Cost Estimate USD]])</f>
        <v>1206902.0888959989</v>
      </c>
      <c r="BD914" s="23">
        <f>IF(tblsales[[#This Row],[Invoice Value USD]]="","",tblsales[[#This Row],[Collected Amount USD]]/tblsales[[#This Row],[Invoice Value USD]])</f>
        <v>0.46943546865158958</v>
      </c>
      <c r="BE914" s="11">
        <f>IF(tblsales[[#This Row],[SalesStage]]="Won",1,0)</f>
        <v>1</v>
      </c>
      <c r="BF914" s="21" t="str">
        <f>IF(tblsales[[#This Row],[Win Flag]]=1,"Won","Lost")</f>
        <v>Won</v>
      </c>
      <c r="BG914" s="8"/>
    </row>
    <row r="915" spans="1:59" x14ac:dyDescent="0.3">
      <c r="A915" s="10" t="s">
        <v>3016</v>
      </c>
      <c r="B915" s="9">
        <v>46066</v>
      </c>
      <c r="C915" s="10" t="s">
        <v>195</v>
      </c>
      <c r="D915" s="10" t="s">
        <v>250</v>
      </c>
      <c r="E915" s="10" t="s">
        <v>36</v>
      </c>
      <c r="F915" s="10" t="s">
        <v>339</v>
      </c>
      <c r="G915" s="10" t="s">
        <v>28</v>
      </c>
      <c r="H915" s="10" t="s">
        <v>197</v>
      </c>
      <c r="I915" s="10" t="s">
        <v>246</v>
      </c>
      <c r="J915" s="10" t="s">
        <v>115</v>
      </c>
      <c r="K915" s="10" t="s">
        <v>223</v>
      </c>
      <c r="L915" s="10" t="s">
        <v>3017</v>
      </c>
      <c r="M915" s="9">
        <v>46009</v>
      </c>
      <c r="N915" s="9"/>
      <c r="O915" s="9"/>
      <c r="P915" s="11">
        <v>20</v>
      </c>
      <c r="Q915" s="12">
        <v>18918714</v>
      </c>
      <c r="R915">
        <v>18918714</v>
      </c>
      <c r="S915" s="22">
        <v>0.14000000000000001</v>
      </c>
      <c r="T915" s="22">
        <v>0.05</v>
      </c>
      <c r="U915" s="12">
        <v>17083598.739999998</v>
      </c>
      <c r="V915" s="24">
        <v>17083598.739999998</v>
      </c>
      <c r="W915" s="8">
        <v>12435682</v>
      </c>
      <c r="X915" s="24">
        <v>12435682</v>
      </c>
      <c r="Y915" s="22">
        <v>0.32</v>
      </c>
      <c r="Z915" s="22">
        <v>0.15</v>
      </c>
      <c r="AA915" s="8" t="s">
        <v>3018</v>
      </c>
      <c r="AB915" s="8">
        <v>7611867.6299999999</v>
      </c>
      <c r="AC915" s="24">
        <v>7611867.6299999999</v>
      </c>
      <c r="AD915" s="8">
        <v>5917121.8700000001</v>
      </c>
      <c r="AE915" s="24">
        <v>5917121.8700000001</v>
      </c>
      <c r="AF915" s="8">
        <v>60</v>
      </c>
      <c r="AG915" s="8">
        <v>31</v>
      </c>
      <c r="AH915" s="8" t="s">
        <v>376</v>
      </c>
      <c r="AI915" s="8" t="s">
        <v>406</v>
      </c>
      <c r="AJ915" s="22">
        <v>0.14000000000000001</v>
      </c>
      <c r="AK915" s="8" t="s">
        <v>152</v>
      </c>
      <c r="AL915" s="22">
        <v>0.05</v>
      </c>
      <c r="AM915" s="22">
        <v>0.03</v>
      </c>
      <c r="AN915" s="8">
        <v>11</v>
      </c>
      <c r="AO915" s="8">
        <v>1277</v>
      </c>
      <c r="AP915" s="8">
        <v>3898108.55</v>
      </c>
      <c r="AQ915" s="24">
        <v>3898108.55</v>
      </c>
      <c r="AR915" s="8">
        <v>2827434.32</v>
      </c>
      <c r="AS915" s="37">
        <v>2827434.32</v>
      </c>
      <c r="AT915" s="8" t="s">
        <v>391</v>
      </c>
      <c r="AU915" s="8" t="s">
        <v>321</v>
      </c>
      <c r="AV915" s="8">
        <v>68.7</v>
      </c>
      <c r="AW915" s="8">
        <v>60</v>
      </c>
      <c r="AX915" s="8" t="s">
        <v>392</v>
      </c>
      <c r="AY915" s="8" t="s">
        <v>224</v>
      </c>
      <c r="AZ915" s="8" t="s">
        <v>324</v>
      </c>
      <c r="BA915" s="21">
        <f>IF(OR(tblsales[[#This Row],[Invoice Value USD]]="",tblsales[[#This Row],[Collected Amount USD]]=""),"",tblsales[[#This Row],[Invoice Value USD]]-tblsales[[#This Row],[Collected Amount USD]])</f>
        <v>1694745.7599999998</v>
      </c>
      <c r="BB915" s="21">
        <f>IF(OR(tblsales[[#This Row],[Contract Value USD]]="",tblsales[[#This Row],[Cost Estimate USD]]=""),"",tblsales[[#This Row],[Contract Value USD]]-tblsales[[#This Row],[Cost Estimate USD]])</f>
        <v>4647916.7399999984</v>
      </c>
      <c r="BC915" s="21">
        <f>IF(OR(tblsales[[#This Row],[Contract Value USD]]="",tblsales[[#This Row],[Cost Estimate USD]]=""),"",tblsales[[#This Row],[Contract Value USD]]-tblsales[[#This Row],[Cost Estimate USD]])</f>
        <v>4647916.7399999984</v>
      </c>
      <c r="BD915" s="23">
        <f>IF(tblsales[[#This Row],[Invoice Value USD]]="","",tblsales[[#This Row],[Collected Amount USD]]/tblsales[[#This Row],[Invoice Value USD]])</f>
        <v>0.77735480405352242</v>
      </c>
      <c r="BE915" s="11">
        <f>IF(tblsales[[#This Row],[SalesStage]]="Won",1,0)</f>
        <v>0</v>
      </c>
      <c r="BF915" s="21" t="str">
        <f>IF(tblsales[[#This Row],[Win Flag]]=1,"Won","Lost")</f>
        <v>Lost</v>
      </c>
      <c r="BG915" s="8"/>
    </row>
    <row r="916" spans="1:59" x14ac:dyDescent="0.3">
      <c r="A916" s="10" t="s">
        <v>3019</v>
      </c>
      <c r="B916" s="9">
        <v>45893</v>
      </c>
      <c r="C916" s="10" t="s">
        <v>251</v>
      </c>
      <c r="D916" s="10" t="s">
        <v>202</v>
      </c>
      <c r="E916" s="10" t="s">
        <v>113</v>
      </c>
      <c r="F916" s="10" t="s">
        <v>181</v>
      </c>
      <c r="G916" s="10" t="s">
        <v>38</v>
      </c>
      <c r="H916" s="10" t="s">
        <v>236</v>
      </c>
      <c r="I916" s="10" t="s">
        <v>191</v>
      </c>
      <c r="J916" s="10" t="s">
        <v>127</v>
      </c>
      <c r="K916" s="10" t="s">
        <v>223</v>
      </c>
      <c r="L916" s="10" t="s">
        <v>3020</v>
      </c>
      <c r="M916" s="9">
        <v>45857</v>
      </c>
      <c r="N916" s="9"/>
      <c r="O916" s="9">
        <v>45960</v>
      </c>
      <c r="P916" s="11">
        <v>44</v>
      </c>
      <c r="Q916" s="12">
        <v>2162132</v>
      </c>
      <c r="R916">
        <v>576640.60439999995</v>
      </c>
      <c r="S916" s="22">
        <v>0.05</v>
      </c>
      <c r="T916" s="22">
        <v>0.01</v>
      </c>
      <c r="U916" s="12">
        <v>2074565.65</v>
      </c>
      <c r="V916" s="24">
        <v>553286.65885499993</v>
      </c>
      <c r="W916" s="8">
        <v>1620851.9</v>
      </c>
      <c r="X916" s="24">
        <v>432281.20172999997</v>
      </c>
      <c r="Y916" s="22">
        <v>0.3</v>
      </c>
      <c r="Z916" s="22">
        <v>0.18</v>
      </c>
      <c r="AA916" s="8" t="s">
        <v>3021</v>
      </c>
      <c r="AB916" s="8">
        <v>946816.05</v>
      </c>
      <c r="AC916" s="24">
        <v>252515.840535</v>
      </c>
      <c r="AD916" s="8">
        <v>581283.26</v>
      </c>
      <c r="AE916" s="24">
        <v>155028.24544199998</v>
      </c>
      <c r="AF916" s="8">
        <v>30</v>
      </c>
      <c r="AG916" s="8">
        <v>171</v>
      </c>
      <c r="AH916" s="8" t="s">
        <v>329</v>
      </c>
      <c r="AI916" s="8" t="s">
        <v>354</v>
      </c>
      <c r="AJ916" s="22">
        <v>0.48</v>
      </c>
      <c r="AK916" s="8" t="s">
        <v>162</v>
      </c>
      <c r="AL916" s="22">
        <v>0.05</v>
      </c>
      <c r="AM916" s="22">
        <v>7.0000000000000007E-2</v>
      </c>
      <c r="AN916" s="8">
        <v>6</v>
      </c>
      <c r="AO916" s="8">
        <v>2785</v>
      </c>
      <c r="AP916" s="8">
        <v>250954.79</v>
      </c>
      <c r="AQ916" s="24">
        <v>66929.642493000007</v>
      </c>
      <c r="AR916" s="8">
        <v>889229.02</v>
      </c>
      <c r="AS916" s="37">
        <v>237157.37963400001</v>
      </c>
      <c r="AT916" s="8" t="s">
        <v>332</v>
      </c>
      <c r="AU916" s="8" t="s">
        <v>330</v>
      </c>
      <c r="AV916" s="8">
        <v>93.4</v>
      </c>
      <c r="AW916" s="8">
        <v>60</v>
      </c>
      <c r="AX916" s="8" t="s">
        <v>332</v>
      </c>
      <c r="AY916" s="8" t="s">
        <v>206</v>
      </c>
      <c r="AZ916" s="8" t="s">
        <v>357</v>
      </c>
      <c r="BA916" s="21">
        <f>IF(OR(tblsales[[#This Row],[Invoice Value USD]]="",tblsales[[#This Row],[Collected Amount USD]]=""),"",tblsales[[#This Row],[Invoice Value USD]]-tblsales[[#This Row],[Collected Amount USD]])</f>
        <v>97487.595093000011</v>
      </c>
      <c r="BB916" s="21">
        <f>IF(OR(tblsales[[#This Row],[Contract Value USD]]="",tblsales[[#This Row],[Cost Estimate USD]]=""),"",tblsales[[#This Row],[Contract Value USD]]-tblsales[[#This Row],[Cost Estimate USD]])</f>
        <v>121005.45712499996</v>
      </c>
      <c r="BC916" s="21">
        <f>IF(OR(tblsales[[#This Row],[Contract Value USD]]="",tblsales[[#This Row],[Cost Estimate USD]]=""),"",tblsales[[#This Row],[Contract Value USD]]-tblsales[[#This Row],[Cost Estimate USD]])</f>
        <v>121005.45712499996</v>
      </c>
      <c r="BD916" s="23">
        <f>IF(tblsales[[#This Row],[Invoice Value USD]]="","",tblsales[[#This Row],[Collected Amount USD]]/tblsales[[#This Row],[Invoice Value USD]])</f>
        <v>0.61393473420734679</v>
      </c>
      <c r="BE916" s="11">
        <f>IF(tblsales[[#This Row],[SalesStage]]="Won",1,0)</f>
        <v>0</v>
      </c>
      <c r="BF916" s="21" t="str">
        <f>IF(tblsales[[#This Row],[Win Flag]]=1,"Won","Lost")</f>
        <v>Lost</v>
      </c>
      <c r="BG916" s="8"/>
    </row>
    <row r="917" spans="1:59" x14ac:dyDescent="0.3">
      <c r="A917" s="10" t="s">
        <v>3022</v>
      </c>
      <c r="B917" s="9">
        <v>46006</v>
      </c>
      <c r="C917" s="10" t="s">
        <v>239</v>
      </c>
      <c r="D917" s="10" t="s">
        <v>238</v>
      </c>
      <c r="E917" s="10" t="s">
        <v>52</v>
      </c>
      <c r="F917" s="10" t="s">
        <v>75</v>
      </c>
      <c r="G917" s="10" t="s">
        <v>57</v>
      </c>
      <c r="H917" s="10" t="s">
        <v>182</v>
      </c>
      <c r="I917" s="10" t="s">
        <v>246</v>
      </c>
      <c r="J917" s="10" t="s">
        <v>119</v>
      </c>
      <c r="K917" s="10" t="s">
        <v>326</v>
      </c>
      <c r="L917" s="10" t="s">
        <v>3023</v>
      </c>
      <c r="M917" s="9">
        <v>45941</v>
      </c>
      <c r="N917" s="9">
        <v>46010</v>
      </c>
      <c r="O917" s="9"/>
      <c r="P917" s="11">
        <v>31</v>
      </c>
      <c r="Q917" s="12">
        <v>8752336</v>
      </c>
      <c r="R917">
        <v>2383261.0927999998</v>
      </c>
      <c r="S917" s="22">
        <v>0.3</v>
      </c>
      <c r="T917" s="22">
        <v>0.1</v>
      </c>
      <c r="U917" s="12">
        <v>6739298.7199999997</v>
      </c>
      <c r="V917" s="24">
        <v>1835111.0414559999</v>
      </c>
      <c r="W917" s="8">
        <v>6061096.2800000003</v>
      </c>
      <c r="X917" s="24">
        <v>1650436.5170440001</v>
      </c>
      <c r="Y917" s="22">
        <v>0.11</v>
      </c>
      <c r="Z917" s="22">
        <v>0.12</v>
      </c>
      <c r="AA917" s="8" t="s">
        <v>3024</v>
      </c>
      <c r="AB917" s="8">
        <v>3541966.3</v>
      </c>
      <c r="AC917" s="24">
        <v>964477.42348999996</v>
      </c>
      <c r="AD917" s="8">
        <v>2091763.7</v>
      </c>
      <c r="AE917" s="24">
        <v>569587.25550999993</v>
      </c>
      <c r="AF917" s="8">
        <v>90</v>
      </c>
      <c r="AG917" s="8">
        <v>89</v>
      </c>
      <c r="AH917" s="8" t="s">
        <v>353</v>
      </c>
      <c r="AI917" s="8" t="s">
        <v>354</v>
      </c>
      <c r="AJ917" s="22">
        <v>0.19</v>
      </c>
      <c r="AK917" s="8" t="s">
        <v>153</v>
      </c>
      <c r="AL917" s="22">
        <v>0.15</v>
      </c>
      <c r="AM917" s="22">
        <v>0.06</v>
      </c>
      <c r="AN917" s="8">
        <v>6</v>
      </c>
      <c r="AO917" s="8">
        <v>4285</v>
      </c>
      <c r="AP917" s="8">
        <v>813849.32</v>
      </c>
      <c r="AQ917" s="24">
        <v>221611.16983599999</v>
      </c>
      <c r="AR917" s="8">
        <v>1436077.68</v>
      </c>
      <c r="AS917" s="37">
        <v>391043.95226399996</v>
      </c>
      <c r="AT917" s="8" t="s">
        <v>73</v>
      </c>
      <c r="AU917" s="8" t="s">
        <v>348</v>
      </c>
      <c r="AV917" s="8">
        <v>98.4</v>
      </c>
      <c r="AW917" s="8">
        <v>12</v>
      </c>
      <c r="AX917" s="8" t="s">
        <v>332</v>
      </c>
      <c r="AY917" s="8" t="s">
        <v>206</v>
      </c>
      <c r="AZ917" s="8" t="s">
        <v>332</v>
      </c>
      <c r="BA917" s="21">
        <f>IF(OR(tblsales[[#This Row],[Invoice Value USD]]="",tblsales[[#This Row],[Collected Amount USD]]=""),"",tblsales[[#This Row],[Invoice Value USD]]-tblsales[[#This Row],[Collected Amount USD]])</f>
        <v>394890.16798000003</v>
      </c>
      <c r="BB917" s="21">
        <f>IF(OR(tblsales[[#This Row],[Contract Value USD]]="",tblsales[[#This Row],[Cost Estimate USD]]=""),"",tblsales[[#This Row],[Contract Value USD]]-tblsales[[#This Row],[Cost Estimate USD]])</f>
        <v>184674.52441199985</v>
      </c>
      <c r="BC917" s="21">
        <f>IF(OR(tblsales[[#This Row],[Contract Value USD]]="",tblsales[[#This Row],[Cost Estimate USD]]=""),"",tblsales[[#This Row],[Contract Value USD]]-tblsales[[#This Row],[Cost Estimate USD]])</f>
        <v>184674.52441199985</v>
      </c>
      <c r="BD917" s="23">
        <f>IF(tblsales[[#This Row],[Invoice Value USD]]="","",tblsales[[#This Row],[Collected Amount USD]]/tblsales[[#This Row],[Invoice Value USD]])</f>
        <v>0.59056566969595381</v>
      </c>
      <c r="BE917" s="11">
        <f>IF(tblsales[[#This Row],[SalesStage]]="Won",1,0)</f>
        <v>0</v>
      </c>
      <c r="BF917" s="21" t="str">
        <f>IF(tblsales[[#This Row],[Win Flag]]=1,"Won","Lost")</f>
        <v>Lost</v>
      </c>
      <c r="BG917" s="8"/>
    </row>
    <row r="918" spans="1:59" x14ac:dyDescent="0.3">
      <c r="A918" s="10" t="s">
        <v>3025</v>
      </c>
      <c r="B918" s="9">
        <v>45809</v>
      </c>
      <c r="C918" s="10" t="s">
        <v>280</v>
      </c>
      <c r="D918" s="10" t="s">
        <v>274</v>
      </c>
      <c r="E918" s="10" t="s">
        <v>332</v>
      </c>
      <c r="F918" s="10" t="s">
        <v>332</v>
      </c>
      <c r="G918" s="10" t="s">
        <v>33</v>
      </c>
      <c r="H918" s="10" t="s">
        <v>263</v>
      </c>
      <c r="I918" s="10" t="s">
        <v>191</v>
      </c>
      <c r="J918" s="10" t="s">
        <v>99</v>
      </c>
      <c r="K918" s="10" t="s">
        <v>326</v>
      </c>
      <c r="L918" s="10" t="s">
        <v>3026</v>
      </c>
      <c r="M918" s="9">
        <v>45734</v>
      </c>
      <c r="N918" s="9">
        <v>45844</v>
      </c>
      <c r="O918" s="9">
        <v>45891</v>
      </c>
      <c r="P918" s="11">
        <v>9</v>
      </c>
      <c r="Q918" s="12">
        <v>27274391</v>
      </c>
      <c r="R918">
        <v>27274391</v>
      </c>
      <c r="S918" s="22">
        <v>7.0000000000000007E-2</v>
      </c>
      <c r="T918" s="22">
        <v>0.16</v>
      </c>
      <c r="U918" s="12">
        <v>29423613.010000002</v>
      </c>
      <c r="V918" s="24">
        <v>29423613.010000002</v>
      </c>
      <c r="W918" s="8">
        <v>24714633.719999999</v>
      </c>
      <c r="X918" s="24">
        <v>24714633.719999999</v>
      </c>
      <c r="Y918" s="22">
        <v>0.25</v>
      </c>
      <c r="Z918" s="22">
        <v>0.14000000000000001</v>
      </c>
      <c r="AA918" s="8" t="s">
        <v>3027</v>
      </c>
      <c r="AB918" s="8">
        <v>11606515.289999999</v>
      </c>
      <c r="AC918" s="24">
        <v>11606515.289999999</v>
      </c>
      <c r="AD918" s="8">
        <v>5913441.8700000001</v>
      </c>
      <c r="AE918" s="24">
        <v>5913441.8700000001</v>
      </c>
      <c r="AF918" s="8">
        <v>90</v>
      </c>
      <c r="AG918" s="8">
        <v>85</v>
      </c>
      <c r="AH918" s="8" t="s">
        <v>353</v>
      </c>
      <c r="AI918" s="8" t="s">
        <v>381</v>
      </c>
      <c r="AJ918" s="22">
        <v>0.14000000000000001</v>
      </c>
      <c r="AK918" s="8" t="s">
        <v>152</v>
      </c>
      <c r="AL918" s="22">
        <v>0.15</v>
      </c>
      <c r="AM918" s="22">
        <v>0.05</v>
      </c>
      <c r="AN918" s="8">
        <v>10</v>
      </c>
      <c r="AO918" s="8">
        <v>1361</v>
      </c>
      <c r="AP918" s="8">
        <v>2674481.25</v>
      </c>
      <c r="AQ918" s="24">
        <v>2674481.25</v>
      </c>
      <c r="AR918" s="8">
        <v>6037286.8099999996</v>
      </c>
      <c r="AS918" s="37">
        <v>6037286.8099999996</v>
      </c>
      <c r="AT918" s="8" t="s">
        <v>355</v>
      </c>
      <c r="AU918" s="8" t="s">
        <v>330</v>
      </c>
      <c r="AV918" s="8"/>
      <c r="AW918" s="8">
        <v>36</v>
      </c>
      <c r="AX918" s="8" t="s">
        <v>332</v>
      </c>
      <c r="AY918" s="8" t="s">
        <v>229</v>
      </c>
      <c r="AZ918" s="8" t="s">
        <v>324</v>
      </c>
      <c r="BA918" s="21">
        <f>IF(OR(tblsales[[#This Row],[Invoice Value USD]]="",tblsales[[#This Row],[Collected Amount USD]]=""),"",tblsales[[#This Row],[Invoice Value USD]]-tblsales[[#This Row],[Collected Amount USD]])</f>
        <v>5693073.419999999</v>
      </c>
      <c r="BB918" s="21">
        <f>IF(OR(tblsales[[#This Row],[Contract Value USD]]="",tblsales[[#This Row],[Cost Estimate USD]]=""),"",tblsales[[#This Row],[Contract Value USD]]-tblsales[[#This Row],[Cost Estimate USD]])</f>
        <v>4708979.2900000028</v>
      </c>
      <c r="BC918" s="21">
        <f>IF(OR(tblsales[[#This Row],[Contract Value USD]]="",tblsales[[#This Row],[Cost Estimate USD]]=""),"",tblsales[[#This Row],[Contract Value USD]]-tblsales[[#This Row],[Cost Estimate USD]])</f>
        <v>4708979.2900000028</v>
      </c>
      <c r="BD918" s="23">
        <f>IF(tblsales[[#This Row],[Invoice Value USD]]="","",tblsales[[#This Row],[Collected Amount USD]]/tblsales[[#This Row],[Invoice Value USD]])</f>
        <v>0.50949330804698412</v>
      </c>
      <c r="BE918" s="11">
        <f>IF(tblsales[[#This Row],[SalesStage]]="Won",1,0)</f>
        <v>0</v>
      </c>
      <c r="BF918" s="21" t="str">
        <f>IF(tblsales[[#This Row],[Win Flag]]=1,"Won","Lost")</f>
        <v>Lost</v>
      </c>
      <c r="BG918" s="8"/>
    </row>
    <row r="919" spans="1:59" x14ac:dyDescent="0.3">
      <c r="A919" s="10" t="s">
        <v>3028</v>
      </c>
      <c r="B919" s="9">
        <v>45945</v>
      </c>
      <c r="C919" s="10" t="s">
        <v>222</v>
      </c>
      <c r="D919" s="10" t="s">
        <v>562</v>
      </c>
      <c r="E919" s="10" t="s">
        <v>41</v>
      </c>
      <c r="F919" s="10" t="s">
        <v>350</v>
      </c>
      <c r="G919" s="10" t="s">
        <v>66</v>
      </c>
      <c r="H919" s="10" t="s">
        <v>332</v>
      </c>
      <c r="I919" s="10" t="s">
        <v>203</v>
      </c>
      <c r="J919" s="10" t="s">
        <v>130</v>
      </c>
      <c r="K919" s="10" t="s">
        <v>199</v>
      </c>
      <c r="L919" s="10" t="s">
        <v>3029</v>
      </c>
      <c r="M919" s="9">
        <v>45879</v>
      </c>
      <c r="N919" s="9">
        <v>45966</v>
      </c>
      <c r="O919" s="9">
        <v>46037</v>
      </c>
      <c r="P919" s="11">
        <v>44</v>
      </c>
      <c r="Q919" s="12">
        <v>30555862</v>
      </c>
      <c r="R919">
        <v>30555862</v>
      </c>
      <c r="S919" s="22">
        <v>0.34</v>
      </c>
      <c r="T919" s="22">
        <v>0.19</v>
      </c>
      <c r="U919" s="12">
        <v>23998574.010000002</v>
      </c>
      <c r="V919" s="24">
        <v>23998574.010000002</v>
      </c>
      <c r="W919" s="8">
        <v>18433794.02</v>
      </c>
      <c r="X919" s="24">
        <v>18433794.02</v>
      </c>
      <c r="Y919" s="22">
        <v>0.26</v>
      </c>
      <c r="Z919" s="22">
        <v>0.08</v>
      </c>
      <c r="AA919" s="8" t="s">
        <v>3030</v>
      </c>
      <c r="AB919" s="8">
        <v>5191079.8899999997</v>
      </c>
      <c r="AC919" s="24">
        <v>5191079.8899999997</v>
      </c>
      <c r="AD919" s="8">
        <v>2874475.05</v>
      </c>
      <c r="AE919" s="24">
        <v>2874475.05</v>
      </c>
      <c r="AF919" s="8">
        <v>90</v>
      </c>
      <c r="AG919" s="8">
        <v>140</v>
      </c>
      <c r="AH919" s="8" t="s">
        <v>376</v>
      </c>
      <c r="AI919" s="8" t="s">
        <v>226</v>
      </c>
      <c r="AJ919" s="22">
        <v>0.27</v>
      </c>
      <c r="AK919" s="8" t="s">
        <v>152</v>
      </c>
      <c r="AL919" s="22">
        <v>0.05</v>
      </c>
      <c r="AM919" s="22">
        <v>0.09</v>
      </c>
      <c r="AN919" s="8">
        <v>5</v>
      </c>
      <c r="AO919" s="8">
        <v>2161</v>
      </c>
      <c r="AP919" s="8">
        <v>1854182.58</v>
      </c>
      <c r="AQ919" s="24">
        <v>1854182.58</v>
      </c>
      <c r="AR919" s="8">
        <v>8554384.9800000004</v>
      </c>
      <c r="AS919" s="37">
        <v>8554384.9800000004</v>
      </c>
      <c r="AT919" s="8" t="s">
        <v>391</v>
      </c>
      <c r="AU919" s="8" t="s">
        <v>356</v>
      </c>
      <c r="AV919" s="8">
        <v>53.3</v>
      </c>
      <c r="AW919" s="8">
        <v>48</v>
      </c>
      <c r="AX919" s="8" t="s">
        <v>392</v>
      </c>
      <c r="AY919" s="8" t="s">
        <v>229</v>
      </c>
      <c r="AZ919" s="8" t="s">
        <v>357</v>
      </c>
      <c r="BA919" s="21">
        <f>IF(OR(tblsales[[#This Row],[Invoice Value USD]]="",tblsales[[#This Row],[Collected Amount USD]]=""),"",tblsales[[#This Row],[Invoice Value USD]]-tblsales[[#This Row],[Collected Amount USD]])</f>
        <v>2316604.84</v>
      </c>
      <c r="BB919" s="21">
        <f>IF(OR(tblsales[[#This Row],[Contract Value USD]]="",tblsales[[#This Row],[Cost Estimate USD]]=""),"",tblsales[[#This Row],[Contract Value USD]]-tblsales[[#This Row],[Cost Estimate USD]])</f>
        <v>5564779.9900000021</v>
      </c>
      <c r="BC919" s="21">
        <f>IF(OR(tblsales[[#This Row],[Contract Value USD]]="",tblsales[[#This Row],[Cost Estimate USD]]=""),"",tblsales[[#This Row],[Contract Value USD]]-tblsales[[#This Row],[Cost Estimate USD]])</f>
        <v>5564779.9900000021</v>
      </c>
      <c r="BD919" s="23">
        <f>IF(tblsales[[#This Row],[Invoice Value USD]]="","",tblsales[[#This Row],[Collected Amount USD]]/tblsales[[#This Row],[Invoice Value USD]])</f>
        <v>0.5537335411726827</v>
      </c>
      <c r="BE919" s="11">
        <f>IF(tblsales[[#This Row],[SalesStage]]="Won",1,0)</f>
        <v>0</v>
      </c>
      <c r="BF919" s="21" t="str">
        <f>IF(tblsales[[#This Row],[Win Flag]]=1,"Won","Lost")</f>
        <v>Lost</v>
      </c>
      <c r="BG919" s="8"/>
    </row>
    <row r="920" spans="1:59" x14ac:dyDescent="0.3">
      <c r="A920" s="10" t="s">
        <v>3031</v>
      </c>
      <c r="B920" s="9">
        <v>45819</v>
      </c>
      <c r="C920" s="10" t="s">
        <v>270</v>
      </c>
      <c r="D920" s="10" t="s">
        <v>265</v>
      </c>
      <c r="E920" s="10" t="s">
        <v>20</v>
      </c>
      <c r="F920" s="10" t="s">
        <v>31</v>
      </c>
      <c r="G920" s="10" t="s">
        <v>57</v>
      </c>
      <c r="H920" s="10" t="s">
        <v>212</v>
      </c>
      <c r="I920" s="10" t="s">
        <v>213</v>
      </c>
      <c r="J920" s="10" t="s">
        <v>136</v>
      </c>
      <c r="K920" s="10" t="s">
        <v>326</v>
      </c>
      <c r="L920" s="10" t="s">
        <v>3032</v>
      </c>
      <c r="M920" s="9">
        <v>45772</v>
      </c>
      <c r="N920" s="9">
        <v>45695</v>
      </c>
      <c r="O920" s="9"/>
      <c r="P920" s="11">
        <v>51</v>
      </c>
      <c r="Q920" s="12">
        <v>34457400</v>
      </c>
      <c r="R920">
        <v>9382750.0199999996</v>
      </c>
      <c r="S920" s="22">
        <v>0.1</v>
      </c>
      <c r="T920" s="22">
        <v>0.03</v>
      </c>
      <c r="U920" s="12">
        <v>31942009.800000001</v>
      </c>
      <c r="V920" s="24">
        <v>8697809.2685400005</v>
      </c>
      <c r="W920" s="8">
        <v>27865456.120000001</v>
      </c>
      <c r="X920" s="24">
        <v>7587763.7014760002</v>
      </c>
      <c r="Y920" s="22">
        <v>0.08</v>
      </c>
      <c r="Z920" s="22">
        <v>0.16</v>
      </c>
      <c r="AA920" s="8" t="s">
        <v>3033</v>
      </c>
      <c r="AB920" s="8">
        <v>5443679.4900000002</v>
      </c>
      <c r="AC920" s="24">
        <v>1482313.9251270001</v>
      </c>
      <c r="AD920" s="8">
        <v>2099208.2200000002</v>
      </c>
      <c r="AE920" s="24">
        <v>571614.39830600005</v>
      </c>
      <c r="AF920" s="8">
        <v>45</v>
      </c>
      <c r="AG920" s="8">
        <v>120</v>
      </c>
      <c r="AH920" s="8" t="s">
        <v>329</v>
      </c>
      <c r="AI920" s="8" t="s">
        <v>336</v>
      </c>
      <c r="AJ920" s="22">
        <v>0.1</v>
      </c>
      <c r="AK920" s="8" t="s">
        <v>153</v>
      </c>
      <c r="AL920" s="22">
        <v>0.05</v>
      </c>
      <c r="AM920" s="22">
        <v>0.03</v>
      </c>
      <c r="AN920" s="8">
        <v>9</v>
      </c>
      <c r="AO920" s="8">
        <v>4809</v>
      </c>
      <c r="AP920" s="8">
        <v>4805281.92</v>
      </c>
      <c r="AQ920" s="24">
        <v>1308478.266816</v>
      </c>
      <c r="AR920" s="8"/>
      <c r="AS920" s="37"/>
      <c r="AT920" s="8" t="s">
        <v>343</v>
      </c>
      <c r="AU920" s="8" t="s">
        <v>356</v>
      </c>
      <c r="AV920" s="8">
        <v>57</v>
      </c>
      <c r="AW920" s="8">
        <v>12</v>
      </c>
      <c r="AX920" s="8" t="s">
        <v>323</v>
      </c>
      <c r="AY920" s="8" t="s">
        <v>206</v>
      </c>
      <c r="AZ920" s="8" t="s">
        <v>361</v>
      </c>
      <c r="BA920" s="21">
        <f>IF(OR(tblsales[[#This Row],[Invoice Value USD]]="",tblsales[[#This Row],[Collected Amount USD]]=""),"",tblsales[[#This Row],[Invoice Value USD]]-tblsales[[#This Row],[Collected Amount USD]])</f>
        <v>910699.52682100004</v>
      </c>
      <c r="BB920" s="21">
        <f>IF(OR(tblsales[[#This Row],[Contract Value USD]]="",tblsales[[#This Row],[Cost Estimate USD]]=""),"",tblsales[[#This Row],[Contract Value USD]]-tblsales[[#This Row],[Cost Estimate USD]])</f>
        <v>1110045.5670640003</v>
      </c>
      <c r="BC920" s="21">
        <f>IF(OR(tblsales[[#This Row],[Contract Value USD]]="",tblsales[[#This Row],[Cost Estimate USD]]=""),"",tblsales[[#This Row],[Contract Value USD]]-tblsales[[#This Row],[Cost Estimate USD]])</f>
        <v>1110045.5670640003</v>
      </c>
      <c r="BD920" s="23">
        <f>IF(tblsales[[#This Row],[Invoice Value USD]]="","",tblsales[[#This Row],[Collected Amount USD]]/tblsales[[#This Row],[Invoice Value USD]])</f>
        <v>0.38562303747974702</v>
      </c>
      <c r="BE920" s="11">
        <f>IF(tblsales[[#This Row],[SalesStage]]="Won",1,0)</f>
        <v>0</v>
      </c>
      <c r="BF920" s="21" t="str">
        <f>IF(tblsales[[#This Row],[Win Flag]]=1,"Won","Lost")</f>
        <v>Lost</v>
      </c>
      <c r="BG920" s="8"/>
    </row>
    <row r="921" spans="1:59" x14ac:dyDescent="0.3">
      <c r="A921" s="10" t="s">
        <v>3034</v>
      </c>
      <c r="B921" s="9">
        <v>45839</v>
      </c>
      <c r="C921" s="10" t="s">
        <v>284</v>
      </c>
      <c r="D921" s="10" t="s">
        <v>562</v>
      </c>
      <c r="E921" s="10" t="s">
        <v>36</v>
      </c>
      <c r="F921" s="10" t="s">
        <v>19</v>
      </c>
      <c r="G921" s="10" t="s">
        <v>332</v>
      </c>
      <c r="H921" s="10" t="s">
        <v>236</v>
      </c>
      <c r="I921" s="10" t="s">
        <v>332</v>
      </c>
      <c r="J921" s="10" t="s">
        <v>115</v>
      </c>
      <c r="K921" s="10" t="s">
        <v>199</v>
      </c>
      <c r="L921" s="10" t="s">
        <v>3035</v>
      </c>
      <c r="M921" s="9">
        <v>45770</v>
      </c>
      <c r="N921" s="9"/>
      <c r="O921" s="9">
        <v>45666</v>
      </c>
      <c r="P921" s="11">
        <v>43</v>
      </c>
      <c r="Q921" s="12">
        <v>5452347</v>
      </c>
      <c r="R921">
        <v>6330174.8670000006</v>
      </c>
      <c r="S921" s="22">
        <v>0.08</v>
      </c>
      <c r="T921" s="22">
        <v>0.08</v>
      </c>
      <c r="U921" s="12">
        <v>5417451.9800000004</v>
      </c>
      <c r="V921" s="24">
        <v>6289661.748780001</v>
      </c>
      <c r="W921" s="8">
        <v>4512379.5999999996</v>
      </c>
      <c r="X921" s="24">
        <v>5238872.7155999998</v>
      </c>
      <c r="Y921" s="22">
        <v>0.4</v>
      </c>
      <c r="Z921" s="22">
        <v>7.0000000000000007E-2</v>
      </c>
      <c r="AA921" s="8" t="s">
        <v>3036</v>
      </c>
      <c r="AB921" s="8">
        <v>418451.4</v>
      </c>
      <c r="AC921" s="24">
        <v>485822.07540000003</v>
      </c>
      <c r="AD921" s="8">
        <v>222835.55</v>
      </c>
      <c r="AE921" s="24">
        <v>258712.07355</v>
      </c>
      <c r="AF921" s="8">
        <v>30</v>
      </c>
      <c r="AG921" s="8">
        <v>100</v>
      </c>
      <c r="AH921" s="8" t="s">
        <v>376</v>
      </c>
      <c r="AI921" s="8" t="s">
        <v>226</v>
      </c>
      <c r="AJ921" s="22">
        <v>0.68</v>
      </c>
      <c r="AK921" s="8" t="s">
        <v>159</v>
      </c>
      <c r="AL921" s="22">
        <v>0.05</v>
      </c>
      <c r="AM921" s="22">
        <v>0.1</v>
      </c>
      <c r="AN921" s="8">
        <v>15</v>
      </c>
      <c r="AO921" s="8">
        <v>3570</v>
      </c>
      <c r="AP921" s="8">
        <v>707811.98</v>
      </c>
      <c r="AQ921" s="24">
        <v>821769.70877999999</v>
      </c>
      <c r="AR921" s="8"/>
      <c r="AS921" s="37"/>
      <c r="AT921" s="8" t="s">
        <v>343</v>
      </c>
      <c r="AU921" s="8" t="s">
        <v>322</v>
      </c>
      <c r="AV921" s="8">
        <v>83.2</v>
      </c>
      <c r="AW921" s="8">
        <v>36</v>
      </c>
      <c r="AX921" s="8" t="s">
        <v>387</v>
      </c>
      <c r="AY921" s="8" t="s">
        <v>186</v>
      </c>
      <c r="AZ921" s="8" t="s">
        <v>188</v>
      </c>
      <c r="BA921" s="21">
        <f>IF(OR(tblsales[[#This Row],[Invoice Value USD]]="",tblsales[[#This Row],[Collected Amount USD]]=""),"",tblsales[[#This Row],[Invoice Value USD]]-tblsales[[#This Row],[Collected Amount USD]])</f>
        <v>227110.00185000003</v>
      </c>
      <c r="BB921" s="21">
        <f>IF(OR(tblsales[[#This Row],[Contract Value USD]]="",tblsales[[#This Row],[Cost Estimate USD]]=""),"",tblsales[[#This Row],[Contract Value USD]]-tblsales[[#This Row],[Cost Estimate USD]])</f>
        <v>1050789.0331800012</v>
      </c>
      <c r="BC921" s="21">
        <f>IF(OR(tblsales[[#This Row],[Contract Value USD]]="",tblsales[[#This Row],[Cost Estimate USD]]=""),"",tblsales[[#This Row],[Contract Value USD]]-tblsales[[#This Row],[Cost Estimate USD]])</f>
        <v>1050789.0331800012</v>
      </c>
      <c r="BD921" s="23">
        <f>IF(tblsales[[#This Row],[Invoice Value USD]]="","",tblsales[[#This Row],[Collected Amount USD]]/tblsales[[#This Row],[Invoice Value USD]])</f>
        <v>0.53252432660041282</v>
      </c>
      <c r="BE921" s="11">
        <f>IF(tblsales[[#This Row],[SalesStage]]="Won",1,0)</f>
        <v>0</v>
      </c>
      <c r="BF921" s="21" t="str">
        <f>IF(tblsales[[#This Row],[Win Flag]]=1,"Won","Lost")</f>
        <v>Lost</v>
      </c>
      <c r="BG921" s="8"/>
    </row>
    <row r="922" spans="1:59" x14ac:dyDescent="0.3">
      <c r="A922" s="10" t="s">
        <v>3037</v>
      </c>
      <c r="B922" s="9">
        <v>45966</v>
      </c>
      <c r="C922" s="10" t="s">
        <v>268</v>
      </c>
      <c r="D922" s="10" t="s">
        <v>332</v>
      </c>
      <c r="E922" s="10" t="s">
        <v>41</v>
      </c>
      <c r="F922" s="10" t="s">
        <v>228</v>
      </c>
      <c r="G922" s="10" t="s">
        <v>57</v>
      </c>
      <c r="H922" s="10" t="s">
        <v>216</v>
      </c>
      <c r="I922" s="10" t="s">
        <v>183</v>
      </c>
      <c r="J922" s="10" t="s">
        <v>130</v>
      </c>
      <c r="K922" s="10" t="s">
        <v>326</v>
      </c>
      <c r="L922" s="10" t="s">
        <v>3038</v>
      </c>
      <c r="M922" s="9">
        <v>45899</v>
      </c>
      <c r="N922" s="9">
        <v>46019</v>
      </c>
      <c r="O922" s="9">
        <v>46357</v>
      </c>
      <c r="P922" s="11">
        <v>55</v>
      </c>
      <c r="Q922" s="12">
        <v>41322125</v>
      </c>
      <c r="R922">
        <v>11252014.637499999</v>
      </c>
      <c r="S922" s="22">
        <v>0.15</v>
      </c>
      <c r="T922" s="22">
        <v>-0.01</v>
      </c>
      <c r="U922" s="12">
        <v>34772568.189999998</v>
      </c>
      <c r="V922" s="24">
        <v>9468570.3181369994</v>
      </c>
      <c r="W922" s="8">
        <v>28542661.420000002</v>
      </c>
      <c r="X922" s="24">
        <v>7772166.7046659999</v>
      </c>
      <c r="Y922" s="22">
        <v>0.16</v>
      </c>
      <c r="Z922" s="22">
        <v>0.14000000000000001</v>
      </c>
      <c r="AA922" s="8" t="s">
        <v>3039</v>
      </c>
      <c r="AB922" s="8">
        <v>9761356.3800000008</v>
      </c>
      <c r="AC922" s="24">
        <v>2658017.3422739999</v>
      </c>
      <c r="AD922" s="8">
        <v>3656012.61</v>
      </c>
      <c r="AE922" s="24">
        <v>995532.23370299989</v>
      </c>
      <c r="AF922" s="8">
        <v>45</v>
      </c>
      <c r="AG922" s="8">
        <v>175</v>
      </c>
      <c r="AH922" s="8" t="s">
        <v>342</v>
      </c>
      <c r="AI922" s="8" t="s">
        <v>336</v>
      </c>
      <c r="AJ922" s="22">
        <v>0.68</v>
      </c>
      <c r="AK922" s="8" t="s">
        <v>153</v>
      </c>
      <c r="AL922" s="22">
        <v>0.05</v>
      </c>
      <c r="AM922" s="22">
        <v>0.02</v>
      </c>
      <c r="AN922" s="8">
        <v>11</v>
      </c>
      <c r="AO922" s="8">
        <v>3411</v>
      </c>
      <c r="AP922" s="8">
        <v>7364119.9299999997</v>
      </c>
      <c r="AQ922" s="24">
        <v>2005249.8569389998</v>
      </c>
      <c r="AR922" s="8">
        <v>12848822.279999999</v>
      </c>
      <c r="AS922" s="37">
        <v>3498734.3068439998</v>
      </c>
      <c r="AT922" s="8" t="s">
        <v>355</v>
      </c>
      <c r="AU922" s="8" t="s">
        <v>330</v>
      </c>
      <c r="AV922" s="8"/>
      <c r="AW922" s="8">
        <v>24</v>
      </c>
      <c r="AX922" s="8" t="s">
        <v>332</v>
      </c>
      <c r="AY922" s="8" t="s">
        <v>206</v>
      </c>
      <c r="AZ922" s="8" t="s">
        <v>188</v>
      </c>
      <c r="BA922" s="21">
        <f>IF(OR(tblsales[[#This Row],[Invoice Value USD]]="",tblsales[[#This Row],[Collected Amount USD]]=""),"",tblsales[[#This Row],[Invoice Value USD]]-tblsales[[#This Row],[Collected Amount USD]])</f>
        <v>1662485.1085709999</v>
      </c>
      <c r="BB922" s="21">
        <f>IF(OR(tblsales[[#This Row],[Contract Value USD]]="",tblsales[[#This Row],[Cost Estimate USD]]=""),"",tblsales[[#This Row],[Contract Value USD]]-tblsales[[#This Row],[Cost Estimate USD]])</f>
        <v>1696403.6134709995</v>
      </c>
      <c r="BC922" s="21">
        <f>IF(OR(tblsales[[#This Row],[Contract Value USD]]="",tblsales[[#This Row],[Cost Estimate USD]]=""),"",tblsales[[#This Row],[Contract Value USD]]-tblsales[[#This Row],[Cost Estimate USD]])</f>
        <v>1696403.6134709995</v>
      </c>
      <c r="BD922" s="23">
        <f>IF(tblsales[[#This Row],[Invoice Value USD]]="","",tblsales[[#This Row],[Collected Amount USD]]/tblsales[[#This Row],[Invoice Value USD]])</f>
        <v>0.37453940494282001</v>
      </c>
      <c r="BE922" s="11">
        <f>IF(tblsales[[#This Row],[SalesStage]]="Won",1,0)</f>
        <v>0</v>
      </c>
      <c r="BF922" s="21" t="str">
        <f>IF(tblsales[[#This Row],[Win Flag]]=1,"Won","Lost")</f>
        <v>Lost</v>
      </c>
      <c r="BG922" s="8"/>
    </row>
    <row r="923" spans="1:59" x14ac:dyDescent="0.3">
      <c r="A923" s="10" t="s">
        <v>3040</v>
      </c>
      <c r="B923" s="9">
        <v>45801</v>
      </c>
      <c r="C923" s="10" t="s">
        <v>227</v>
      </c>
      <c r="D923" s="10" t="s">
        <v>562</v>
      </c>
      <c r="E923" s="10" t="s">
        <v>41</v>
      </c>
      <c r="F923" s="10" t="s">
        <v>350</v>
      </c>
      <c r="G923" s="10" t="s">
        <v>28</v>
      </c>
      <c r="H923" s="10" t="s">
        <v>182</v>
      </c>
      <c r="I923" s="10" t="s">
        <v>183</v>
      </c>
      <c r="J923" s="10" t="s">
        <v>105</v>
      </c>
      <c r="K923" s="10" t="s">
        <v>184</v>
      </c>
      <c r="L923" s="10" t="s">
        <v>3041</v>
      </c>
      <c r="M923" s="9">
        <v>45769</v>
      </c>
      <c r="N923" s="9">
        <v>45829</v>
      </c>
      <c r="O923" s="9">
        <v>45897</v>
      </c>
      <c r="P923" s="11">
        <v>30</v>
      </c>
      <c r="Q923" s="12">
        <v>28883967</v>
      </c>
      <c r="R923">
        <v>28883967</v>
      </c>
      <c r="S923" s="22">
        <v>0.19</v>
      </c>
      <c r="T923" s="22">
        <v>0.04</v>
      </c>
      <c r="U923" s="12">
        <v>24331853.800000001</v>
      </c>
      <c r="V923" s="24">
        <v>24331853.800000001</v>
      </c>
      <c r="W923" s="8">
        <v>21415229.739999998</v>
      </c>
      <c r="X923" s="24">
        <v>21415229.739999998</v>
      </c>
      <c r="Y923" s="22">
        <v>0.3</v>
      </c>
      <c r="Z923" s="22">
        <v>0.1</v>
      </c>
      <c r="AA923" s="8" t="s">
        <v>3042</v>
      </c>
      <c r="AB923" s="8">
        <v>5636883.1600000001</v>
      </c>
      <c r="AC923" s="24">
        <v>5636883.1600000001</v>
      </c>
      <c r="AD923" s="8">
        <v>2139967.4700000002</v>
      </c>
      <c r="AE923" s="24">
        <v>2139967.4700000002</v>
      </c>
      <c r="AF923" s="8">
        <v>30</v>
      </c>
      <c r="AG923" s="8">
        <v>147</v>
      </c>
      <c r="AH923" s="8" t="s">
        <v>329</v>
      </c>
      <c r="AI923" s="8" t="s">
        <v>336</v>
      </c>
      <c r="AJ923" s="22">
        <v>0.06</v>
      </c>
      <c r="AK923" s="8" t="s">
        <v>152</v>
      </c>
      <c r="AL923" s="22">
        <v>0.1</v>
      </c>
      <c r="AM923" s="22">
        <v>0.06</v>
      </c>
      <c r="AN923" s="8">
        <v>11</v>
      </c>
      <c r="AO923" s="8">
        <v>31</v>
      </c>
      <c r="AP923" s="8">
        <v>4310448.53</v>
      </c>
      <c r="AQ923" s="24">
        <v>4310448.53</v>
      </c>
      <c r="AR923" s="8">
        <v>10430280.199999999</v>
      </c>
      <c r="AS923" s="37">
        <v>10430280.199999999</v>
      </c>
      <c r="AT923" s="8" t="s">
        <v>332</v>
      </c>
      <c r="AU923" s="8" t="s">
        <v>330</v>
      </c>
      <c r="AV923" s="8"/>
      <c r="AW923" s="8">
        <v>36</v>
      </c>
      <c r="AX923" s="8" t="s">
        <v>337</v>
      </c>
      <c r="AY923" s="8" t="s">
        <v>206</v>
      </c>
      <c r="AZ923" s="8" t="s">
        <v>377</v>
      </c>
      <c r="BA923" s="21">
        <f>IF(OR(tblsales[[#This Row],[Invoice Value USD]]="",tblsales[[#This Row],[Collected Amount USD]]=""),"",tblsales[[#This Row],[Invoice Value USD]]-tblsales[[#This Row],[Collected Amount USD]])</f>
        <v>3496915.69</v>
      </c>
      <c r="BB923" s="21">
        <f>IF(OR(tblsales[[#This Row],[Contract Value USD]]="",tblsales[[#This Row],[Cost Estimate USD]]=""),"",tblsales[[#This Row],[Contract Value USD]]-tblsales[[#This Row],[Cost Estimate USD]])</f>
        <v>2916624.0600000024</v>
      </c>
      <c r="BC923" s="21">
        <f>IF(OR(tblsales[[#This Row],[Contract Value USD]]="",tblsales[[#This Row],[Cost Estimate USD]]=""),"",tblsales[[#This Row],[Contract Value USD]]-tblsales[[#This Row],[Cost Estimate USD]])</f>
        <v>2916624.0600000024</v>
      </c>
      <c r="BD923" s="23">
        <f>IF(tblsales[[#This Row],[Invoice Value USD]]="","",tblsales[[#This Row],[Collected Amount USD]]/tblsales[[#This Row],[Invoice Value USD]])</f>
        <v>0.37963665544559561</v>
      </c>
      <c r="BE923" s="11">
        <f>IF(tblsales[[#This Row],[SalesStage]]="Won",1,0)</f>
        <v>0</v>
      </c>
      <c r="BF923" s="21" t="str">
        <f>IF(tblsales[[#This Row],[Win Flag]]=1,"Won","Lost")</f>
        <v>Lost</v>
      </c>
      <c r="BG923" s="8"/>
    </row>
    <row r="924" spans="1:59" x14ac:dyDescent="0.3">
      <c r="A924" s="10" t="s">
        <v>3043</v>
      </c>
      <c r="B924" s="9">
        <v>45828</v>
      </c>
      <c r="C924" s="10" t="s">
        <v>271</v>
      </c>
      <c r="D924" s="10" t="s">
        <v>262</v>
      </c>
      <c r="E924" s="10" t="s">
        <v>20</v>
      </c>
      <c r="F924" s="10" t="s">
        <v>35</v>
      </c>
      <c r="G924" s="10" t="s">
        <v>28</v>
      </c>
      <c r="H924" s="10" t="s">
        <v>236</v>
      </c>
      <c r="I924" s="10" t="s">
        <v>198</v>
      </c>
      <c r="J924" s="10" t="s">
        <v>136</v>
      </c>
      <c r="K924" s="10" t="s">
        <v>184</v>
      </c>
      <c r="L924" s="10" t="s">
        <v>3044</v>
      </c>
      <c r="M924" s="9">
        <v>45752</v>
      </c>
      <c r="N924" s="9" t="s">
        <v>3045</v>
      </c>
      <c r="O924" s="9"/>
      <c r="P924" s="11">
        <v>58</v>
      </c>
      <c r="Q924" s="12">
        <v>1986429</v>
      </c>
      <c r="R924">
        <v>540904.61670000001</v>
      </c>
      <c r="S924" s="22">
        <v>7.0000000000000007E-2</v>
      </c>
      <c r="T924" s="22">
        <v>0.17</v>
      </c>
      <c r="U924" s="12">
        <v>2161433.39</v>
      </c>
      <c r="V924" s="24">
        <v>588558.31209699996</v>
      </c>
      <c r="W924" s="8">
        <v>1601728.08</v>
      </c>
      <c r="X924" s="24">
        <v>436150.55618399999</v>
      </c>
      <c r="Y924" s="22">
        <v>0.14000000000000001</v>
      </c>
      <c r="Z924" s="22">
        <v>0.12</v>
      </c>
      <c r="AA924" s="8" t="s">
        <v>3046</v>
      </c>
      <c r="AB924" s="8">
        <v>1691832.08</v>
      </c>
      <c r="AC924" s="24">
        <v>460685.87538400001</v>
      </c>
      <c r="AD924" s="8">
        <v>1702214.14</v>
      </c>
      <c r="AE924" s="24">
        <v>463512.91032199992</v>
      </c>
      <c r="AF924" s="8">
        <v>120</v>
      </c>
      <c r="AG924" s="8">
        <v>121</v>
      </c>
      <c r="AH924" s="8" t="s">
        <v>332</v>
      </c>
      <c r="AI924" s="8" t="s">
        <v>226</v>
      </c>
      <c r="AJ924" s="22">
        <v>0.06</v>
      </c>
      <c r="AK924" s="8" t="s">
        <v>153</v>
      </c>
      <c r="AL924" s="22">
        <v>0.05</v>
      </c>
      <c r="AM924" s="22">
        <v>0.1</v>
      </c>
      <c r="AN924" s="8">
        <v>1</v>
      </c>
      <c r="AO924" s="8">
        <v>370</v>
      </c>
      <c r="AP924" s="8">
        <v>251384</v>
      </c>
      <c r="AQ924" s="24">
        <v>68451.863199999993</v>
      </c>
      <c r="AR924" s="8"/>
      <c r="AS924" s="37"/>
      <c r="AT924" s="8" t="s">
        <v>391</v>
      </c>
      <c r="AU924" s="8" t="s">
        <v>386</v>
      </c>
      <c r="AV924" s="8">
        <v>80.7</v>
      </c>
      <c r="AW924" s="8">
        <v>60</v>
      </c>
      <c r="AX924" s="8" t="s">
        <v>387</v>
      </c>
      <c r="AY924" s="8" t="s">
        <v>192</v>
      </c>
      <c r="AZ924" s="8" t="s">
        <v>188</v>
      </c>
      <c r="BA924" s="21">
        <f>IF(OR(tblsales[[#This Row],[Invoice Value USD]]="",tblsales[[#This Row],[Collected Amount USD]]=""),"",tblsales[[#This Row],[Invoice Value USD]]-tblsales[[#This Row],[Collected Amount USD]])</f>
        <v>-2827.0349379999097</v>
      </c>
      <c r="BB924" s="21">
        <f>IF(OR(tblsales[[#This Row],[Contract Value USD]]="",tblsales[[#This Row],[Cost Estimate USD]]=""),"",tblsales[[#This Row],[Contract Value USD]]-tblsales[[#This Row],[Cost Estimate USD]])</f>
        <v>152407.75591299997</v>
      </c>
      <c r="BC924" s="21">
        <f>IF(OR(tblsales[[#This Row],[Contract Value USD]]="",tblsales[[#This Row],[Cost Estimate USD]]=""),"",tblsales[[#This Row],[Contract Value USD]]-tblsales[[#This Row],[Cost Estimate USD]])</f>
        <v>152407.75591299997</v>
      </c>
      <c r="BD924" s="23">
        <f>IF(tblsales[[#This Row],[Invoice Value USD]]="","",tblsales[[#This Row],[Collected Amount USD]]/tblsales[[#This Row],[Invoice Value USD]])</f>
        <v>1.0061365782826388</v>
      </c>
      <c r="BE924" s="11">
        <f>IF(tblsales[[#This Row],[SalesStage]]="Won",1,0)</f>
        <v>0</v>
      </c>
      <c r="BF924" s="21" t="str">
        <f>IF(tblsales[[#This Row],[Win Flag]]=1,"Won","Lost")</f>
        <v>Lost</v>
      </c>
      <c r="BG924" s="8"/>
    </row>
    <row r="925" spans="1:59" x14ac:dyDescent="0.3">
      <c r="A925" s="10" t="s">
        <v>3047</v>
      </c>
      <c r="B925" s="9">
        <v>45751</v>
      </c>
      <c r="C925" s="10" t="s">
        <v>222</v>
      </c>
      <c r="D925" s="10" t="s">
        <v>190</v>
      </c>
      <c r="E925" s="10" t="s">
        <v>20</v>
      </c>
      <c r="F925" s="10" t="s">
        <v>332</v>
      </c>
      <c r="G925" s="10" t="s">
        <v>33</v>
      </c>
      <c r="H925" s="10" t="s">
        <v>236</v>
      </c>
      <c r="I925" s="10" t="s">
        <v>183</v>
      </c>
      <c r="J925" s="10" t="s">
        <v>99</v>
      </c>
      <c r="K925" s="10" t="s">
        <v>199</v>
      </c>
      <c r="L925" s="10" t="s">
        <v>3048</v>
      </c>
      <c r="M925" s="9">
        <v>45701</v>
      </c>
      <c r="N925" s="9">
        <v>45775</v>
      </c>
      <c r="O925" s="9">
        <v>45831</v>
      </c>
      <c r="P925" s="11">
        <v>57</v>
      </c>
      <c r="Q925" s="12">
        <v>31395187</v>
      </c>
      <c r="R925">
        <v>36449812.107000001</v>
      </c>
      <c r="S925" s="22">
        <v>0.33</v>
      </c>
      <c r="T925" s="22">
        <v>0</v>
      </c>
      <c r="U925" s="12">
        <v>21034775.289999999</v>
      </c>
      <c r="V925" s="24">
        <v>24421374.11169</v>
      </c>
      <c r="W925" s="8">
        <v>14375499.800000001</v>
      </c>
      <c r="X925" s="24">
        <v>16689955.267800001</v>
      </c>
      <c r="Y925" s="22">
        <v>0.16</v>
      </c>
      <c r="Z925" s="22">
        <v>0.05</v>
      </c>
      <c r="AA925" s="8" t="s">
        <v>3049</v>
      </c>
      <c r="AB925" s="8">
        <v>8645495.9800000004</v>
      </c>
      <c r="AC925" s="24">
        <v>10037420.832780002</v>
      </c>
      <c r="AD925" s="8">
        <v>4244070.1399999997</v>
      </c>
      <c r="AE925" s="24">
        <v>4927365.4325399995</v>
      </c>
      <c r="AF925" s="8">
        <v>60</v>
      </c>
      <c r="AG925" s="8">
        <v>14</v>
      </c>
      <c r="AH925" s="8" t="s">
        <v>342</v>
      </c>
      <c r="AI925" s="8" t="s">
        <v>406</v>
      </c>
      <c r="AJ925" s="22">
        <v>0.19</v>
      </c>
      <c r="AK925" s="8" t="s">
        <v>159</v>
      </c>
      <c r="AL925" s="22">
        <v>0.1</v>
      </c>
      <c r="AM925" s="22">
        <v>0.09</v>
      </c>
      <c r="AN925" s="8">
        <v>10</v>
      </c>
      <c r="AO925" s="8">
        <v>3643</v>
      </c>
      <c r="AP925" s="8">
        <v>2584956.89</v>
      </c>
      <c r="AQ925" s="24">
        <v>3001134.9492900004</v>
      </c>
      <c r="AR925" s="8">
        <v>8259626.3499999996</v>
      </c>
      <c r="AS925" s="37">
        <v>9589426.1923500001</v>
      </c>
      <c r="AT925" s="8" t="s">
        <v>343</v>
      </c>
      <c r="AU925" s="8" t="s">
        <v>332</v>
      </c>
      <c r="AV925" s="8"/>
      <c r="AW925" s="8"/>
      <c r="AX925" s="8" t="s">
        <v>392</v>
      </c>
      <c r="AY925" s="8" t="s">
        <v>206</v>
      </c>
      <c r="AZ925" s="8" t="s">
        <v>357</v>
      </c>
      <c r="BA925" s="21">
        <f>IF(OR(tblsales[[#This Row],[Invoice Value USD]]="",tblsales[[#This Row],[Collected Amount USD]]=""),"",tblsales[[#This Row],[Invoice Value USD]]-tblsales[[#This Row],[Collected Amount USD]])</f>
        <v>5110055.4002400022</v>
      </c>
      <c r="BB925" s="21">
        <f>IF(OR(tblsales[[#This Row],[Contract Value USD]]="",tblsales[[#This Row],[Cost Estimate USD]]=""),"",tblsales[[#This Row],[Contract Value USD]]-tblsales[[#This Row],[Cost Estimate USD]])</f>
        <v>7731418.8438899983</v>
      </c>
      <c r="BC925" s="21">
        <f>IF(OR(tblsales[[#This Row],[Contract Value USD]]="",tblsales[[#This Row],[Cost Estimate USD]]=""),"",tblsales[[#This Row],[Contract Value USD]]-tblsales[[#This Row],[Cost Estimate USD]])</f>
        <v>7731418.8438899983</v>
      </c>
      <c r="BD925" s="23">
        <f>IF(tblsales[[#This Row],[Invoice Value USD]]="","",tblsales[[#This Row],[Collected Amount USD]]/tblsales[[#This Row],[Invoice Value USD]])</f>
        <v>0.49089955623344106</v>
      </c>
      <c r="BE925" s="11">
        <f>IF(tblsales[[#This Row],[SalesStage]]="Won",1,0)</f>
        <v>0</v>
      </c>
      <c r="BF925" s="21" t="str">
        <f>IF(tblsales[[#This Row],[Win Flag]]=1,"Won","Lost")</f>
        <v>Lost</v>
      </c>
      <c r="BG925" s="8"/>
    </row>
    <row r="926" spans="1:59" x14ac:dyDescent="0.3">
      <c r="A926" s="10" t="s">
        <v>3050</v>
      </c>
      <c r="B926" s="9">
        <v>46011</v>
      </c>
      <c r="C926" s="10" t="s">
        <v>211</v>
      </c>
      <c r="D926" s="10" t="s">
        <v>248</v>
      </c>
      <c r="E926" s="10" t="s">
        <v>41</v>
      </c>
      <c r="F926" s="10" t="s">
        <v>350</v>
      </c>
      <c r="G926" s="10" t="s">
        <v>66</v>
      </c>
      <c r="H926" s="10" t="s">
        <v>182</v>
      </c>
      <c r="I926" s="10" t="s">
        <v>233</v>
      </c>
      <c r="J926" s="10" t="s">
        <v>105</v>
      </c>
      <c r="K926" s="10" t="s">
        <v>210</v>
      </c>
      <c r="L926" s="10" t="s">
        <v>3051</v>
      </c>
      <c r="M926" s="9">
        <v>45757</v>
      </c>
      <c r="N926" s="9"/>
      <c r="O926" s="9">
        <v>46104</v>
      </c>
      <c r="P926" s="11">
        <v>43</v>
      </c>
      <c r="Q926" s="12">
        <v>15166463</v>
      </c>
      <c r="R926">
        <v>4129827.8748999997</v>
      </c>
      <c r="S926" s="22">
        <v>0.09</v>
      </c>
      <c r="T926" s="22">
        <v>0.06</v>
      </c>
      <c r="U926" s="12">
        <v>14629570.210000001</v>
      </c>
      <c r="V926" s="24">
        <v>3983631.9681830001</v>
      </c>
      <c r="W926" s="8">
        <v>12978185.689999999</v>
      </c>
      <c r="X926" s="24">
        <v>3533959.9633869999</v>
      </c>
      <c r="Y926" s="22">
        <v>0.25</v>
      </c>
      <c r="Z926" s="22">
        <v>0.09</v>
      </c>
      <c r="AA926" s="8" t="s">
        <v>3052</v>
      </c>
      <c r="AB926" s="8">
        <v>10314073.130000001</v>
      </c>
      <c r="AC926" s="24">
        <v>2808522.1132990001</v>
      </c>
      <c r="AD926" s="8">
        <v>4451012.68</v>
      </c>
      <c r="AE926" s="24">
        <v>1212010.7527639999</v>
      </c>
      <c r="AF926" s="8">
        <v>45</v>
      </c>
      <c r="AG926" s="8">
        <v>54</v>
      </c>
      <c r="AH926" s="8" t="s">
        <v>342</v>
      </c>
      <c r="AI926" s="8" t="s">
        <v>381</v>
      </c>
      <c r="AJ926" s="22">
        <v>0.73</v>
      </c>
      <c r="AK926" s="8" t="s">
        <v>153</v>
      </c>
      <c r="AL926" s="22">
        <v>0.1</v>
      </c>
      <c r="AM926" s="22">
        <v>0.04</v>
      </c>
      <c r="AN926" s="8">
        <v>3</v>
      </c>
      <c r="AO926" s="8">
        <v>2631</v>
      </c>
      <c r="AP926" s="8">
        <v>1462336.68</v>
      </c>
      <c r="AQ926" s="24">
        <v>398194.27796399995</v>
      </c>
      <c r="AR926" s="8">
        <v>4539254</v>
      </c>
      <c r="AS926" s="37">
        <v>1236038.8642</v>
      </c>
      <c r="AT926" s="8" t="s">
        <v>343</v>
      </c>
      <c r="AU926" s="8" t="s">
        <v>322</v>
      </c>
      <c r="AV926" s="8">
        <v>79.400000000000006</v>
      </c>
      <c r="AW926" s="8">
        <v>60</v>
      </c>
      <c r="AX926" s="8" t="s">
        <v>387</v>
      </c>
      <c r="AY926" s="8" t="s">
        <v>224</v>
      </c>
      <c r="AZ926" s="8" t="s">
        <v>361</v>
      </c>
      <c r="BA926" s="21">
        <f>IF(OR(tblsales[[#This Row],[Invoice Value USD]]="",tblsales[[#This Row],[Collected Amount USD]]=""),"",tblsales[[#This Row],[Invoice Value USD]]-tblsales[[#This Row],[Collected Amount USD]])</f>
        <v>1596511.3605350002</v>
      </c>
      <c r="BB926" s="21">
        <f>IF(OR(tblsales[[#This Row],[Contract Value USD]]="",tblsales[[#This Row],[Cost Estimate USD]]=""),"",tblsales[[#This Row],[Contract Value USD]]-tblsales[[#This Row],[Cost Estimate USD]])</f>
        <v>449672.0047960002</v>
      </c>
      <c r="BC926" s="21">
        <f>IF(OR(tblsales[[#This Row],[Contract Value USD]]="",tblsales[[#This Row],[Cost Estimate USD]]=""),"",tblsales[[#This Row],[Contract Value USD]]-tblsales[[#This Row],[Cost Estimate USD]])</f>
        <v>449672.0047960002</v>
      </c>
      <c r="BD926" s="23">
        <f>IF(tblsales[[#This Row],[Invoice Value USD]]="","",tblsales[[#This Row],[Collected Amount USD]]/tblsales[[#This Row],[Invoice Value USD]])</f>
        <v>0.4315475199660524</v>
      </c>
      <c r="BE926" s="11">
        <f>IF(tblsales[[#This Row],[SalesStage]]="Won",1,0)</f>
        <v>0</v>
      </c>
      <c r="BF926" s="21" t="str">
        <f>IF(tblsales[[#This Row],[Win Flag]]=1,"Won","Lost")</f>
        <v>Lost</v>
      </c>
      <c r="BG926" s="8"/>
    </row>
    <row r="927" spans="1:59" x14ac:dyDescent="0.3">
      <c r="A927" s="10" t="s">
        <v>3053</v>
      </c>
      <c r="B927" s="9">
        <v>45714</v>
      </c>
      <c r="C927" s="10" t="s">
        <v>235</v>
      </c>
      <c r="D927" s="10" t="s">
        <v>238</v>
      </c>
      <c r="E927" s="10" t="s">
        <v>20</v>
      </c>
      <c r="F927" s="10" t="s">
        <v>31</v>
      </c>
      <c r="G927" s="10" t="s">
        <v>80</v>
      </c>
      <c r="H927" s="10" t="s">
        <v>216</v>
      </c>
      <c r="I927" s="10" t="s">
        <v>213</v>
      </c>
      <c r="J927" s="10" t="s">
        <v>136</v>
      </c>
      <c r="K927" s="10" t="s">
        <v>199</v>
      </c>
      <c r="L927" s="10" t="s">
        <v>3054</v>
      </c>
      <c r="M927" s="9">
        <v>45682</v>
      </c>
      <c r="N927" s="9"/>
      <c r="O927" s="9">
        <v>45779</v>
      </c>
      <c r="P927" s="11">
        <v>7</v>
      </c>
      <c r="Q927" s="12">
        <v>34356160</v>
      </c>
      <c r="R927">
        <v>9355182.3679999989</v>
      </c>
      <c r="S927" s="22">
        <v>0.33</v>
      </c>
      <c r="T927" s="22">
        <v>0.01</v>
      </c>
      <c r="U927" s="12">
        <v>23248813.469999999</v>
      </c>
      <c r="V927" s="24">
        <v>6330651.9078809991</v>
      </c>
      <c r="W927" s="8">
        <v>19598157.059999999</v>
      </c>
      <c r="X927" s="24">
        <v>5336578.1674379995</v>
      </c>
      <c r="Y927" s="22">
        <v>0.21</v>
      </c>
      <c r="Z927" s="22">
        <v>0.08</v>
      </c>
      <c r="AA927" s="8" t="s">
        <v>3055</v>
      </c>
      <c r="AB927" s="8">
        <v>15481435.960000001</v>
      </c>
      <c r="AC927" s="24">
        <v>4215595.0119080003</v>
      </c>
      <c r="AD927" s="8">
        <v>6326489.1500000004</v>
      </c>
      <c r="AE927" s="24">
        <v>1722702.9955450001</v>
      </c>
      <c r="AF927" s="8">
        <v>45</v>
      </c>
      <c r="AG927" s="8">
        <v>126</v>
      </c>
      <c r="AH927" s="8" t="s">
        <v>329</v>
      </c>
      <c r="AI927" s="8" t="s">
        <v>336</v>
      </c>
      <c r="AJ927" s="22">
        <v>0.1</v>
      </c>
      <c r="AK927" s="8" t="s">
        <v>153</v>
      </c>
      <c r="AL927" s="22">
        <v>0.15</v>
      </c>
      <c r="AM927" s="22">
        <v>0.06</v>
      </c>
      <c r="AN927" s="8">
        <v>8</v>
      </c>
      <c r="AO927" s="8">
        <v>372</v>
      </c>
      <c r="AP927" s="8">
        <v>4688951.16</v>
      </c>
      <c r="AQ927" s="24">
        <v>1276801.400868</v>
      </c>
      <c r="AR927" s="8">
        <v>6848080.4400000004</v>
      </c>
      <c r="AS927" s="37">
        <v>1864732.303812</v>
      </c>
      <c r="AT927" s="8" t="s">
        <v>355</v>
      </c>
      <c r="AU927" s="8" t="s">
        <v>332</v>
      </c>
      <c r="AV927" s="8">
        <v>51.9</v>
      </c>
      <c r="AW927" s="8">
        <v>60</v>
      </c>
      <c r="AX927" s="8" t="s">
        <v>332</v>
      </c>
      <c r="AY927" s="8" t="s">
        <v>229</v>
      </c>
      <c r="AZ927" s="8" t="s">
        <v>357</v>
      </c>
      <c r="BA927" s="21">
        <f>IF(OR(tblsales[[#This Row],[Invoice Value USD]]="",tblsales[[#This Row],[Collected Amount USD]]=""),"",tblsales[[#This Row],[Invoice Value USD]]-tblsales[[#This Row],[Collected Amount USD]])</f>
        <v>2492892.0163630005</v>
      </c>
      <c r="BB927" s="21">
        <f>IF(OR(tblsales[[#This Row],[Contract Value USD]]="",tblsales[[#This Row],[Cost Estimate USD]]=""),"",tblsales[[#This Row],[Contract Value USD]]-tblsales[[#This Row],[Cost Estimate USD]])</f>
        <v>994073.74044299964</v>
      </c>
      <c r="BC927" s="21">
        <f>IF(OR(tblsales[[#This Row],[Contract Value USD]]="",tblsales[[#This Row],[Cost Estimate USD]]=""),"",tblsales[[#This Row],[Contract Value USD]]-tblsales[[#This Row],[Cost Estimate USD]])</f>
        <v>994073.74044299964</v>
      </c>
      <c r="BD927" s="23">
        <f>IF(tblsales[[#This Row],[Invoice Value USD]]="","",tblsales[[#This Row],[Collected Amount USD]]/tblsales[[#This Row],[Invoice Value USD]])</f>
        <v>0.40865002228126646</v>
      </c>
      <c r="BE927" s="11">
        <f>IF(tblsales[[#This Row],[SalesStage]]="Won",1,0)</f>
        <v>0</v>
      </c>
      <c r="BF927" s="21" t="str">
        <f>IF(tblsales[[#This Row],[Win Flag]]=1,"Won","Lost")</f>
        <v>Lost</v>
      </c>
      <c r="BG927" s="8"/>
    </row>
    <row r="928" spans="1:59" x14ac:dyDescent="0.3">
      <c r="A928" s="10" t="s">
        <v>3056</v>
      </c>
      <c r="B928" s="9">
        <v>45897</v>
      </c>
      <c r="C928" s="10" t="s">
        <v>227</v>
      </c>
      <c r="D928" s="10" t="s">
        <v>262</v>
      </c>
      <c r="E928" s="10" t="s">
        <v>113</v>
      </c>
      <c r="F928" s="10" t="s">
        <v>367</v>
      </c>
      <c r="G928" s="10" t="s">
        <v>16</v>
      </c>
      <c r="H928" s="10" t="s">
        <v>263</v>
      </c>
      <c r="I928" s="10" t="s">
        <v>213</v>
      </c>
      <c r="J928" s="10" t="s">
        <v>127</v>
      </c>
      <c r="K928" s="10" t="s">
        <v>326</v>
      </c>
      <c r="L928" s="10" t="s">
        <v>3057</v>
      </c>
      <c r="M928" s="9">
        <v>45849</v>
      </c>
      <c r="N928" s="9">
        <v>45948</v>
      </c>
      <c r="O928" s="9"/>
      <c r="P928" s="11">
        <v>17</v>
      </c>
      <c r="Q928" s="12">
        <v>21242012</v>
      </c>
      <c r="R928">
        <v>21242012</v>
      </c>
      <c r="S928" s="22">
        <v>0.15</v>
      </c>
      <c r="T928" s="22">
        <v>0.14000000000000001</v>
      </c>
      <c r="U928" s="12">
        <v>20583509.629999999</v>
      </c>
      <c r="V928" s="24">
        <v>20583509.629999999</v>
      </c>
      <c r="W928" s="8">
        <v>16617491.710000001</v>
      </c>
      <c r="X928" s="24">
        <v>16617491.710000001</v>
      </c>
      <c r="Y928" s="22">
        <v>0.39</v>
      </c>
      <c r="Z928" s="22">
        <v>0.14000000000000001</v>
      </c>
      <c r="AA928" s="8" t="s">
        <v>3058</v>
      </c>
      <c r="AB928" s="8">
        <v>13754020.869999999</v>
      </c>
      <c r="AC928" s="24">
        <v>13754020.869999999</v>
      </c>
      <c r="AD928" s="8">
        <v>10788374.609999999</v>
      </c>
      <c r="AE928" s="24">
        <v>10788374.609999999</v>
      </c>
      <c r="AF928" s="8">
        <v>120</v>
      </c>
      <c r="AG928" s="8">
        <v>1</v>
      </c>
      <c r="AH928" s="8" t="s">
        <v>332</v>
      </c>
      <c r="AI928" s="8" t="s">
        <v>336</v>
      </c>
      <c r="AJ928" s="22">
        <v>0.46</v>
      </c>
      <c r="AK928" s="8" t="s">
        <v>152</v>
      </c>
      <c r="AL928" s="22">
        <v>0.05</v>
      </c>
      <c r="AM928" s="22">
        <v>0.04</v>
      </c>
      <c r="AN928" s="8">
        <v>13</v>
      </c>
      <c r="AO928" s="8">
        <v>993</v>
      </c>
      <c r="AP928" s="8">
        <v>1925502.05</v>
      </c>
      <c r="AQ928" s="24">
        <v>1925502.05</v>
      </c>
      <c r="AR928" s="8">
        <v>5614987.8700000001</v>
      </c>
      <c r="AS928" s="37">
        <v>5614987.8700000001</v>
      </c>
      <c r="AT928" s="8" t="s">
        <v>73</v>
      </c>
      <c r="AU928" s="8" t="s">
        <v>322</v>
      </c>
      <c r="AV928" s="8">
        <v>79.599999999999994</v>
      </c>
      <c r="AW928" s="8">
        <v>36</v>
      </c>
      <c r="AX928" s="8" t="s">
        <v>387</v>
      </c>
      <c r="AY928" s="8" t="s">
        <v>192</v>
      </c>
      <c r="AZ928" s="8" t="s">
        <v>361</v>
      </c>
      <c r="BA928" s="21">
        <f>IF(OR(tblsales[[#This Row],[Invoice Value USD]]="",tblsales[[#This Row],[Collected Amount USD]]=""),"",tblsales[[#This Row],[Invoice Value USD]]-tblsales[[#This Row],[Collected Amount USD]])</f>
        <v>2965646.26</v>
      </c>
      <c r="BB928" s="21">
        <f>IF(OR(tblsales[[#This Row],[Contract Value USD]]="",tblsales[[#This Row],[Cost Estimate USD]]=""),"",tblsales[[#This Row],[Contract Value USD]]-tblsales[[#This Row],[Cost Estimate USD]])</f>
        <v>3966017.9199999981</v>
      </c>
      <c r="BC928" s="21">
        <f>IF(OR(tblsales[[#This Row],[Contract Value USD]]="",tblsales[[#This Row],[Cost Estimate USD]]=""),"",tblsales[[#This Row],[Contract Value USD]]-tblsales[[#This Row],[Cost Estimate USD]])</f>
        <v>3966017.9199999981</v>
      </c>
      <c r="BD928" s="23">
        <f>IF(tblsales[[#This Row],[Invoice Value USD]]="","",tblsales[[#This Row],[Collected Amount USD]]/tblsales[[#This Row],[Invoice Value USD]])</f>
        <v>0.78437968881749998</v>
      </c>
      <c r="BE928" s="11">
        <f>IF(tblsales[[#This Row],[SalesStage]]="Won",1,0)</f>
        <v>0</v>
      </c>
      <c r="BF928" s="21" t="str">
        <f>IF(tblsales[[#This Row],[Win Flag]]=1,"Won","Lost")</f>
        <v>Lost</v>
      </c>
      <c r="BG928" s="8"/>
    </row>
    <row r="929" spans="1:59" x14ac:dyDescent="0.3">
      <c r="A929" s="10" t="s">
        <v>3059</v>
      </c>
      <c r="B929" s="9">
        <v>45696</v>
      </c>
      <c r="C929" s="10" t="s">
        <v>237</v>
      </c>
      <c r="D929" s="10" t="s">
        <v>274</v>
      </c>
      <c r="E929" s="10" t="s">
        <v>113</v>
      </c>
      <c r="F929" s="10" t="s">
        <v>367</v>
      </c>
      <c r="G929" s="10" t="s">
        <v>70</v>
      </c>
      <c r="H929" s="10" t="s">
        <v>332</v>
      </c>
      <c r="I929" s="10" t="s">
        <v>198</v>
      </c>
      <c r="J929" s="10" t="s">
        <v>111</v>
      </c>
      <c r="K929" s="10" t="s">
        <v>223</v>
      </c>
      <c r="L929" s="10" t="s">
        <v>3060</v>
      </c>
      <c r="M929" s="9">
        <v>45832</v>
      </c>
      <c r="N929" s="9">
        <v>45929</v>
      </c>
      <c r="O929" s="9">
        <v>45978</v>
      </c>
      <c r="P929" s="11">
        <v>13</v>
      </c>
      <c r="Q929" s="12">
        <v>38303713</v>
      </c>
      <c r="R929">
        <v>44470610.792999998</v>
      </c>
      <c r="S929" s="22">
        <v>0.31</v>
      </c>
      <c r="T929" s="22">
        <v>0.09</v>
      </c>
      <c r="U929" s="12">
        <v>28808222.550000001</v>
      </c>
      <c r="V929" s="24">
        <v>33446346.380550001</v>
      </c>
      <c r="W929" s="8">
        <v>24593550.829999998</v>
      </c>
      <c r="X929" s="24">
        <v>28553112.513629999</v>
      </c>
      <c r="Y929" s="22">
        <v>0.2</v>
      </c>
      <c r="Z929" s="22">
        <v>0.17</v>
      </c>
      <c r="AA929" s="8" t="s">
        <v>3061</v>
      </c>
      <c r="AB929" s="8">
        <v>5191117.3600000003</v>
      </c>
      <c r="AC929" s="24">
        <v>6026887.2549600005</v>
      </c>
      <c r="AD929" s="8">
        <v>4770669.26</v>
      </c>
      <c r="AE929" s="24">
        <v>5538747.0108599998</v>
      </c>
      <c r="AF929" s="8">
        <v>120</v>
      </c>
      <c r="AG929" s="8">
        <v>62</v>
      </c>
      <c r="AH929" s="8" t="s">
        <v>342</v>
      </c>
      <c r="AI929" s="8" t="s">
        <v>406</v>
      </c>
      <c r="AJ929" s="22">
        <v>0.1</v>
      </c>
      <c r="AK929" s="8" t="s">
        <v>159</v>
      </c>
      <c r="AL929" s="22">
        <v>0.05</v>
      </c>
      <c r="AM929" s="22">
        <v>0.08</v>
      </c>
      <c r="AN929" s="8">
        <v>11</v>
      </c>
      <c r="AO929" s="8">
        <v>1137</v>
      </c>
      <c r="AP929" s="8">
        <v>3901992</v>
      </c>
      <c r="AQ929" s="24">
        <v>4530212.7120000003</v>
      </c>
      <c r="AR929" s="8">
        <v>3905638.39</v>
      </c>
      <c r="AS929" s="37">
        <v>4534446.1707899999</v>
      </c>
      <c r="AT929" s="8" t="s">
        <v>385</v>
      </c>
      <c r="AU929" s="8" t="s">
        <v>386</v>
      </c>
      <c r="AV929" s="8"/>
      <c r="AW929" s="8">
        <v>12</v>
      </c>
      <c r="AX929" s="8" t="s">
        <v>323</v>
      </c>
      <c r="AY929" s="8" t="s">
        <v>192</v>
      </c>
      <c r="AZ929" s="8" t="s">
        <v>332</v>
      </c>
      <c r="BA929" s="21">
        <f>IF(OR(tblsales[[#This Row],[Invoice Value USD]]="",tblsales[[#This Row],[Collected Amount USD]]=""),"",tblsales[[#This Row],[Invoice Value USD]]-tblsales[[#This Row],[Collected Amount USD]])</f>
        <v>488140.24410000071</v>
      </c>
      <c r="BB929" s="21">
        <f>IF(OR(tblsales[[#This Row],[Contract Value USD]]="",tblsales[[#This Row],[Cost Estimate USD]]=""),"",tblsales[[#This Row],[Contract Value USD]]-tblsales[[#This Row],[Cost Estimate USD]])</f>
        <v>4893233.8669200018</v>
      </c>
      <c r="BC929" s="21">
        <f>IF(OR(tblsales[[#This Row],[Contract Value USD]]="",tblsales[[#This Row],[Cost Estimate USD]]=""),"",tblsales[[#This Row],[Contract Value USD]]-tblsales[[#This Row],[Cost Estimate USD]])</f>
        <v>4893233.8669200018</v>
      </c>
      <c r="BD929" s="23">
        <f>IF(tblsales[[#This Row],[Invoice Value USD]]="","",tblsales[[#This Row],[Collected Amount USD]]/tblsales[[#This Row],[Invoice Value USD]])</f>
        <v>0.9190062426174852</v>
      </c>
      <c r="BE929" s="11">
        <f>IF(tblsales[[#This Row],[SalesStage]]="Won",1,0)</f>
        <v>0</v>
      </c>
      <c r="BF929" s="21" t="str">
        <f>IF(tblsales[[#This Row],[Win Flag]]=1,"Won","Lost")</f>
        <v>Lost</v>
      </c>
      <c r="BG929" s="8"/>
    </row>
    <row r="930" spans="1:59" x14ac:dyDescent="0.3">
      <c r="A930" s="10" t="s">
        <v>3062</v>
      </c>
      <c r="B930" s="9">
        <v>45747</v>
      </c>
      <c r="C930" s="10" t="s">
        <v>234</v>
      </c>
      <c r="D930" s="10" t="s">
        <v>238</v>
      </c>
      <c r="E930" s="10" t="s">
        <v>41</v>
      </c>
      <c r="F930" s="10" t="s">
        <v>228</v>
      </c>
      <c r="G930" s="10" t="s">
        <v>57</v>
      </c>
      <c r="H930" s="10" t="s">
        <v>182</v>
      </c>
      <c r="I930" s="10" t="s">
        <v>198</v>
      </c>
      <c r="J930" s="10" t="s">
        <v>105</v>
      </c>
      <c r="K930" s="10" t="s">
        <v>184</v>
      </c>
      <c r="L930" s="10" t="s">
        <v>3063</v>
      </c>
      <c r="M930" s="9">
        <v>45705</v>
      </c>
      <c r="N930" s="9"/>
      <c r="O930" s="9">
        <v>45808</v>
      </c>
      <c r="P930" s="11">
        <v>45</v>
      </c>
      <c r="Q930" s="12">
        <v>3774876</v>
      </c>
      <c r="R930">
        <v>1027898.7348</v>
      </c>
      <c r="S930" s="22">
        <v>0.34</v>
      </c>
      <c r="T930" s="22">
        <v>7.0000000000000007E-2</v>
      </c>
      <c r="U930" s="12">
        <v>2665817.4300000002</v>
      </c>
      <c r="V930" s="24">
        <v>725902.08618900005</v>
      </c>
      <c r="W930" s="8">
        <v>2290794.5</v>
      </c>
      <c r="X930" s="24">
        <v>623783.34234999993</v>
      </c>
      <c r="Y930" s="22">
        <v>0.25</v>
      </c>
      <c r="Z930" s="22">
        <v>0.12</v>
      </c>
      <c r="AA930" s="8" t="s">
        <v>3064</v>
      </c>
      <c r="AB930" s="8">
        <v>629025.81999999995</v>
      </c>
      <c r="AC930" s="24">
        <v>171283.73078599997</v>
      </c>
      <c r="AD930" s="8">
        <v>221944.95</v>
      </c>
      <c r="AE930" s="24">
        <v>60435.609884999998</v>
      </c>
      <c r="AF930" s="8">
        <v>60</v>
      </c>
      <c r="AG930" s="8">
        <v>82</v>
      </c>
      <c r="AH930" s="8" t="s">
        <v>376</v>
      </c>
      <c r="AI930" s="8" t="s">
        <v>381</v>
      </c>
      <c r="AJ930" s="22">
        <v>0.48</v>
      </c>
      <c r="AK930" s="8" t="s">
        <v>153</v>
      </c>
      <c r="AL930" s="22">
        <v>0.1</v>
      </c>
      <c r="AM930" s="22">
        <v>0.02</v>
      </c>
      <c r="AN930" s="8">
        <v>2</v>
      </c>
      <c r="AO930" s="8">
        <v>2377</v>
      </c>
      <c r="AP930" s="8">
        <v>99608.25</v>
      </c>
      <c r="AQ930" s="24">
        <v>27123.326474999998</v>
      </c>
      <c r="AR930" s="8">
        <v>1057421.75</v>
      </c>
      <c r="AS930" s="37">
        <v>287935.94252499996</v>
      </c>
      <c r="AT930" s="8" t="s">
        <v>391</v>
      </c>
      <c r="AU930" s="8" t="s">
        <v>330</v>
      </c>
      <c r="AV930" s="8">
        <v>63.3</v>
      </c>
      <c r="AW930" s="8">
        <v>48</v>
      </c>
      <c r="AX930" s="8" t="s">
        <v>337</v>
      </c>
      <c r="AY930" s="8" t="s">
        <v>224</v>
      </c>
      <c r="AZ930" s="8" t="s">
        <v>188</v>
      </c>
      <c r="BA930" s="21">
        <f>IF(OR(tblsales[[#This Row],[Invoice Value USD]]="",tblsales[[#This Row],[Collected Amount USD]]=""),"",tblsales[[#This Row],[Invoice Value USD]]-tblsales[[#This Row],[Collected Amount USD]])</f>
        <v>110848.12090099997</v>
      </c>
      <c r="BB930" s="21">
        <f>IF(OR(tblsales[[#This Row],[Contract Value USD]]="",tblsales[[#This Row],[Cost Estimate USD]]=""),"",tblsales[[#This Row],[Contract Value USD]]-tblsales[[#This Row],[Cost Estimate USD]])</f>
        <v>102118.74383900012</v>
      </c>
      <c r="BC930" s="21">
        <f>IF(OR(tblsales[[#This Row],[Contract Value USD]]="",tblsales[[#This Row],[Cost Estimate USD]]=""),"",tblsales[[#This Row],[Contract Value USD]]-tblsales[[#This Row],[Cost Estimate USD]])</f>
        <v>102118.74383900012</v>
      </c>
      <c r="BD930" s="23">
        <f>IF(tblsales[[#This Row],[Invoice Value USD]]="","",tblsales[[#This Row],[Collected Amount USD]]/tblsales[[#This Row],[Invoice Value USD]])</f>
        <v>0.35283917280215943</v>
      </c>
      <c r="BE930" s="11">
        <f>IF(tblsales[[#This Row],[SalesStage]]="Won",1,0)</f>
        <v>0</v>
      </c>
      <c r="BF930" s="21" t="str">
        <f>IF(tblsales[[#This Row],[Win Flag]]=1,"Won","Lost")</f>
        <v>Lost</v>
      </c>
      <c r="BG930" s="8"/>
    </row>
    <row r="931" spans="1:59" x14ac:dyDescent="0.3">
      <c r="A931" s="10" t="s">
        <v>3065</v>
      </c>
      <c r="B931" s="9">
        <v>45763</v>
      </c>
      <c r="C931" s="10" t="s">
        <v>267</v>
      </c>
      <c r="D931" s="10" t="s">
        <v>274</v>
      </c>
      <c r="E931" s="10" t="s">
        <v>41</v>
      </c>
      <c r="F931" s="10" t="s">
        <v>363</v>
      </c>
      <c r="G931" s="10" t="s">
        <v>23</v>
      </c>
      <c r="H931" s="10" t="s">
        <v>263</v>
      </c>
      <c r="I931" s="10" t="s">
        <v>191</v>
      </c>
      <c r="J931" s="10" t="s">
        <v>130</v>
      </c>
      <c r="K931" s="10" t="s">
        <v>326</v>
      </c>
      <c r="L931" s="10" t="s">
        <v>3066</v>
      </c>
      <c r="M931" s="9">
        <v>45684</v>
      </c>
      <c r="N931" s="9"/>
      <c r="O931" s="9">
        <v>45969</v>
      </c>
      <c r="P931" s="11">
        <v>57</v>
      </c>
      <c r="Q931" s="12">
        <v>26853832</v>
      </c>
      <c r="R931">
        <v>26853832</v>
      </c>
      <c r="S931" s="22">
        <v>0.33</v>
      </c>
      <c r="T931" s="22">
        <v>0.11</v>
      </c>
      <c r="U931" s="12">
        <v>19971194.859999999</v>
      </c>
      <c r="V931" s="24">
        <v>19971194.859999999</v>
      </c>
      <c r="W931" s="8">
        <v>15376994.41</v>
      </c>
      <c r="X931" s="24">
        <v>15376994.41</v>
      </c>
      <c r="Y931" s="22">
        <v>0.3</v>
      </c>
      <c r="Z931" s="22">
        <v>0.12</v>
      </c>
      <c r="AA931" s="8" t="s">
        <v>3067</v>
      </c>
      <c r="AB931" s="8">
        <v>8520896.0199999996</v>
      </c>
      <c r="AC931" s="24">
        <v>8520896.0199999996</v>
      </c>
      <c r="AD931" s="8">
        <v>5878647.9199999999</v>
      </c>
      <c r="AE931" s="24">
        <v>5878647.9199999999</v>
      </c>
      <c r="AF931" s="8">
        <v>30</v>
      </c>
      <c r="AG931" s="8">
        <v>162</v>
      </c>
      <c r="AH931" s="8" t="s">
        <v>376</v>
      </c>
      <c r="AI931" s="8" t="s">
        <v>354</v>
      </c>
      <c r="AJ931" s="22">
        <v>0.95</v>
      </c>
      <c r="AK931" s="8" t="s">
        <v>152</v>
      </c>
      <c r="AL931" s="22">
        <v>0.05</v>
      </c>
      <c r="AM931" s="22">
        <v>0.04</v>
      </c>
      <c r="AN931" s="8">
        <v>14</v>
      </c>
      <c r="AO931" s="8">
        <v>3096</v>
      </c>
      <c r="AP931" s="8">
        <v>4626382.8499999996</v>
      </c>
      <c r="AQ931" s="24">
        <v>4626382.8499999996</v>
      </c>
      <c r="AR931" s="8">
        <v>9397031.4800000004</v>
      </c>
      <c r="AS931" s="37">
        <v>9397031.4800000004</v>
      </c>
      <c r="AT931" s="8" t="s">
        <v>391</v>
      </c>
      <c r="AU931" s="8" t="s">
        <v>330</v>
      </c>
      <c r="AV931" s="8">
        <v>83.8</v>
      </c>
      <c r="AW931" s="8">
        <v>36</v>
      </c>
      <c r="AX931" s="8" t="s">
        <v>337</v>
      </c>
      <c r="AY931" s="8" t="s">
        <v>229</v>
      </c>
      <c r="AZ931" s="8" t="s">
        <v>324</v>
      </c>
      <c r="BA931" s="21">
        <f>IF(OR(tblsales[[#This Row],[Invoice Value USD]]="",tblsales[[#This Row],[Collected Amount USD]]=""),"",tblsales[[#This Row],[Invoice Value USD]]-tblsales[[#This Row],[Collected Amount USD]])</f>
        <v>2642248.0999999996</v>
      </c>
      <c r="BB931" s="21">
        <f>IF(OR(tblsales[[#This Row],[Contract Value USD]]="",tblsales[[#This Row],[Cost Estimate USD]]=""),"",tblsales[[#This Row],[Contract Value USD]]-tblsales[[#This Row],[Cost Estimate USD]])</f>
        <v>4594200.4499999993</v>
      </c>
      <c r="BC931" s="21">
        <f>IF(OR(tblsales[[#This Row],[Contract Value USD]]="",tblsales[[#This Row],[Cost Estimate USD]]=""),"",tblsales[[#This Row],[Contract Value USD]]-tblsales[[#This Row],[Cost Estimate USD]])</f>
        <v>4594200.4499999993</v>
      </c>
      <c r="BD931" s="23">
        <f>IF(tblsales[[#This Row],[Invoice Value USD]]="","",tblsales[[#This Row],[Collected Amount USD]]/tblsales[[#This Row],[Invoice Value USD]])</f>
        <v>0.68990959474236135</v>
      </c>
      <c r="BE931" s="11">
        <f>IF(tblsales[[#This Row],[SalesStage]]="Won",1,0)</f>
        <v>0</v>
      </c>
      <c r="BF931" s="21" t="str">
        <f>IF(tblsales[[#This Row],[Win Flag]]=1,"Won","Lost")</f>
        <v>Lost</v>
      </c>
      <c r="BG931" s="8"/>
    </row>
    <row r="932" spans="1:59" x14ac:dyDescent="0.3">
      <c r="A932" s="10" t="s">
        <v>3068</v>
      </c>
      <c r="B932" s="9">
        <v>45756</v>
      </c>
      <c r="C932" s="10" t="s">
        <v>277</v>
      </c>
      <c r="D932" s="10" t="s">
        <v>238</v>
      </c>
      <c r="E932" s="10" t="s">
        <v>36</v>
      </c>
      <c r="F932" s="10" t="s">
        <v>19</v>
      </c>
      <c r="G932" s="10" t="s">
        <v>73</v>
      </c>
      <c r="H932" s="10" t="s">
        <v>182</v>
      </c>
      <c r="I932" s="10" t="s">
        <v>183</v>
      </c>
      <c r="J932" s="10" t="s">
        <v>115</v>
      </c>
      <c r="K932" s="10" t="s">
        <v>184</v>
      </c>
      <c r="L932" s="10" t="s">
        <v>3069</v>
      </c>
      <c r="M932" s="9">
        <v>45837</v>
      </c>
      <c r="N932" s="9">
        <v>45938</v>
      </c>
      <c r="O932" s="9">
        <v>45985</v>
      </c>
      <c r="P932" s="11">
        <v>51</v>
      </c>
      <c r="Q932" s="12">
        <v>14557334</v>
      </c>
      <c r="R932">
        <v>3882440.9778</v>
      </c>
      <c r="S932" s="22">
        <v>0.25</v>
      </c>
      <c r="T932" s="22">
        <v>0.15</v>
      </c>
      <c r="U932" s="12">
        <v>12555700.57</v>
      </c>
      <c r="V932" s="24">
        <v>3348605.3420190001</v>
      </c>
      <c r="W932" s="8">
        <v>7839869.8200000003</v>
      </c>
      <c r="X932" s="24">
        <v>2090893.2809939999</v>
      </c>
      <c r="Y932" s="22">
        <v>0.36</v>
      </c>
      <c r="Z932" s="22">
        <v>0.08</v>
      </c>
      <c r="AA932" s="8" t="s">
        <v>3070</v>
      </c>
      <c r="AB932" s="8">
        <v>7315704.4100000001</v>
      </c>
      <c r="AC932" s="24">
        <v>1951098.3661469999</v>
      </c>
      <c r="AD932" s="8">
        <v>2286446.56</v>
      </c>
      <c r="AE932" s="24">
        <v>609795.29755200003</v>
      </c>
      <c r="AF932" s="8">
        <v>90</v>
      </c>
      <c r="AG932" s="8">
        <v>82</v>
      </c>
      <c r="AH932" s="8" t="s">
        <v>376</v>
      </c>
      <c r="AI932" s="8" t="s">
        <v>354</v>
      </c>
      <c r="AJ932" s="22">
        <v>0.08</v>
      </c>
      <c r="AK932" s="8" t="s">
        <v>162</v>
      </c>
      <c r="AL932" s="22">
        <v>0.1</v>
      </c>
      <c r="AM932" s="22">
        <v>0.06</v>
      </c>
      <c r="AN932" s="8">
        <v>6</v>
      </c>
      <c r="AO932" s="8">
        <v>4601</v>
      </c>
      <c r="AP932" s="8">
        <v>2558235.83</v>
      </c>
      <c r="AQ932" s="24">
        <v>682281.49586100003</v>
      </c>
      <c r="AR932" s="8">
        <v>5711658.46</v>
      </c>
      <c r="AS932" s="37">
        <v>1523299.311282</v>
      </c>
      <c r="AT932" s="8" t="s">
        <v>332</v>
      </c>
      <c r="AU932" s="8" t="s">
        <v>321</v>
      </c>
      <c r="AV932" s="8">
        <v>50.2</v>
      </c>
      <c r="AW932" s="8">
        <v>24</v>
      </c>
      <c r="AX932" s="8" t="s">
        <v>337</v>
      </c>
      <c r="AY932" s="8" t="s">
        <v>206</v>
      </c>
      <c r="AZ932" s="8" t="s">
        <v>332</v>
      </c>
      <c r="BA932" s="21">
        <f>IF(OR(tblsales[[#This Row],[Invoice Value USD]]="",tblsales[[#This Row],[Collected Amount USD]]=""),"",tblsales[[#This Row],[Invoice Value USD]]-tblsales[[#This Row],[Collected Amount USD]])</f>
        <v>1341303.0685949998</v>
      </c>
      <c r="BB932" s="21">
        <f>IF(OR(tblsales[[#This Row],[Contract Value USD]]="",tblsales[[#This Row],[Cost Estimate USD]]=""),"",tblsales[[#This Row],[Contract Value USD]]-tblsales[[#This Row],[Cost Estimate USD]])</f>
        <v>1257712.0610250002</v>
      </c>
      <c r="BC932" s="21">
        <f>IF(OR(tblsales[[#This Row],[Contract Value USD]]="",tblsales[[#This Row],[Cost Estimate USD]]=""),"",tblsales[[#This Row],[Contract Value USD]]-tblsales[[#This Row],[Cost Estimate USD]])</f>
        <v>1257712.0610250002</v>
      </c>
      <c r="BD932" s="23">
        <f>IF(tblsales[[#This Row],[Invoice Value USD]]="","",tblsales[[#This Row],[Collected Amount USD]]/tblsales[[#This Row],[Invoice Value USD]])</f>
        <v>0.31253949474429354</v>
      </c>
      <c r="BE932" s="11">
        <f>IF(tblsales[[#This Row],[SalesStage]]="Won",1,0)</f>
        <v>0</v>
      </c>
      <c r="BF932" s="21" t="str">
        <f>IF(tblsales[[#This Row],[Win Flag]]=1,"Won","Lost")</f>
        <v>Lost</v>
      </c>
      <c r="BG932" s="8"/>
    </row>
    <row r="933" spans="1:59" x14ac:dyDescent="0.3">
      <c r="A933" s="10" t="s">
        <v>3071</v>
      </c>
      <c r="B933" s="9">
        <v>46045</v>
      </c>
      <c r="C933" s="10" t="s">
        <v>241</v>
      </c>
      <c r="D933" s="10" t="s">
        <v>232</v>
      </c>
      <c r="E933" s="10" t="s">
        <v>113</v>
      </c>
      <c r="F933" s="10" t="s">
        <v>367</v>
      </c>
      <c r="G933" s="10" t="s">
        <v>66</v>
      </c>
      <c r="H933" s="10" t="s">
        <v>216</v>
      </c>
      <c r="I933" s="10" t="s">
        <v>203</v>
      </c>
      <c r="J933" s="10" t="s">
        <v>111</v>
      </c>
      <c r="K933" s="10" t="s">
        <v>199</v>
      </c>
      <c r="L933" s="10" t="s">
        <v>3072</v>
      </c>
      <c r="M933" s="9">
        <v>45788</v>
      </c>
      <c r="N933" s="9" t="s">
        <v>3073</v>
      </c>
      <c r="O933" s="9">
        <v>46095</v>
      </c>
      <c r="P933" s="11">
        <v>43</v>
      </c>
      <c r="Q933" s="12">
        <v>14829206</v>
      </c>
      <c r="R933">
        <v>14829206</v>
      </c>
      <c r="S933" s="22">
        <v>0.03</v>
      </c>
      <c r="T933" s="22">
        <v>0.08</v>
      </c>
      <c r="U933" s="12">
        <v>15535076.210000001</v>
      </c>
      <c r="V933" s="24">
        <v>15535076.210000001</v>
      </c>
      <c r="W933" s="8">
        <v>12050916.300000001</v>
      </c>
      <c r="X933" s="24">
        <v>12050916.300000001</v>
      </c>
      <c r="Y933" s="22">
        <v>0.12</v>
      </c>
      <c r="Z933" s="22">
        <v>0.11</v>
      </c>
      <c r="AA933" s="8" t="s">
        <v>3074</v>
      </c>
      <c r="AB933" s="8">
        <v>3619591.71</v>
      </c>
      <c r="AC933" s="24">
        <v>3619591.71</v>
      </c>
      <c r="AD933" s="8">
        <v>3443550.03</v>
      </c>
      <c r="AE933" s="24">
        <v>3443550.03</v>
      </c>
      <c r="AF933" s="8">
        <v>30</v>
      </c>
      <c r="AG933" s="8">
        <v>113</v>
      </c>
      <c r="AH933" s="8" t="s">
        <v>376</v>
      </c>
      <c r="AI933" s="8" t="s">
        <v>455</v>
      </c>
      <c r="AJ933" s="22">
        <v>0.61</v>
      </c>
      <c r="AK933" s="8" t="s">
        <v>152</v>
      </c>
      <c r="AL933" s="22">
        <v>0.15</v>
      </c>
      <c r="AM933" s="22">
        <v>0.08</v>
      </c>
      <c r="AN933" s="8">
        <v>0</v>
      </c>
      <c r="AO933" s="8">
        <v>1167</v>
      </c>
      <c r="AP933" s="8">
        <v>3095379.3</v>
      </c>
      <c r="AQ933" s="24">
        <v>3095379.3</v>
      </c>
      <c r="AR933" s="8">
        <v>7543522.75</v>
      </c>
      <c r="AS933" s="37">
        <v>7543522.75</v>
      </c>
      <c r="AT933" s="8" t="s">
        <v>321</v>
      </c>
      <c r="AU933" s="8" t="s">
        <v>332</v>
      </c>
      <c r="AV933" s="8">
        <v>92.9</v>
      </c>
      <c r="AW933" s="8">
        <v>12</v>
      </c>
      <c r="AX933" s="8" t="s">
        <v>332</v>
      </c>
      <c r="AY933" s="8" t="s">
        <v>192</v>
      </c>
      <c r="AZ933" s="8" t="s">
        <v>188</v>
      </c>
      <c r="BA933" s="21">
        <f>IF(OR(tblsales[[#This Row],[Invoice Value USD]]="",tblsales[[#This Row],[Collected Amount USD]]=""),"",tblsales[[#This Row],[Invoice Value USD]]-tblsales[[#This Row],[Collected Amount USD]])</f>
        <v>176041.68000000017</v>
      </c>
      <c r="BB933" s="21">
        <f>IF(OR(tblsales[[#This Row],[Contract Value USD]]="",tblsales[[#This Row],[Cost Estimate USD]]=""),"",tblsales[[#This Row],[Contract Value USD]]-tblsales[[#This Row],[Cost Estimate USD]])</f>
        <v>3484159.91</v>
      </c>
      <c r="BC933" s="21">
        <f>IF(OR(tblsales[[#This Row],[Contract Value USD]]="",tblsales[[#This Row],[Cost Estimate USD]]=""),"",tblsales[[#This Row],[Contract Value USD]]-tblsales[[#This Row],[Cost Estimate USD]])</f>
        <v>3484159.91</v>
      </c>
      <c r="BD933" s="23">
        <f>IF(tblsales[[#This Row],[Invoice Value USD]]="","",tblsales[[#This Row],[Collected Amount USD]]/tblsales[[#This Row],[Invoice Value USD]])</f>
        <v>0.95136421615906508</v>
      </c>
      <c r="BE933" s="11">
        <f>IF(tblsales[[#This Row],[SalesStage]]="Won",1,0)</f>
        <v>0</v>
      </c>
      <c r="BF933" s="21" t="str">
        <f>IF(tblsales[[#This Row],[Win Flag]]=1,"Won","Lost")</f>
        <v>Lost</v>
      </c>
      <c r="BG933" s="8"/>
    </row>
    <row r="934" spans="1:59" x14ac:dyDescent="0.3">
      <c r="A934" s="10" t="s">
        <v>3075</v>
      </c>
      <c r="B934" s="9">
        <v>46023</v>
      </c>
      <c r="C934" s="10" t="s">
        <v>267</v>
      </c>
      <c r="D934" s="10" t="s">
        <v>238</v>
      </c>
      <c r="E934" s="10" t="s">
        <v>20</v>
      </c>
      <c r="F934" s="10" t="s">
        <v>35</v>
      </c>
      <c r="G934" s="10" t="s">
        <v>16</v>
      </c>
      <c r="H934" s="10" t="s">
        <v>212</v>
      </c>
      <c r="I934" s="10" t="s">
        <v>240</v>
      </c>
      <c r="J934" s="10" t="s">
        <v>136</v>
      </c>
      <c r="K934" s="10" t="s">
        <v>221</v>
      </c>
      <c r="L934" s="10" t="s">
        <v>3076</v>
      </c>
      <c r="M934" s="9">
        <v>45912</v>
      </c>
      <c r="N934" s="9"/>
      <c r="O934" s="9"/>
      <c r="P934" s="11">
        <v>27</v>
      </c>
      <c r="Q934" s="12">
        <v>16748513</v>
      </c>
      <c r="R934">
        <v>4560620.0899</v>
      </c>
      <c r="S934" s="22">
        <v>0.06</v>
      </c>
      <c r="T934" s="22">
        <v>-0.02</v>
      </c>
      <c r="U934" s="12">
        <v>15428730.18</v>
      </c>
      <c r="V934" s="24">
        <v>4201243.2280139998</v>
      </c>
      <c r="W934" s="8">
        <v>13531655.58</v>
      </c>
      <c r="X934" s="24">
        <v>3684669.8144339998</v>
      </c>
      <c r="Y934" s="22">
        <v>0.13</v>
      </c>
      <c r="Z934" s="22">
        <v>0.06</v>
      </c>
      <c r="AA934" s="8" t="s">
        <v>3077</v>
      </c>
      <c r="AB934" s="8">
        <v>12240610.380000001</v>
      </c>
      <c r="AC934" s="24">
        <v>3333118.2064740001</v>
      </c>
      <c r="AD934" s="8">
        <v>7570906.5599999996</v>
      </c>
      <c r="AE934" s="24">
        <v>2061557.8562879998</v>
      </c>
      <c r="AF934" s="8">
        <v>90</v>
      </c>
      <c r="AG934" s="8">
        <v>16</v>
      </c>
      <c r="AH934" s="8" t="s">
        <v>353</v>
      </c>
      <c r="AI934" s="8" t="s">
        <v>381</v>
      </c>
      <c r="AJ934" s="22">
        <v>0.11</v>
      </c>
      <c r="AK934" s="8" t="s">
        <v>153</v>
      </c>
      <c r="AL934" s="22">
        <v>0.15</v>
      </c>
      <c r="AM934" s="22">
        <v>0.02</v>
      </c>
      <c r="AN934" s="8">
        <v>14</v>
      </c>
      <c r="AO934" s="8">
        <v>2839</v>
      </c>
      <c r="AP934" s="8">
        <v>1471318.95</v>
      </c>
      <c r="AQ934" s="24">
        <v>400640.15008499997</v>
      </c>
      <c r="AR934" s="8">
        <v>2674046.7000000002</v>
      </c>
      <c r="AS934" s="37">
        <v>728142.91641000006</v>
      </c>
      <c r="AT934" s="8" t="s">
        <v>391</v>
      </c>
      <c r="AU934" s="8" t="s">
        <v>330</v>
      </c>
      <c r="AV934" s="8">
        <v>62.8</v>
      </c>
      <c r="AW934" s="8">
        <v>24</v>
      </c>
      <c r="AX934" s="8" t="s">
        <v>387</v>
      </c>
      <c r="AY934" s="8" t="s">
        <v>206</v>
      </c>
      <c r="AZ934" s="8" t="s">
        <v>332</v>
      </c>
      <c r="BA934" s="21">
        <f>IF(OR(tblsales[[#This Row],[Invoice Value USD]]="",tblsales[[#This Row],[Collected Amount USD]]=""),"",tblsales[[#This Row],[Invoice Value USD]]-tblsales[[#This Row],[Collected Amount USD]])</f>
        <v>1271560.3501860003</v>
      </c>
      <c r="BB934" s="21">
        <f>IF(OR(tblsales[[#This Row],[Contract Value USD]]="",tblsales[[#This Row],[Cost Estimate USD]]=""),"",tblsales[[#This Row],[Contract Value USD]]-tblsales[[#This Row],[Cost Estimate USD]])</f>
        <v>516573.41357999993</v>
      </c>
      <c r="BC934" s="21">
        <f>IF(OR(tblsales[[#This Row],[Contract Value USD]]="",tblsales[[#This Row],[Cost Estimate USD]]=""),"",tblsales[[#This Row],[Contract Value USD]]-tblsales[[#This Row],[Cost Estimate USD]])</f>
        <v>516573.41357999993</v>
      </c>
      <c r="BD934" s="23">
        <f>IF(tblsales[[#This Row],[Invoice Value USD]]="","",tblsales[[#This Row],[Collected Amount USD]]/tblsales[[#This Row],[Invoice Value USD]])</f>
        <v>0.61850727414460838</v>
      </c>
      <c r="BE934" s="11">
        <f>IF(tblsales[[#This Row],[SalesStage]]="Won",1,0)</f>
        <v>0</v>
      </c>
      <c r="BF934" s="21" t="str">
        <f>IF(tblsales[[#This Row],[Win Flag]]=1,"Won","Lost")</f>
        <v>Lost</v>
      </c>
      <c r="BG934" s="8"/>
    </row>
    <row r="935" spans="1:59" x14ac:dyDescent="0.3">
      <c r="A935" s="10" t="s">
        <v>3078</v>
      </c>
      <c r="B935" s="9">
        <v>45702</v>
      </c>
      <c r="C935" s="10" t="s">
        <v>276</v>
      </c>
      <c r="D935" s="10" t="s">
        <v>215</v>
      </c>
      <c r="E935" s="10" t="s">
        <v>52</v>
      </c>
      <c r="F935" s="10" t="s">
        <v>75</v>
      </c>
      <c r="G935" s="10" t="s">
        <v>332</v>
      </c>
      <c r="H935" s="10" t="s">
        <v>182</v>
      </c>
      <c r="I935" s="10" t="s">
        <v>240</v>
      </c>
      <c r="J935" s="10" t="s">
        <v>133</v>
      </c>
      <c r="K935" s="10" t="s">
        <v>333</v>
      </c>
      <c r="L935" s="10" t="s">
        <v>3079</v>
      </c>
      <c r="M935" s="9">
        <v>45690</v>
      </c>
      <c r="N935" s="9">
        <v>45741</v>
      </c>
      <c r="O935" s="9">
        <v>45753</v>
      </c>
      <c r="P935" s="11">
        <v>43</v>
      </c>
      <c r="Q935" s="12"/>
      <c r="S935" s="22">
        <v>0.23</v>
      </c>
      <c r="T935" s="22">
        <v>0.05</v>
      </c>
      <c r="U935" s="12">
        <v>19094384.93</v>
      </c>
      <c r="V935" s="24">
        <v>5245227.540271</v>
      </c>
      <c r="W935" s="8">
        <v>16302943.609999999</v>
      </c>
      <c r="X935" s="24">
        <v>4478418.6096669994</v>
      </c>
      <c r="Y935" s="22">
        <v>0.16</v>
      </c>
      <c r="Z935" s="22">
        <v>0.1</v>
      </c>
      <c r="AA935" s="8" t="s">
        <v>3080</v>
      </c>
      <c r="AB935" s="8">
        <v>1336233.83</v>
      </c>
      <c r="AC935" s="24">
        <v>367063.43310100003</v>
      </c>
      <c r="AD935" s="8">
        <v>610817.28000000003</v>
      </c>
      <c r="AE935" s="24">
        <v>167791.50681600001</v>
      </c>
      <c r="AF935" s="8">
        <v>45</v>
      </c>
      <c r="AG935" s="8">
        <v>60</v>
      </c>
      <c r="AH935" s="8" t="s">
        <v>332</v>
      </c>
      <c r="AI935" s="8" t="s">
        <v>336</v>
      </c>
      <c r="AJ935" s="22">
        <v>0.53</v>
      </c>
      <c r="AK935" s="8" t="s">
        <v>155</v>
      </c>
      <c r="AL935" s="22">
        <v>0.15</v>
      </c>
      <c r="AM935" s="22">
        <v>0.04</v>
      </c>
      <c r="AN935" s="8">
        <v>12</v>
      </c>
      <c r="AO935" s="8">
        <v>2601</v>
      </c>
      <c r="AP935" s="8">
        <v>4410734.38</v>
      </c>
      <c r="AQ935" s="24">
        <v>1211628.734186</v>
      </c>
      <c r="AR935" s="8">
        <v>7016444.7300000004</v>
      </c>
      <c r="AS935" s="37">
        <v>1927417.367331</v>
      </c>
      <c r="AT935" s="8" t="s">
        <v>332</v>
      </c>
      <c r="AU935" s="8" t="s">
        <v>386</v>
      </c>
      <c r="AV935" s="8">
        <v>63.8</v>
      </c>
      <c r="AW935" s="8">
        <v>36</v>
      </c>
      <c r="AX935" s="8" t="s">
        <v>337</v>
      </c>
      <c r="AY935" s="8" t="s">
        <v>206</v>
      </c>
      <c r="AZ935" s="8" t="s">
        <v>332</v>
      </c>
      <c r="BA935" s="21">
        <f>IF(OR(tblsales[[#This Row],[Invoice Value USD]]="",tblsales[[#This Row],[Collected Amount USD]]=""),"",tblsales[[#This Row],[Invoice Value USD]]-tblsales[[#This Row],[Collected Amount USD]])</f>
        <v>199271.92628500002</v>
      </c>
      <c r="BB935" s="21">
        <f>IF(OR(tblsales[[#This Row],[Contract Value USD]]="",tblsales[[#This Row],[Cost Estimate USD]]=""),"",tblsales[[#This Row],[Contract Value USD]]-tblsales[[#This Row],[Cost Estimate USD]])</f>
        <v>766808.93060400058</v>
      </c>
      <c r="BC935" s="21">
        <f>IF(OR(tblsales[[#This Row],[Contract Value USD]]="",tblsales[[#This Row],[Cost Estimate USD]]=""),"",tblsales[[#This Row],[Contract Value USD]]-tblsales[[#This Row],[Cost Estimate USD]])</f>
        <v>766808.93060400058</v>
      </c>
      <c r="BD935" s="23">
        <f>IF(tblsales[[#This Row],[Invoice Value USD]]="","",tblsales[[#This Row],[Collected Amount USD]]/tblsales[[#This Row],[Invoice Value USD]])</f>
        <v>0.45711855686216235</v>
      </c>
      <c r="BE935" s="11">
        <f>IF(tblsales[[#This Row],[SalesStage]]="Won",1,0)</f>
        <v>0</v>
      </c>
      <c r="BF935" s="21" t="str">
        <f>IF(tblsales[[#This Row],[Win Flag]]=1,"Won","Lost")</f>
        <v>Lost</v>
      </c>
      <c r="BG935" s="8"/>
    </row>
    <row r="936" spans="1:59" x14ac:dyDescent="0.3">
      <c r="A936" s="10" t="s">
        <v>3081</v>
      </c>
      <c r="B936" s="9">
        <v>45736</v>
      </c>
      <c r="C936" s="10" t="s">
        <v>237</v>
      </c>
      <c r="D936" s="10" t="s">
        <v>253</v>
      </c>
      <c r="E936" s="10" t="s">
        <v>41</v>
      </c>
      <c r="F936" s="10" t="s">
        <v>363</v>
      </c>
      <c r="G936" s="10" t="s">
        <v>23</v>
      </c>
      <c r="H936" s="10" t="s">
        <v>212</v>
      </c>
      <c r="I936" s="10" t="s">
        <v>191</v>
      </c>
      <c r="J936" s="10" t="s">
        <v>130</v>
      </c>
      <c r="K936" s="10" t="s">
        <v>204</v>
      </c>
      <c r="L936" s="10" t="s">
        <v>3082</v>
      </c>
      <c r="M936" s="9">
        <v>45724</v>
      </c>
      <c r="N936" s="9"/>
      <c r="O936" s="9">
        <v>45815</v>
      </c>
      <c r="P936" s="11">
        <v>46</v>
      </c>
      <c r="Q936" s="12">
        <v>40535781</v>
      </c>
      <c r="R936">
        <v>40535781</v>
      </c>
      <c r="S936" s="22">
        <v>0.25</v>
      </c>
      <c r="T936" s="22">
        <v>0.11</v>
      </c>
      <c r="U936" s="12">
        <v>33746037.68</v>
      </c>
      <c r="V936" s="24">
        <v>33746037.68</v>
      </c>
      <c r="W936" s="8">
        <v>21780362.030000001</v>
      </c>
      <c r="X936" s="24">
        <v>21780362.030000001</v>
      </c>
      <c r="Y936" s="22">
        <v>0.38</v>
      </c>
      <c r="Z936" s="22">
        <v>0.11</v>
      </c>
      <c r="AA936" s="8" t="s">
        <v>3083</v>
      </c>
      <c r="AB936" s="8">
        <v>13276501.68</v>
      </c>
      <c r="AC936" s="24">
        <v>13276501.68</v>
      </c>
      <c r="AD936" s="8">
        <v>5027299.25</v>
      </c>
      <c r="AE936" s="24">
        <v>5027299.25</v>
      </c>
      <c r="AF936" s="8">
        <v>45</v>
      </c>
      <c r="AG936" s="8">
        <v>38</v>
      </c>
      <c r="AH936" s="8" t="s">
        <v>332</v>
      </c>
      <c r="AI936" s="8" t="s">
        <v>455</v>
      </c>
      <c r="AJ936" s="22">
        <v>0.91</v>
      </c>
      <c r="AK936" s="8" t="s">
        <v>152</v>
      </c>
      <c r="AL936" s="22">
        <v>0.05</v>
      </c>
      <c r="AM936" s="22">
        <v>0.01</v>
      </c>
      <c r="AN936" s="8">
        <v>9</v>
      </c>
      <c r="AO936" s="8">
        <v>990</v>
      </c>
      <c r="AP936" s="8">
        <v>6064371.2199999997</v>
      </c>
      <c r="AQ936" s="24">
        <v>6064371.2199999997</v>
      </c>
      <c r="AR936" s="8">
        <v>5653568.6100000003</v>
      </c>
      <c r="AS936" s="37">
        <v>5653568.6100000003</v>
      </c>
      <c r="AT936" s="8" t="s">
        <v>355</v>
      </c>
      <c r="AU936" s="8" t="s">
        <v>386</v>
      </c>
      <c r="AV936" s="8">
        <v>61</v>
      </c>
      <c r="AW936" s="8">
        <v>60</v>
      </c>
      <c r="AX936" s="8" t="s">
        <v>332</v>
      </c>
      <c r="AY936" s="8" t="s">
        <v>192</v>
      </c>
      <c r="AZ936" s="8" t="s">
        <v>332</v>
      </c>
      <c r="BA936" s="21">
        <f>IF(OR(tblsales[[#This Row],[Invoice Value USD]]="",tblsales[[#This Row],[Collected Amount USD]]=""),"",tblsales[[#This Row],[Invoice Value USD]]-tblsales[[#This Row],[Collected Amount USD]])</f>
        <v>8249202.4299999997</v>
      </c>
      <c r="BB936" s="21">
        <f>IF(OR(tblsales[[#This Row],[Contract Value USD]]="",tblsales[[#This Row],[Cost Estimate USD]]=""),"",tblsales[[#This Row],[Contract Value USD]]-tblsales[[#This Row],[Cost Estimate USD]])</f>
        <v>11965675.649999999</v>
      </c>
      <c r="BC936" s="21">
        <f>IF(OR(tblsales[[#This Row],[Contract Value USD]]="",tblsales[[#This Row],[Cost Estimate USD]]=""),"",tblsales[[#This Row],[Contract Value USD]]-tblsales[[#This Row],[Cost Estimate USD]])</f>
        <v>11965675.649999999</v>
      </c>
      <c r="BD936" s="23">
        <f>IF(tblsales[[#This Row],[Invoice Value USD]]="","",tblsales[[#This Row],[Collected Amount USD]]/tblsales[[#This Row],[Invoice Value USD]])</f>
        <v>0.37866144042848493</v>
      </c>
      <c r="BE936" s="11">
        <f>IF(tblsales[[#This Row],[SalesStage]]="Won",1,0)</f>
        <v>0</v>
      </c>
      <c r="BF936" s="21" t="str">
        <f>IF(tblsales[[#This Row],[Win Flag]]=1,"Won","Lost")</f>
        <v>Lost</v>
      </c>
      <c r="BG936" s="8"/>
    </row>
    <row r="937" spans="1:59" x14ac:dyDescent="0.3">
      <c r="A937" s="10" t="s">
        <v>5799</v>
      </c>
      <c r="B937" s="9">
        <v>45876</v>
      </c>
      <c r="C937" s="10" t="s">
        <v>261</v>
      </c>
      <c r="D937" s="10" t="s">
        <v>255</v>
      </c>
      <c r="E937" s="10" t="s">
        <v>41</v>
      </c>
      <c r="F937" s="10" t="s">
        <v>350</v>
      </c>
      <c r="G937" s="10" t="s">
        <v>23</v>
      </c>
      <c r="H937" s="10" t="s">
        <v>216</v>
      </c>
      <c r="I937" s="10" t="s">
        <v>183</v>
      </c>
      <c r="J937" s="10" t="s">
        <v>105</v>
      </c>
      <c r="K937" s="10" t="s">
        <v>223</v>
      </c>
      <c r="L937" s="10" t="s">
        <v>4248</v>
      </c>
      <c r="M937" s="9">
        <v>45794</v>
      </c>
      <c r="N937" s="9"/>
      <c r="O937" s="9">
        <v>45698</v>
      </c>
      <c r="P937" s="11">
        <v>18</v>
      </c>
      <c r="Q937" s="12">
        <v>11822469</v>
      </c>
      <c r="R937">
        <v>3219258.3086999999</v>
      </c>
      <c r="S937" s="22">
        <v>0.31</v>
      </c>
      <c r="T937" s="22">
        <v>0.14000000000000001</v>
      </c>
      <c r="U937" s="12">
        <v>9299554.1199999992</v>
      </c>
      <c r="V937" s="24">
        <v>2532268.5868759998</v>
      </c>
      <c r="W937" s="8">
        <v>6047226.6799999997</v>
      </c>
      <c r="X937" s="24">
        <v>1646659.8249639999</v>
      </c>
      <c r="Y937" s="22">
        <v>0.35</v>
      </c>
      <c r="Z937" s="22">
        <v>0.16</v>
      </c>
      <c r="AA937" s="8" t="s">
        <v>4249</v>
      </c>
      <c r="AB937" s="8">
        <v>1355628.93</v>
      </c>
      <c r="AC937" s="24">
        <v>369137.75763899996</v>
      </c>
      <c r="AD937" s="8">
        <v>636438.48</v>
      </c>
      <c r="AE937" s="24">
        <v>173302.19810399998</v>
      </c>
      <c r="AF937" s="8">
        <v>120</v>
      </c>
      <c r="AG937" s="8">
        <v>44</v>
      </c>
      <c r="AH937" s="8" t="s">
        <v>342</v>
      </c>
      <c r="AI937" s="8" t="s">
        <v>336</v>
      </c>
      <c r="AJ937" s="22">
        <v>0.3</v>
      </c>
      <c r="AK937" s="8" t="s">
        <v>153</v>
      </c>
      <c r="AL937" s="22">
        <v>0.05</v>
      </c>
      <c r="AM937" s="22">
        <v>0.05</v>
      </c>
      <c r="AN937" s="8">
        <v>2</v>
      </c>
      <c r="AO937" s="8">
        <v>239</v>
      </c>
      <c r="AP937" s="8">
        <v>407431.53</v>
      </c>
      <c r="AQ937" s="24">
        <v>110943.60561900001</v>
      </c>
      <c r="AR937" s="8">
        <v>3404111.05</v>
      </c>
      <c r="AS937" s="37">
        <v>926939.43891499995</v>
      </c>
      <c r="AT937" s="8" t="s">
        <v>332</v>
      </c>
      <c r="AU937" s="8" t="s">
        <v>356</v>
      </c>
      <c r="AV937" s="8">
        <v>67.7</v>
      </c>
      <c r="AW937" s="8"/>
      <c r="AX937" s="8" t="s">
        <v>332</v>
      </c>
      <c r="AY937" s="8" t="s">
        <v>192</v>
      </c>
      <c r="AZ937" s="8" t="s">
        <v>324</v>
      </c>
      <c r="BA937" s="21">
        <f>IF(OR(tblsales[[#This Row],[Invoice Value USD]]="",tblsales[[#This Row],[Collected Amount USD]]=""),"",tblsales[[#This Row],[Invoice Value USD]]-tblsales[[#This Row],[Collected Amount USD]])</f>
        <v>195835.55953499998</v>
      </c>
      <c r="BB937" s="21">
        <f>IF(OR(tblsales[[#This Row],[Contract Value USD]]="",tblsales[[#This Row],[Cost Estimate USD]]=""),"",tblsales[[#This Row],[Contract Value USD]]-tblsales[[#This Row],[Cost Estimate USD]])</f>
        <v>885608.7619119999</v>
      </c>
      <c r="BC937" s="21">
        <f>IF(OR(tblsales[[#This Row],[Contract Value USD]]="",tblsales[[#This Row],[Cost Estimate USD]]=""),"",tblsales[[#This Row],[Contract Value USD]]-tblsales[[#This Row],[Cost Estimate USD]])</f>
        <v>885608.7619119999</v>
      </c>
      <c r="BD937" s="23">
        <f>IF(tblsales[[#This Row],[Invoice Value USD]]="","",tblsales[[#This Row],[Collected Amount USD]]/tblsales[[#This Row],[Invoice Value USD]])</f>
        <v>0.46947838447206935</v>
      </c>
      <c r="BE937" s="11">
        <f>IF(tblsales[[#This Row],[SalesStage]]="Won",1,0)</f>
        <v>0</v>
      </c>
      <c r="BF937" s="21" t="str">
        <f>IF(tblsales[[#This Row],[Win Flag]]=1,"Won","Lost")</f>
        <v>Lost</v>
      </c>
      <c r="BG937" s="8"/>
    </row>
    <row r="938" spans="1:59" x14ac:dyDescent="0.3">
      <c r="A938" s="10" t="s">
        <v>3084</v>
      </c>
      <c r="B938" s="9">
        <v>45932</v>
      </c>
      <c r="C938" s="10" t="s">
        <v>231</v>
      </c>
      <c r="D938" s="10" t="s">
        <v>209</v>
      </c>
      <c r="E938" s="10" t="s">
        <v>20</v>
      </c>
      <c r="F938" s="10" t="s">
        <v>35</v>
      </c>
      <c r="G938" s="10" t="s">
        <v>78</v>
      </c>
      <c r="H938" s="10" t="s">
        <v>216</v>
      </c>
      <c r="I938" s="10" t="s">
        <v>240</v>
      </c>
      <c r="J938" s="10" t="s">
        <v>136</v>
      </c>
      <c r="K938" s="10" t="s">
        <v>221</v>
      </c>
      <c r="L938" s="10" t="s">
        <v>3085</v>
      </c>
      <c r="M938" s="9">
        <v>45724</v>
      </c>
      <c r="N938" s="9"/>
      <c r="O938" s="9">
        <v>45999</v>
      </c>
      <c r="P938" s="11">
        <v>36</v>
      </c>
      <c r="Q938" s="12">
        <v>43856124</v>
      </c>
      <c r="R938">
        <v>43856124</v>
      </c>
      <c r="S938" s="22">
        <v>0.05</v>
      </c>
      <c r="T938" s="22">
        <v>0.02</v>
      </c>
      <c r="U938" s="12">
        <v>42496584.159999996</v>
      </c>
      <c r="V938" s="24">
        <v>42496584.159999996</v>
      </c>
      <c r="W938" s="8">
        <v>37499811.539999999</v>
      </c>
      <c r="X938" s="24">
        <v>37499811.539999999</v>
      </c>
      <c r="Y938" s="22">
        <v>0.22</v>
      </c>
      <c r="Z938" s="22">
        <v>0.14000000000000001</v>
      </c>
      <c r="AA938" s="8" t="s">
        <v>3086</v>
      </c>
      <c r="AB938" s="8">
        <v>21898069.390000001</v>
      </c>
      <c r="AC938" s="24">
        <v>21898069.390000001</v>
      </c>
      <c r="AD938" s="8">
        <v>20807773.359999999</v>
      </c>
      <c r="AE938" s="24">
        <v>20807773.359999999</v>
      </c>
      <c r="AF938" s="8">
        <v>30</v>
      </c>
      <c r="AG938" s="8">
        <v>103</v>
      </c>
      <c r="AH938" s="8" t="s">
        <v>332</v>
      </c>
      <c r="AI938" s="8" t="s">
        <v>336</v>
      </c>
      <c r="AJ938" s="22">
        <v>0.23</v>
      </c>
      <c r="AK938" s="8" t="s">
        <v>152</v>
      </c>
      <c r="AL938" s="22">
        <v>0.05</v>
      </c>
      <c r="AM938" s="22">
        <v>0.06</v>
      </c>
      <c r="AN938" s="8">
        <v>0</v>
      </c>
      <c r="AO938" s="8">
        <v>2247</v>
      </c>
      <c r="AP938" s="8">
        <v>884107.66</v>
      </c>
      <c r="AQ938" s="24">
        <v>884107.66</v>
      </c>
      <c r="AR938" s="8">
        <v>9341552.4299999997</v>
      </c>
      <c r="AS938" s="37">
        <v>9341552.4299999997</v>
      </c>
      <c r="AT938" s="8" t="s">
        <v>391</v>
      </c>
      <c r="AU938" s="8" t="s">
        <v>386</v>
      </c>
      <c r="AV938" s="8">
        <v>64.2</v>
      </c>
      <c r="AW938" s="8">
        <v>48</v>
      </c>
      <c r="AX938" s="8" t="s">
        <v>392</v>
      </c>
      <c r="AY938" s="8" t="s">
        <v>224</v>
      </c>
      <c r="AZ938" s="8" t="s">
        <v>357</v>
      </c>
      <c r="BA938" s="21">
        <f>IF(OR(tblsales[[#This Row],[Invoice Value USD]]="",tblsales[[#This Row],[Collected Amount USD]]=""),"",tblsales[[#This Row],[Invoice Value USD]]-tblsales[[#This Row],[Collected Amount USD]])</f>
        <v>1090296.0300000012</v>
      </c>
      <c r="BB938" s="21">
        <f>IF(OR(tblsales[[#This Row],[Contract Value USD]]="",tblsales[[#This Row],[Cost Estimate USD]]=""),"",tblsales[[#This Row],[Contract Value USD]]-tblsales[[#This Row],[Cost Estimate USD]])</f>
        <v>4996772.6199999973</v>
      </c>
      <c r="BC938" s="21">
        <f>IF(OR(tblsales[[#This Row],[Contract Value USD]]="",tblsales[[#This Row],[Cost Estimate USD]]=""),"",tblsales[[#This Row],[Contract Value USD]]-tblsales[[#This Row],[Cost Estimate USD]])</f>
        <v>4996772.6199999973</v>
      </c>
      <c r="BD938" s="23">
        <f>IF(tblsales[[#This Row],[Invoice Value USD]]="","",tblsales[[#This Row],[Collected Amount USD]]/tblsales[[#This Row],[Invoice Value USD]])</f>
        <v>0.95021040391360267</v>
      </c>
      <c r="BE938" s="11">
        <f>IF(tblsales[[#This Row],[SalesStage]]="Won",1,0)</f>
        <v>0</v>
      </c>
      <c r="BF938" s="21" t="str">
        <f>IF(tblsales[[#This Row],[Win Flag]]=1,"Won","Lost")</f>
        <v>Lost</v>
      </c>
      <c r="BG938" s="8"/>
    </row>
    <row r="939" spans="1:59" x14ac:dyDescent="0.3">
      <c r="A939" s="10" t="s">
        <v>3087</v>
      </c>
      <c r="B939" s="9">
        <v>45795</v>
      </c>
      <c r="C939" s="10" t="s">
        <v>280</v>
      </c>
      <c r="D939" s="10" t="s">
        <v>281</v>
      </c>
      <c r="E939" s="10" t="s">
        <v>332</v>
      </c>
      <c r="F939" s="10" t="s">
        <v>181</v>
      </c>
      <c r="G939" s="10" t="s">
        <v>70</v>
      </c>
      <c r="H939" s="10" t="s">
        <v>263</v>
      </c>
      <c r="I939" s="10" t="s">
        <v>246</v>
      </c>
      <c r="J939" s="10" t="s">
        <v>99</v>
      </c>
      <c r="K939" s="10" t="s">
        <v>326</v>
      </c>
      <c r="L939" s="10" t="s">
        <v>3088</v>
      </c>
      <c r="M939" s="9">
        <v>45763</v>
      </c>
      <c r="N939" s="9">
        <v>45795</v>
      </c>
      <c r="O939" s="9">
        <v>45907</v>
      </c>
      <c r="P939" s="11"/>
      <c r="Q939" s="12">
        <v>20259257</v>
      </c>
      <c r="R939">
        <v>23520997.377</v>
      </c>
      <c r="S939" s="22">
        <v>0.28999999999999998</v>
      </c>
      <c r="T939" s="22">
        <v>0.12</v>
      </c>
      <c r="U939" s="12">
        <v>16110161.17</v>
      </c>
      <c r="V939" s="24">
        <v>18703897.11837</v>
      </c>
      <c r="W939" s="8">
        <v>13690790.189999999</v>
      </c>
      <c r="X939" s="24">
        <v>15895007.41059</v>
      </c>
      <c r="Y939" s="22">
        <v>0.09</v>
      </c>
      <c r="Z939" s="22">
        <v>0.14000000000000001</v>
      </c>
      <c r="AA939" s="8" t="s">
        <v>3089</v>
      </c>
      <c r="AB939" s="8">
        <v>11141364.779999999</v>
      </c>
      <c r="AC939" s="24">
        <v>12935124.509579999</v>
      </c>
      <c r="AD939" s="8">
        <v>5818088.9400000004</v>
      </c>
      <c r="AE939" s="24">
        <v>6754801.2593400003</v>
      </c>
      <c r="AF939" s="8">
        <v>60</v>
      </c>
      <c r="AG939" s="8">
        <v>31</v>
      </c>
      <c r="AH939" s="8" t="s">
        <v>347</v>
      </c>
      <c r="AI939" s="8" t="s">
        <v>226</v>
      </c>
      <c r="AJ939" s="22">
        <v>0.59</v>
      </c>
      <c r="AK939" s="8" t="s">
        <v>159</v>
      </c>
      <c r="AL939" s="22">
        <v>0.15</v>
      </c>
      <c r="AM939" s="22">
        <v>0.04</v>
      </c>
      <c r="AN939" s="8">
        <v>0</v>
      </c>
      <c r="AO939" s="8">
        <v>1069</v>
      </c>
      <c r="AP939" s="8">
        <v>1613492.24</v>
      </c>
      <c r="AQ939" s="24">
        <v>1873264.49064</v>
      </c>
      <c r="AR939" s="8">
        <v>7227021.2699999996</v>
      </c>
      <c r="AS939" s="37">
        <v>8390571.6944699995</v>
      </c>
      <c r="AT939" s="8" t="s">
        <v>355</v>
      </c>
      <c r="AU939" s="8" t="s">
        <v>386</v>
      </c>
      <c r="AV939" s="8">
        <v>73.8</v>
      </c>
      <c r="AW939" s="8">
        <v>24</v>
      </c>
      <c r="AX939" s="8" t="s">
        <v>332</v>
      </c>
      <c r="AY939" s="8" t="s">
        <v>206</v>
      </c>
      <c r="AZ939" s="8" t="s">
        <v>357</v>
      </c>
      <c r="BA939" s="21">
        <f>IF(OR(tblsales[[#This Row],[Invoice Value USD]]="",tblsales[[#This Row],[Collected Amount USD]]=""),"",tblsales[[#This Row],[Invoice Value USD]]-tblsales[[#This Row],[Collected Amount USD]])</f>
        <v>6180323.250239999</v>
      </c>
      <c r="BB939" s="21">
        <f>IF(OR(tblsales[[#This Row],[Contract Value USD]]="",tblsales[[#This Row],[Cost Estimate USD]]=""),"",tblsales[[#This Row],[Contract Value USD]]-tblsales[[#This Row],[Cost Estimate USD]])</f>
        <v>2808889.7077799998</v>
      </c>
      <c r="BC939" s="21">
        <f>IF(OR(tblsales[[#This Row],[Contract Value USD]]="",tblsales[[#This Row],[Cost Estimate USD]]=""),"",tblsales[[#This Row],[Contract Value USD]]-tblsales[[#This Row],[Cost Estimate USD]])</f>
        <v>2808889.7077799998</v>
      </c>
      <c r="BD939" s="23">
        <f>IF(tblsales[[#This Row],[Invoice Value USD]]="","",tblsales[[#This Row],[Collected Amount USD]]/tblsales[[#This Row],[Invoice Value USD]])</f>
        <v>0.52220612598953076</v>
      </c>
      <c r="BE939" s="11">
        <f>IF(tblsales[[#This Row],[SalesStage]]="Won",1,0)</f>
        <v>0</v>
      </c>
      <c r="BF939" s="21" t="str">
        <f>IF(tblsales[[#This Row],[Win Flag]]=1,"Won","Lost")</f>
        <v>Lost</v>
      </c>
      <c r="BG939" s="8"/>
    </row>
    <row r="940" spans="1:59" x14ac:dyDescent="0.3">
      <c r="A940" s="10" t="s">
        <v>3090</v>
      </c>
      <c r="B940" s="9">
        <v>45682</v>
      </c>
      <c r="C940" s="10" t="s">
        <v>285</v>
      </c>
      <c r="D940" s="10" t="s">
        <v>180</v>
      </c>
      <c r="E940" s="10" t="s">
        <v>36</v>
      </c>
      <c r="F940" s="10" t="s">
        <v>19</v>
      </c>
      <c r="G940" s="10" t="s">
        <v>46</v>
      </c>
      <c r="H940" s="10" t="s">
        <v>236</v>
      </c>
      <c r="I940" s="10" t="s">
        <v>203</v>
      </c>
      <c r="J940" s="10" t="s">
        <v>115</v>
      </c>
      <c r="K940" s="10" t="s">
        <v>184</v>
      </c>
      <c r="L940" s="10" t="s">
        <v>3091</v>
      </c>
      <c r="M940" s="9">
        <v>45652</v>
      </c>
      <c r="N940" s="9">
        <v>45719</v>
      </c>
      <c r="O940" s="9">
        <v>45905</v>
      </c>
      <c r="P940" s="11">
        <v>8</v>
      </c>
      <c r="Q940" s="12">
        <v>34339282</v>
      </c>
      <c r="R940">
        <v>34339282</v>
      </c>
      <c r="S940" s="22">
        <v>7.0000000000000007E-2</v>
      </c>
      <c r="T940" s="22">
        <v>0.13</v>
      </c>
      <c r="U940" s="12">
        <v>36087151.450000003</v>
      </c>
      <c r="V940" s="24">
        <v>36087151.450000003</v>
      </c>
      <c r="W940" s="8"/>
      <c r="X940" s="24"/>
      <c r="Y940" s="22">
        <v>0.37</v>
      </c>
      <c r="Z940" s="22">
        <v>0.08</v>
      </c>
      <c r="AA940" s="8" t="s">
        <v>3092</v>
      </c>
      <c r="AB940" s="8">
        <v>21477733.469999999</v>
      </c>
      <c r="AC940" s="24">
        <v>21477733.469999999</v>
      </c>
      <c r="AD940" s="8">
        <v>21111670.27</v>
      </c>
      <c r="AE940" s="24">
        <v>21111670.27</v>
      </c>
      <c r="AF940" s="8">
        <v>120</v>
      </c>
      <c r="AG940" s="8">
        <v>129</v>
      </c>
      <c r="AH940" s="8" t="s">
        <v>329</v>
      </c>
      <c r="AI940" s="8" t="s">
        <v>406</v>
      </c>
      <c r="AJ940" s="22">
        <v>0.53</v>
      </c>
      <c r="AK940" s="8" t="s">
        <v>152</v>
      </c>
      <c r="AL940" s="22">
        <v>0.05</v>
      </c>
      <c r="AM940" s="22">
        <v>0.03</v>
      </c>
      <c r="AN940" s="8">
        <v>1</v>
      </c>
      <c r="AO940" s="8">
        <v>4684</v>
      </c>
      <c r="AP940" s="8">
        <v>8193904.7000000002</v>
      </c>
      <c r="AQ940" s="24">
        <v>8193904.7000000002</v>
      </c>
      <c r="AR940" s="8">
        <v>14995283.539999999</v>
      </c>
      <c r="AS940" s="37">
        <v>14995283.539999999</v>
      </c>
      <c r="AT940" s="8" t="s">
        <v>73</v>
      </c>
      <c r="AU940" s="8" t="s">
        <v>348</v>
      </c>
      <c r="AV940" s="8">
        <v>89.9</v>
      </c>
      <c r="AW940" s="8">
        <v>36</v>
      </c>
      <c r="AX940" s="8" t="s">
        <v>392</v>
      </c>
      <c r="AY940" s="8" t="s">
        <v>192</v>
      </c>
      <c r="AZ940" s="8" t="s">
        <v>357</v>
      </c>
      <c r="BA940" s="21">
        <f>IF(OR(tblsales[[#This Row],[Invoice Value USD]]="",tblsales[[#This Row],[Collected Amount USD]]=""),"",tblsales[[#This Row],[Invoice Value USD]]-tblsales[[#This Row],[Collected Amount USD]])</f>
        <v>366063.19999999925</v>
      </c>
      <c r="BB940" s="21" t="str">
        <f>IF(OR(tblsales[[#This Row],[Contract Value USD]]="",tblsales[[#This Row],[Cost Estimate USD]]=""),"",tblsales[[#This Row],[Contract Value USD]]-tblsales[[#This Row],[Cost Estimate USD]])</f>
        <v/>
      </c>
      <c r="BC940" s="21" t="str">
        <f>IF(OR(tblsales[[#This Row],[Contract Value USD]]="",tblsales[[#This Row],[Cost Estimate USD]]=""),"",tblsales[[#This Row],[Contract Value USD]]-tblsales[[#This Row],[Cost Estimate USD]])</f>
        <v/>
      </c>
      <c r="BD940" s="23">
        <f>IF(tblsales[[#This Row],[Invoice Value USD]]="","",tblsales[[#This Row],[Collected Amount USD]]/tblsales[[#This Row],[Invoice Value USD]])</f>
        <v>0.98295615314756957</v>
      </c>
      <c r="BE940" s="11">
        <f>IF(tblsales[[#This Row],[SalesStage]]="Won",1,0)</f>
        <v>0</v>
      </c>
      <c r="BF940" s="21" t="str">
        <f>IF(tblsales[[#This Row],[Win Flag]]=1,"Won","Lost")</f>
        <v>Lost</v>
      </c>
      <c r="BG940" s="8"/>
    </row>
    <row r="941" spans="1:59" x14ac:dyDescent="0.3">
      <c r="A941" s="10" t="s">
        <v>3093</v>
      </c>
      <c r="B941" s="9">
        <v>45940</v>
      </c>
      <c r="C941" s="10" t="s">
        <v>268</v>
      </c>
      <c r="D941" s="10" t="s">
        <v>562</v>
      </c>
      <c r="E941" s="10" t="s">
        <v>113</v>
      </c>
      <c r="F941" s="10" t="s">
        <v>181</v>
      </c>
      <c r="G941" s="10" t="s">
        <v>28</v>
      </c>
      <c r="H941" s="10" t="s">
        <v>212</v>
      </c>
      <c r="I941" s="10" t="s">
        <v>233</v>
      </c>
      <c r="J941" s="10" t="s">
        <v>127</v>
      </c>
      <c r="K941" s="10" t="s">
        <v>326</v>
      </c>
      <c r="L941" s="10" t="s">
        <v>3094</v>
      </c>
      <c r="M941" s="9">
        <v>45999</v>
      </c>
      <c r="N941" s="9"/>
      <c r="O941" s="9">
        <v>46049</v>
      </c>
      <c r="P941" s="11">
        <v>21</v>
      </c>
      <c r="Q941" s="12">
        <v>497993</v>
      </c>
      <c r="R941">
        <v>135603.4939</v>
      </c>
      <c r="S941" s="22">
        <v>0.3</v>
      </c>
      <c r="T941" s="22">
        <v>7.0000000000000007E-2</v>
      </c>
      <c r="U941" s="12">
        <v>372996.76</v>
      </c>
      <c r="V941" s="24">
        <v>101567.017748</v>
      </c>
      <c r="W941" s="8">
        <v>326557.94</v>
      </c>
      <c r="X941" s="24">
        <v>88921.727061999991</v>
      </c>
      <c r="Y941" s="22">
        <v>0.2</v>
      </c>
      <c r="Z941" s="22">
        <v>0.11</v>
      </c>
      <c r="AA941" s="8" t="s">
        <v>3095</v>
      </c>
      <c r="AB941" s="8">
        <v>222142.49</v>
      </c>
      <c r="AC941" s="24">
        <v>60489.400026999996</v>
      </c>
      <c r="AD941" s="8">
        <v>68872.899999999994</v>
      </c>
      <c r="AE941" s="24">
        <v>18754.090669999998</v>
      </c>
      <c r="AF941" s="8">
        <v>90</v>
      </c>
      <c r="AG941" s="8">
        <v>137</v>
      </c>
      <c r="AH941" s="8" t="s">
        <v>347</v>
      </c>
      <c r="AI941" s="8" t="s">
        <v>406</v>
      </c>
      <c r="AJ941" s="22">
        <v>0.15</v>
      </c>
      <c r="AK941" s="8" t="s">
        <v>153</v>
      </c>
      <c r="AL941" s="22">
        <v>0.05</v>
      </c>
      <c r="AM941" s="22">
        <v>0.08</v>
      </c>
      <c r="AN941" s="8">
        <v>1</v>
      </c>
      <c r="AO941" s="8">
        <v>3870</v>
      </c>
      <c r="AP941" s="8">
        <v>36964.1</v>
      </c>
      <c r="AQ941" s="24">
        <v>10065.324429999999</v>
      </c>
      <c r="AR941" s="8">
        <v>136223.10999999999</v>
      </c>
      <c r="AS941" s="37">
        <v>37093.552852999994</v>
      </c>
      <c r="AT941" s="8" t="s">
        <v>385</v>
      </c>
      <c r="AU941" s="8" t="s">
        <v>348</v>
      </c>
      <c r="AV941" s="8">
        <v>61.7</v>
      </c>
      <c r="AW941" s="8"/>
      <c r="AX941" s="8" t="s">
        <v>332</v>
      </c>
      <c r="AY941" s="8" t="s">
        <v>206</v>
      </c>
      <c r="AZ941" s="8" t="s">
        <v>377</v>
      </c>
      <c r="BA941" s="21">
        <f>IF(OR(tblsales[[#This Row],[Invoice Value USD]]="",tblsales[[#This Row],[Collected Amount USD]]=""),"",tblsales[[#This Row],[Invoice Value USD]]-tblsales[[#This Row],[Collected Amount USD]])</f>
        <v>41735.309356999998</v>
      </c>
      <c r="BB941" s="21">
        <f>IF(OR(tblsales[[#This Row],[Contract Value USD]]="",tblsales[[#This Row],[Cost Estimate USD]]=""),"",tblsales[[#This Row],[Contract Value USD]]-tblsales[[#This Row],[Cost Estimate USD]])</f>
        <v>12645.290686000008</v>
      </c>
      <c r="BC941" s="21">
        <f>IF(OR(tblsales[[#This Row],[Contract Value USD]]="",tblsales[[#This Row],[Cost Estimate USD]]=""),"",tblsales[[#This Row],[Contract Value USD]]-tblsales[[#This Row],[Cost Estimate USD]])</f>
        <v>12645.290686000008</v>
      </c>
      <c r="BD941" s="23">
        <f>IF(tblsales[[#This Row],[Invoice Value USD]]="","",tblsales[[#This Row],[Collected Amount USD]]/tblsales[[#This Row],[Invoice Value USD]])</f>
        <v>0.31003929054725188</v>
      </c>
      <c r="BE941" s="11">
        <f>IF(tblsales[[#This Row],[SalesStage]]="Won",1,0)</f>
        <v>0</v>
      </c>
      <c r="BF941" s="21" t="str">
        <f>IF(tblsales[[#This Row],[Win Flag]]=1,"Won","Lost")</f>
        <v>Lost</v>
      </c>
      <c r="BG941" s="8"/>
    </row>
    <row r="942" spans="1:59" x14ac:dyDescent="0.3">
      <c r="A942" s="10" t="s">
        <v>3096</v>
      </c>
      <c r="B942" s="9">
        <v>46011</v>
      </c>
      <c r="C942" s="10" t="s">
        <v>284</v>
      </c>
      <c r="D942" s="10" t="s">
        <v>250</v>
      </c>
      <c r="E942" s="10" t="s">
        <v>36</v>
      </c>
      <c r="F942" s="10" t="s">
        <v>19</v>
      </c>
      <c r="G942" s="10" t="s">
        <v>66</v>
      </c>
      <c r="H942" s="10" t="s">
        <v>212</v>
      </c>
      <c r="I942" s="10" t="s">
        <v>191</v>
      </c>
      <c r="J942" s="10" t="s">
        <v>115</v>
      </c>
      <c r="K942" s="10" t="s">
        <v>333</v>
      </c>
      <c r="L942" s="10" t="s">
        <v>3097</v>
      </c>
      <c r="M942" s="9">
        <v>45759</v>
      </c>
      <c r="N942" s="9">
        <v>46016</v>
      </c>
      <c r="O942" s="9">
        <v>46131</v>
      </c>
      <c r="P942" s="11">
        <v>15</v>
      </c>
      <c r="Q942" s="12">
        <v>13874177</v>
      </c>
      <c r="R942">
        <v>13874177</v>
      </c>
      <c r="S942" s="22">
        <v>0.1</v>
      </c>
      <c r="T942" s="22">
        <v>0.01</v>
      </c>
      <c r="U942" s="12">
        <v>12611626.890000001</v>
      </c>
      <c r="V942" s="24">
        <v>12611626.890000001</v>
      </c>
      <c r="W942" s="8">
        <v>10649638.73</v>
      </c>
      <c r="X942" s="24">
        <v>10649638.73</v>
      </c>
      <c r="Y942" s="22">
        <v>0.27</v>
      </c>
      <c r="Z942" s="22">
        <v>7.0000000000000007E-2</v>
      </c>
      <c r="AA942" s="8" t="s">
        <v>3098</v>
      </c>
      <c r="AB942" s="8">
        <v>2081078.57</v>
      </c>
      <c r="AC942" s="24">
        <v>2081078.57</v>
      </c>
      <c r="AD942" s="8">
        <v>1563925.36</v>
      </c>
      <c r="AE942" s="24">
        <v>1563925.36</v>
      </c>
      <c r="AF942" s="8">
        <v>90</v>
      </c>
      <c r="AG942" s="8">
        <v>139</v>
      </c>
      <c r="AH942" s="8" t="s">
        <v>332</v>
      </c>
      <c r="AI942" s="8" t="s">
        <v>455</v>
      </c>
      <c r="AJ942" s="22">
        <v>0.92</v>
      </c>
      <c r="AK942" s="8" t="s">
        <v>152</v>
      </c>
      <c r="AL942" s="22">
        <v>0.1</v>
      </c>
      <c r="AM942" s="22">
        <v>7.0000000000000007E-2</v>
      </c>
      <c r="AN942" s="8">
        <v>2</v>
      </c>
      <c r="AO942" s="8">
        <v>4376</v>
      </c>
      <c r="AP942" s="8">
        <v>2952563.86</v>
      </c>
      <c r="AQ942" s="24">
        <v>2952563.86</v>
      </c>
      <c r="AR942" s="8">
        <v>3449985.47</v>
      </c>
      <c r="AS942" s="37">
        <v>3449985.47</v>
      </c>
      <c r="AT942" s="8" t="s">
        <v>321</v>
      </c>
      <c r="AU942" s="8" t="s">
        <v>330</v>
      </c>
      <c r="AV942" s="8">
        <v>63.3</v>
      </c>
      <c r="AW942" s="8">
        <v>12</v>
      </c>
      <c r="AX942" s="8" t="s">
        <v>392</v>
      </c>
      <c r="AY942" s="8" t="s">
        <v>229</v>
      </c>
      <c r="AZ942" s="8" t="s">
        <v>324</v>
      </c>
      <c r="BA942" s="21">
        <f>IF(OR(tblsales[[#This Row],[Invoice Value USD]]="",tblsales[[#This Row],[Collected Amount USD]]=""),"",tblsales[[#This Row],[Invoice Value USD]]-tblsales[[#This Row],[Collected Amount USD]])</f>
        <v>517153.20999999996</v>
      </c>
      <c r="BB942" s="21">
        <f>IF(OR(tblsales[[#This Row],[Contract Value USD]]="",tblsales[[#This Row],[Cost Estimate USD]]=""),"",tblsales[[#This Row],[Contract Value USD]]-tblsales[[#This Row],[Cost Estimate USD]])</f>
        <v>1961988.1600000001</v>
      </c>
      <c r="BC942" s="21">
        <f>IF(OR(tblsales[[#This Row],[Contract Value USD]]="",tblsales[[#This Row],[Cost Estimate USD]]=""),"",tblsales[[#This Row],[Contract Value USD]]-tblsales[[#This Row],[Cost Estimate USD]])</f>
        <v>1961988.1600000001</v>
      </c>
      <c r="BD942" s="23">
        <f>IF(tblsales[[#This Row],[Invoice Value USD]]="","",tblsales[[#This Row],[Collected Amount USD]]/tblsales[[#This Row],[Invoice Value USD]])</f>
        <v>0.75149750833290263</v>
      </c>
      <c r="BE942" s="11">
        <f>IF(tblsales[[#This Row],[SalesStage]]="Won",1,0)</f>
        <v>0</v>
      </c>
      <c r="BF942" s="21" t="str">
        <f>IF(tblsales[[#This Row],[Win Flag]]=1,"Won","Lost")</f>
        <v>Lost</v>
      </c>
      <c r="BG942" s="8"/>
    </row>
    <row r="943" spans="1:59" x14ac:dyDescent="0.3">
      <c r="A943" s="10" t="s">
        <v>3099</v>
      </c>
      <c r="B943" s="9">
        <v>45714</v>
      </c>
      <c r="C943" s="10" t="s">
        <v>276</v>
      </c>
      <c r="D943" s="10" t="s">
        <v>245</v>
      </c>
      <c r="E943" s="10" t="s">
        <v>113</v>
      </c>
      <c r="F943" s="10" t="s">
        <v>181</v>
      </c>
      <c r="G943" s="10" t="s">
        <v>70</v>
      </c>
      <c r="H943" s="10" t="s">
        <v>182</v>
      </c>
      <c r="I943" s="10" t="s">
        <v>213</v>
      </c>
      <c r="J943" s="10" t="s">
        <v>123</v>
      </c>
      <c r="K943" s="10" t="s">
        <v>333</v>
      </c>
      <c r="L943" s="10" t="s">
        <v>3100</v>
      </c>
      <c r="M943" s="9">
        <v>45671</v>
      </c>
      <c r="N943" s="9">
        <v>45761</v>
      </c>
      <c r="O943" s="9">
        <v>45875</v>
      </c>
      <c r="P943" s="11">
        <v>55</v>
      </c>
      <c r="Q943" s="12">
        <v>4515095</v>
      </c>
      <c r="R943">
        <v>4515095</v>
      </c>
      <c r="S943" s="22">
        <v>0.13</v>
      </c>
      <c r="T943" s="22">
        <v>-0.01</v>
      </c>
      <c r="U943" s="12">
        <v>3888851.32</v>
      </c>
      <c r="V943" s="24">
        <v>3888851.32</v>
      </c>
      <c r="W943" s="8">
        <v>3379916.71</v>
      </c>
      <c r="X943" s="24">
        <v>3379916.71</v>
      </c>
      <c r="Y943" s="22">
        <v>0.11</v>
      </c>
      <c r="Z943" s="22">
        <v>0.09</v>
      </c>
      <c r="AA943" s="8" t="s">
        <v>3101</v>
      </c>
      <c r="AB943" s="8">
        <v>3174543.28</v>
      </c>
      <c r="AC943" s="24">
        <v>3174543.28</v>
      </c>
      <c r="AD943" s="8">
        <v>1246672.55</v>
      </c>
      <c r="AE943" s="24">
        <v>1246672.55</v>
      </c>
      <c r="AF943" s="8">
        <v>120</v>
      </c>
      <c r="AG943" s="8">
        <v>129</v>
      </c>
      <c r="AH943" s="8" t="s">
        <v>332</v>
      </c>
      <c r="AI943" s="8" t="s">
        <v>455</v>
      </c>
      <c r="AJ943" s="22">
        <v>0.63</v>
      </c>
      <c r="AK943" s="8" t="s">
        <v>152</v>
      </c>
      <c r="AL943" s="22">
        <v>0.1</v>
      </c>
      <c r="AM943" s="22">
        <v>7.0000000000000007E-2</v>
      </c>
      <c r="AN943" s="8">
        <v>3</v>
      </c>
      <c r="AO943" s="8">
        <v>667</v>
      </c>
      <c r="AP943" s="8">
        <v>621464.04</v>
      </c>
      <c r="AQ943" s="24">
        <v>621464.04</v>
      </c>
      <c r="AR943" s="8">
        <v>576346.11</v>
      </c>
      <c r="AS943" s="37">
        <v>576346.11</v>
      </c>
      <c r="AT943" s="8" t="s">
        <v>332</v>
      </c>
      <c r="AU943" s="8" t="s">
        <v>386</v>
      </c>
      <c r="AV943" s="8">
        <v>69.2</v>
      </c>
      <c r="AW943" s="8">
        <v>60</v>
      </c>
      <c r="AX943" s="8" t="s">
        <v>323</v>
      </c>
      <c r="AY943" s="8" t="s">
        <v>186</v>
      </c>
      <c r="AZ943" s="8" t="s">
        <v>377</v>
      </c>
      <c r="BA943" s="21">
        <f>IF(OR(tblsales[[#This Row],[Invoice Value USD]]="",tblsales[[#This Row],[Collected Amount USD]]=""),"",tblsales[[#This Row],[Invoice Value USD]]-tblsales[[#This Row],[Collected Amount USD]])</f>
        <v>1927870.7299999997</v>
      </c>
      <c r="BB943" s="21">
        <f>IF(OR(tblsales[[#This Row],[Contract Value USD]]="",tblsales[[#This Row],[Cost Estimate USD]]=""),"",tblsales[[#This Row],[Contract Value USD]]-tblsales[[#This Row],[Cost Estimate USD]])</f>
        <v>508934.60999999987</v>
      </c>
      <c r="BC943" s="21">
        <f>IF(OR(tblsales[[#This Row],[Contract Value USD]]="",tblsales[[#This Row],[Cost Estimate USD]]=""),"",tblsales[[#This Row],[Contract Value USD]]-tblsales[[#This Row],[Cost Estimate USD]])</f>
        <v>508934.60999999987</v>
      </c>
      <c r="BD943" s="23">
        <f>IF(tblsales[[#This Row],[Invoice Value USD]]="","",tblsales[[#This Row],[Collected Amount USD]]/tblsales[[#This Row],[Invoice Value USD]])</f>
        <v>0.39270926241711224</v>
      </c>
      <c r="BE943" s="11">
        <f>IF(tblsales[[#This Row],[SalesStage]]="Won",1,0)</f>
        <v>0</v>
      </c>
      <c r="BF943" s="21" t="str">
        <f>IF(tblsales[[#This Row],[Win Flag]]=1,"Won","Lost")</f>
        <v>Lost</v>
      </c>
      <c r="BG943" s="8"/>
    </row>
    <row r="944" spans="1:59" x14ac:dyDescent="0.3">
      <c r="A944" s="10" t="s">
        <v>3102</v>
      </c>
      <c r="B944" s="9">
        <v>45803</v>
      </c>
      <c r="C944" s="10" t="s">
        <v>256</v>
      </c>
      <c r="D944" s="10" t="s">
        <v>265</v>
      </c>
      <c r="E944" s="10" t="s">
        <v>41</v>
      </c>
      <c r="F944" s="10" t="s">
        <v>350</v>
      </c>
      <c r="G944" s="10" t="s">
        <v>38</v>
      </c>
      <c r="H944" s="10" t="s">
        <v>263</v>
      </c>
      <c r="I944" s="10" t="s">
        <v>240</v>
      </c>
      <c r="J944" s="10" t="s">
        <v>130</v>
      </c>
      <c r="K944" s="10" t="s">
        <v>221</v>
      </c>
      <c r="L944" s="10" t="s">
        <v>3103</v>
      </c>
      <c r="M944" s="9">
        <v>45769</v>
      </c>
      <c r="N944" s="9">
        <v>45695</v>
      </c>
      <c r="O944" s="9">
        <v>45882</v>
      </c>
      <c r="P944" s="11"/>
      <c r="Q944" s="12">
        <v>16201281</v>
      </c>
      <c r="R944">
        <v>4411608.8163000001</v>
      </c>
      <c r="S944" s="22">
        <v>0.15</v>
      </c>
      <c r="T944" s="22">
        <v>0.09</v>
      </c>
      <c r="U944" s="12">
        <v>15010486.85</v>
      </c>
      <c r="V944" s="24">
        <v>4087355.5692549995</v>
      </c>
      <c r="W944" s="8">
        <v>12158413.34</v>
      </c>
      <c r="X944" s="24">
        <v>3310735.952482</v>
      </c>
      <c r="Y944" s="22">
        <v>0.21</v>
      </c>
      <c r="Z944" s="22">
        <v>0.05</v>
      </c>
      <c r="AA944" s="8" t="s">
        <v>3104</v>
      </c>
      <c r="AB944" s="8">
        <v>10835626.58</v>
      </c>
      <c r="AC944" s="24">
        <v>2950541.1177340001</v>
      </c>
      <c r="AD944" s="8">
        <v>10987374.08</v>
      </c>
      <c r="AE944" s="24">
        <v>2991861.9619839997</v>
      </c>
      <c r="AF944" s="8">
        <v>45</v>
      </c>
      <c r="AG944" s="8">
        <v>70</v>
      </c>
      <c r="AH944" s="8" t="s">
        <v>353</v>
      </c>
      <c r="AI944" s="8" t="s">
        <v>320</v>
      </c>
      <c r="AJ944" s="22">
        <v>0.4</v>
      </c>
      <c r="AK944" s="8" t="s">
        <v>153</v>
      </c>
      <c r="AL944" s="22">
        <v>0.15</v>
      </c>
      <c r="AM944" s="22">
        <v>0.03</v>
      </c>
      <c r="AN944" s="8">
        <v>6</v>
      </c>
      <c r="AO944" s="8"/>
      <c r="AP944" s="8">
        <v>1596624.04</v>
      </c>
      <c r="AQ944" s="24">
        <v>434760.72609199997</v>
      </c>
      <c r="AR944" s="8">
        <v>4954807.33</v>
      </c>
      <c r="AS944" s="37">
        <v>1349194.035959</v>
      </c>
      <c r="AT944" s="8" t="s">
        <v>355</v>
      </c>
      <c r="AU944" s="8" t="s">
        <v>348</v>
      </c>
      <c r="AV944" s="8">
        <v>78.3</v>
      </c>
      <c r="AW944" s="8">
        <v>48</v>
      </c>
      <c r="AX944" s="8" t="s">
        <v>332</v>
      </c>
      <c r="AY944" s="8" t="s">
        <v>229</v>
      </c>
      <c r="AZ944" s="8" t="s">
        <v>357</v>
      </c>
      <c r="BA944" s="21">
        <f>IF(OR(tblsales[[#This Row],[Invoice Value USD]]="",tblsales[[#This Row],[Collected Amount USD]]=""),"",tblsales[[#This Row],[Invoice Value USD]]-tblsales[[#This Row],[Collected Amount USD]])</f>
        <v>-41320.844249999616</v>
      </c>
      <c r="BB944" s="21">
        <f>IF(OR(tblsales[[#This Row],[Contract Value USD]]="",tblsales[[#This Row],[Cost Estimate USD]]=""),"",tblsales[[#This Row],[Contract Value USD]]-tblsales[[#This Row],[Cost Estimate USD]])</f>
        <v>776619.61677299952</v>
      </c>
      <c r="BC944" s="21">
        <f>IF(OR(tblsales[[#This Row],[Contract Value USD]]="",tblsales[[#This Row],[Cost Estimate USD]]=""),"",tblsales[[#This Row],[Contract Value USD]]-tblsales[[#This Row],[Cost Estimate USD]])</f>
        <v>776619.61677299952</v>
      </c>
      <c r="BD944" s="23">
        <f>IF(tblsales[[#This Row],[Invoice Value USD]]="","",tblsales[[#This Row],[Collected Amount USD]]/tblsales[[#This Row],[Invoice Value USD]])</f>
        <v>1.0140044970062081</v>
      </c>
      <c r="BE944" s="11">
        <f>IF(tblsales[[#This Row],[SalesStage]]="Won",1,0)</f>
        <v>1</v>
      </c>
      <c r="BF944" s="21" t="str">
        <f>IF(tblsales[[#This Row],[Win Flag]]=1,"Won","Lost")</f>
        <v>Won</v>
      </c>
      <c r="BG944" s="8"/>
    </row>
    <row r="945" spans="1:59" x14ac:dyDescent="0.3">
      <c r="A945" s="10" t="s">
        <v>3105</v>
      </c>
      <c r="B945" s="9">
        <v>45826</v>
      </c>
      <c r="C945" s="10" t="s">
        <v>286</v>
      </c>
      <c r="D945" s="10" t="s">
        <v>255</v>
      </c>
      <c r="E945" s="10" t="s">
        <v>41</v>
      </c>
      <c r="F945" s="10" t="s">
        <v>228</v>
      </c>
      <c r="G945" s="10" t="s">
        <v>46</v>
      </c>
      <c r="H945" s="10" t="s">
        <v>212</v>
      </c>
      <c r="I945" s="10" t="s">
        <v>191</v>
      </c>
      <c r="J945" s="10" t="s">
        <v>105</v>
      </c>
      <c r="K945" s="10" t="s">
        <v>333</v>
      </c>
      <c r="L945" s="10" t="s">
        <v>3106</v>
      </c>
      <c r="M945" s="9">
        <v>45736</v>
      </c>
      <c r="N945" s="9">
        <v>45871</v>
      </c>
      <c r="O945" s="9"/>
      <c r="P945" s="11"/>
      <c r="Q945" s="12">
        <v>14637791</v>
      </c>
      <c r="R945">
        <v>3903898.8596999999</v>
      </c>
      <c r="S945" s="22">
        <v>0.26</v>
      </c>
      <c r="T945" s="22">
        <v>0.02</v>
      </c>
      <c r="U945" s="12">
        <v>11048604.65</v>
      </c>
      <c r="V945" s="24">
        <v>2946662.8601549999</v>
      </c>
      <c r="W945" s="8">
        <v>8711311.4000000004</v>
      </c>
      <c r="X945" s="24">
        <v>2323306.7503800001</v>
      </c>
      <c r="Y945" s="22">
        <v>0.22</v>
      </c>
      <c r="Z945" s="22">
        <v>0.17</v>
      </c>
      <c r="AA945" s="8" t="s">
        <v>3107</v>
      </c>
      <c r="AB945" s="8">
        <v>3102493.78</v>
      </c>
      <c r="AC945" s="24">
        <v>827435.09112599993</v>
      </c>
      <c r="AD945" s="8">
        <v>2644760.15</v>
      </c>
      <c r="AE945" s="24">
        <v>705357.53200499993</v>
      </c>
      <c r="AF945" s="8">
        <v>120</v>
      </c>
      <c r="AG945" s="8">
        <v>51</v>
      </c>
      <c r="AH945" s="8" t="s">
        <v>332</v>
      </c>
      <c r="AI945" s="8" t="s">
        <v>320</v>
      </c>
      <c r="AJ945" s="22">
        <v>0.61</v>
      </c>
      <c r="AK945" s="8" t="s">
        <v>162</v>
      </c>
      <c r="AL945" s="22">
        <v>0.05</v>
      </c>
      <c r="AM945" s="22">
        <v>0.06</v>
      </c>
      <c r="AN945" s="8">
        <v>13</v>
      </c>
      <c r="AO945" s="8">
        <v>4360</v>
      </c>
      <c r="AP945" s="8">
        <v>436614.66</v>
      </c>
      <c r="AQ945" s="24">
        <v>116445.12982199999</v>
      </c>
      <c r="AR945" s="8">
        <v>4793880.67</v>
      </c>
      <c r="AS945" s="37">
        <v>1278527.9746890001</v>
      </c>
      <c r="AT945" s="8" t="s">
        <v>355</v>
      </c>
      <c r="AU945" s="8" t="s">
        <v>321</v>
      </c>
      <c r="AV945" s="8">
        <v>71.2</v>
      </c>
      <c r="AW945" s="8">
        <v>24</v>
      </c>
      <c r="AX945" s="8" t="s">
        <v>323</v>
      </c>
      <c r="AY945" s="8" t="s">
        <v>192</v>
      </c>
      <c r="AZ945" s="8" t="s">
        <v>361</v>
      </c>
      <c r="BA945" s="21">
        <f>IF(OR(tblsales[[#This Row],[Invoice Value USD]]="",tblsales[[#This Row],[Collected Amount USD]]=""),"",tblsales[[#This Row],[Invoice Value USD]]-tblsales[[#This Row],[Collected Amount USD]])</f>
        <v>122077.559121</v>
      </c>
      <c r="BB945" s="21">
        <f>IF(OR(tblsales[[#This Row],[Contract Value USD]]="",tblsales[[#This Row],[Cost Estimate USD]]=""),"",tblsales[[#This Row],[Contract Value USD]]-tblsales[[#This Row],[Cost Estimate USD]])</f>
        <v>623356.10977499979</v>
      </c>
      <c r="BC945" s="21">
        <f>IF(OR(tblsales[[#This Row],[Contract Value USD]]="",tblsales[[#This Row],[Cost Estimate USD]]=""),"",tblsales[[#This Row],[Contract Value USD]]-tblsales[[#This Row],[Cost Estimate USD]])</f>
        <v>623356.10977499979</v>
      </c>
      <c r="BD945" s="23">
        <f>IF(tblsales[[#This Row],[Invoice Value USD]]="","",tblsales[[#This Row],[Collected Amount USD]]/tblsales[[#This Row],[Invoice Value USD]])</f>
        <v>0.85246267600897496</v>
      </c>
      <c r="BE945" s="11">
        <f>IF(tblsales[[#This Row],[SalesStage]]="Won",1,0)</f>
        <v>1</v>
      </c>
      <c r="BF945" s="21" t="str">
        <f>IF(tblsales[[#This Row],[Win Flag]]=1,"Won","Lost")</f>
        <v>Won</v>
      </c>
      <c r="BG945" s="8"/>
    </row>
    <row r="946" spans="1:59" x14ac:dyDescent="0.3">
      <c r="A946" s="10" t="s">
        <v>3108</v>
      </c>
      <c r="B946" s="9">
        <v>45888</v>
      </c>
      <c r="C946" s="10" t="s">
        <v>268</v>
      </c>
      <c r="D946" s="10" t="s">
        <v>190</v>
      </c>
      <c r="E946" s="10" t="s">
        <v>20</v>
      </c>
      <c r="F946" s="10" t="s">
        <v>332</v>
      </c>
      <c r="G946" s="10" t="s">
        <v>50</v>
      </c>
      <c r="H946" s="10" t="s">
        <v>197</v>
      </c>
      <c r="I946" s="10" t="s">
        <v>246</v>
      </c>
      <c r="J946" s="10" t="s">
        <v>136</v>
      </c>
      <c r="K946" s="10" t="s">
        <v>326</v>
      </c>
      <c r="L946" s="10" t="s">
        <v>3109</v>
      </c>
      <c r="M946" s="9">
        <v>45665</v>
      </c>
      <c r="N946" s="9">
        <v>45945</v>
      </c>
      <c r="O946" s="9">
        <v>45926</v>
      </c>
      <c r="P946" s="11"/>
      <c r="Q946" s="12">
        <v>33946705</v>
      </c>
      <c r="R946">
        <v>33946705</v>
      </c>
      <c r="S946" s="22">
        <v>0.3</v>
      </c>
      <c r="T946" s="22">
        <v>0.03</v>
      </c>
      <c r="U946" s="12">
        <v>24475574.300000001</v>
      </c>
      <c r="V946" s="24">
        <v>24475574.300000001</v>
      </c>
      <c r="W946" s="8">
        <v>21711116.010000002</v>
      </c>
      <c r="X946" s="24">
        <v>21711116.010000002</v>
      </c>
      <c r="Y946" s="22">
        <v>0.38</v>
      </c>
      <c r="Z946" s="22">
        <v>0.1</v>
      </c>
      <c r="AA946" s="8" t="s">
        <v>3110</v>
      </c>
      <c r="AB946" s="8">
        <v>6700670.0999999996</v>
      </c>
      <c r="AC946" s="24">
        <v>6700670.0999999996</v>
      </c>
      <c r="AD946" s="8">
        <v>4520521.5999999996</v>
      </c>
      <c r="AE946" s="24">
        <v>4520521.5999999996</v>
      </c>
      <c r="AF946" s="8">
        <v>30</v>
      </c>
      <c r="AG946" s="8">
        <v>16</v>
      </c>
      <c r="AH946" s="8" t="s">
        <v>376</v>
      </c>
      <c r="AI946" s="8" t="s">
        <v>354</v>
      </c>
      <c r="AJ946" s="22">
        <v>0.28999999999999998</v>
      </c>
      <c r="AK946" s="8" t="s">
        <v>152</v>
      </c>
      <c r="AL946" s="22">
        <v>0.15</v>
      </c>
      <c r="AM946" s="22">
        <v>0.09</v>
      </c>
      <c r="AN946" s="8">
        <v>11</v>
      </c>
      <c r="AO946" s="8">
        <v>3458</v>
      </c>
      <c r="AP946" s="8">
        <v>3594995.48</v>
      </c>
      <c r="AQ946" s="24">
        <v>3594995.48</v>
      </c>
      <c r="AR946" s="8">
        <v>6919266.0499999998</v>
      </c>
      <c r="AS946" s="37">
        <v>6919266.0499999998</v>
      </c>
      <c r="AT946" s="8" t="s">
        <v>343</v>
      </c>
      <c r="AU946" s="8" t="s">
        <v>332</v>
      </c>
      <c r="AV946" s="8">
        <v>58.5</v>
      </c>
      <c r="AW946" s="8">
        <v>24</v>
      </c>
      <c r="AX946" s="8" t="s">
        <v>323</v>
      </c>
      <c r="AY946" s="8" t="s">
        <v>229</v>
      </c>
      <c r="AZ946" s="8" t="s">
        <v>377</v>
      </c>
      <c r="BA946" s="21">
        <f>IF(OR(tblsales[[#This Row],[Invoice Value USD]]="",tblsales[[#This Row],[Collected Amount USD]]=""),"",tblsales[[#This Row],[Invoice Value USD]]-tblsales[[#This Row],[Collected Amount USD]])</f>
        <v>2180148.5</v>
      </c>
      <c r="BB946" s="21">
        <f>IF(OR(tblsales[[#This Row],[Contract Value USD]]="",tblsales[[#This Row],[Cost Estimate USD]]=""),"",tblsales[[#This Row],[Contract Value USD]]-tblsales[[#This Row],[Cost Estimate USD]])</f>
        <v>2764458.2899999991</v>
      </c>
      <c r="BC946" s="21">
        <f>IF(OR(tblsales[[#This Row],[Contract Value USD]]="",tblsales[[#This Row],[Cost Estimate USD]]=""),"",tblsales[[#This Row],[Contract Value USD]]-tblsales[[#This Row],[Cost Estimate USD]])</f>
        <v>2764458.2899999991</v>
      </c>
      <c r="BD946" s="23">
        <f>IF(tblsales[[#This Row],[Invoice Value USD]]="","",tblsales[[#This Row],[Collected Amount USD]]/tblsales[[#This Row],[Invoice Value USD]])</f>
        <v>0.67463724262443536</v>
      </c>
      <c r="BE946" s="11">
        <f>IF(tblsales[[#This Row],[SalesStage]]="Won",1,0)</f>
        <v>0</v>
      </c>
      <c r="BF946" s="21" t="str">
        <f>IF(tblsales[[#This Row],[Win Flag]]=1,"Won","Lost")</f>
        <v>Lost</v>
      </c>
      <c r="BG946" s="8"/>
    </row>
    <row r="947" spans="1:59" x14ac:dyDescent="0.3">
      <c r="A947" s="10" t="s">
        <v>3111</v>
      </c>
      <c r="B947" s="9">
        <v>45906</v>
      </c>
      <c r="C947" s="10" t="s">
        <v>284</v>
      </c>
      <c r="D947" s="10" t="s">
        <v>190</v>
      </c>
      <c r="E947" s="10" t="s">
        <v>36</v>
      </c>
      <c r="F947" s="10" t="s">
        <v>339</v>
      </c>
      <c r="G947" s="10" t="s">
        <v>80</v>
      </c>
      <c r="H947" s="10" t="s">
        <v>197</v>
      </c>
      <c r="I947" s="10" t="s">
        <v>240</v>
      </c>
      <c r="J947" s="10" t="s">
        <v>115</v>
      </c>
      <c r="K947" s="10" t="s">
        <v>326</v>
      </c>
      <c r="L947" s="10" t="s">
        <v>3112</v>
      </c>
      <c r="M947" s="9">
        <v>45831</v>
      </c>
      <c r="N947" s="9">
        <v>46001</v>
      </c>
      <c r="O947" s="9">
        <v>45728</v>
      </c>
      <c r="P947" s="11">
        <v>29</v>
      </c>
      <c r="Q947" s="12">
        <v>24132672</v>
      </c>
      <c r="R947">
        <v>6571326.5855999999</v>
      </c>
      <c r="S947" s="22">
        <v>0.25</v>
      </c>
      <c r="T947" s="22">
        <v>0.16</v>
      </c>
      <c r="U947" s="12">
        <v>20995424.640000001</v>
      </c>
      <c r="V947" s="24">
        <v>5717054.1294719996</v>
      </c>
      <c r="W947" s="8">
        <v>13896769.949999999</v>
      </c>
      <c r="X947" s="24">
        <v>3784090.4573849998</v>
      </c>
      <c r="Y947" s="22">
        <v>0.28000000000000003</v>
      </c>
      <c r="Z947" s="22">
        <v>0.1</v>
      </c>
      <c r="AA947" s="8" t="s">
        <v>3113</v>
      </c>
      <c r="AB947" s="8">
        <v>12547382.17</v>
      </c>
      <c r="AC947" s="24">
        <v>3416652.1648909999</v>
      </c>
      <c r="AD947" s="8">
        <v>5588463.2599999998</v>
      </c>
      <c r="AE947" s="24">
        <v>1521738.5456979999</v>
      </c>
      <c r="AF947" s="8">
        <v>45</v>
      </c>
      <c r="AG947" s="8">
        <v>27</v>
      </c>
      <c r="AH947" s="8" t="s">
        <v>347</v>
      </c>
      <c r="AI947" s="8" t="s">
        <v>226</v>
      </c>
      <c r="AJ947" s="22">
        <v>0.84</v>
      </c>
      <c r="AK947" s="8" t="s">
        <v>153</v>
      </c>
      <c r="AL947" s="22">
        <v>0.1</v>
      </c>
      <c r="AM947" s="22">
        <v>0.05</v>
      </c>
      <c r="AN947" s="8">
        <v>15</v>
      </c>
      <c r="AO947" s="8">
        <v>3423</v>
      </c>
      <c r="AP947" s="8">
        <v>2858212.99</v>
      </c>
      <c r="AQ947" s="24">
        <v>778291.39717700006</v>
      </c>
      <c r="AR947" s="8">
        <v>3812897.67</v>
      </c>
      <c r="AS947" s="37">
        <v>1038252.035541</v>
      </c>
      <c r="AT947" s="8" t="s">
        <v>391</v>
      </c>
      <c r="AU947" s="8" t="s">
        <v>330</v>
      </c>
      <c r="AV947" s="8"/>
      <c r="AW947" s="8">
        <v>48</v>
      </c>
      <c r="AX947" s="8" t="s">
        <v>337</v>
      </c>
      <c r="AY947" s="8" t="s">
        <v>192</v>
      </c>
      <c r="AZ947" s="8" t="s">
        <v>357</v>
      </c>
      <c r="BA947" s="21">
        <f>IF(OR(tblsales[[#This Row],[Invoice Value USD]]="",tblsales[[#This Row],[Collected Amount USD]]=""),"",tblsales[[#This Row],[Invoice Value USD]]-tblsales[[#This Row],[Collected Amount USD]])</f>
        <v>1894913.619193</v>
      </c>
      <c r="BB947" s="21">
        <f>IF(OR(tblsales[[#This Row],[Contract Value USD]]="",tblsales[[#This Row],[Cost Estimate USD]]=""),"",tblsales[[#This Row],[Contract Value USD]]-tblsales[[#This Row],[Cost Estimate USD]])</f>
        <v>1932963.6720869998</v>
      </c>
      <c r="BC947" s="21">
        <f>IF(OR(tblsales[[#This Row],[Contract Value USD]]="",tblsales[[#This Row],[Cost Estimate USD]]=""),"",tblsales[[#This Row],[Contract Value USD]]-tblsales[[#This Row],[Cost Estimate USD]])</f>
        <v>1932963.6720869998</v>
      </c>
      <c r="BD947" s="23">
        <f>IF(tblsales[[#This Row],[Invoice Value USD]]="","",tblsales[[#This Row],[Collected Amount USD]]/tblsales[[#This Row],[Invoice Value USD]])</f>
        <v>0.44538878184181424</v>
      </c>
      <c r="BE947" s="11">
        <f>IF(tblsales[[#This Row],[SalesStage]]="Won",1,0)</f>
        <v>0</v>
      </c>
      <c r="BF947" s="21" t="str">
        <f>IF(tblsales[[#This Row],[Win Flag]]=1,"Won","Lost")</f>
        <v>Lost</v>
      </c>
      <c r="BG947" s="8"/>
    </row>
    <row r="948" spans="1:59" x14ac:dyDescent="0.3">
      <c r="A948" s="10" t="s">
        <v>3114</v>
      </c>
      <c r="B948" s="9">
        <v>45700</v>
      </c>
      <c r="C948" s="10" t="s">
        <v>214</v>
      </c>
      <c r="D948" s="10" t="s">
        <v>242</v>
      </c>
      <c r="E948" s="10" t="s">
        <v>332</v>
      </c>
      <c r="F948" s="10" t="s">
        <v>228</v>
      </c>
      <c r="G948" s="10" t="s">
        <v>33</v>
      </c>
      <c r="H948" s="10" t="s">
        <v>182</v>
      </c>
      <c r="I948" s="10" t="s">
        <v>240</v>
      </c>
      <c r="J948" s="10" t="s">
        <v>99</v>
      </c>
      <c r="K948" s="10" t="s">
        <v>210</v>
      </c>
      <c r="L948" s="10" t="s">
        <v>3115</v>
      </c>
      <c r="M948" s="9">
        <v>45647</v>
      </c>
      <c r="N948" s="9"/>
      <c r="O948" s="9">
        <v>45771</v>
      </c>
      <c r="P948" s="11">
        <v>56</v>
      </c>
      <c r="Q948" s="12">
        <v>45264697</v>
      </c>
      <c r="R948">
        <v>45264697</v>
      </c>
      <c r="S948" s="22">
        <v>0.35</v>
      </c>
      <c r="T948" s="22">
        <v>0.19</v>
      </c>
      <c r="U948" s="12">
        <v>35012243.130000003</v>
      </c>
      <c r="V948" s="24">
        <v>35012243.130000003</v>
      </c>
      <c r="W948" s="8">
        <v>26842638.300000001</v>
      </c>
      <c r="X948" s="24">
        <v>26842638.300000001</v>
      </c>
      <c r="Y948" s="22">
        <v>0.12</v>
      </c>
      <c r="Z948" s="22">
        <v>7.0000000000000007E-2</v>
      </c>
      <c r="AA948" s="8" t="s">
        <v>3116</v>
      </c>
      <c r="AB948" s="8">
        <v>18143844.5</v>
      </c>
      <c r="AC948" s="24">
        <v>18143844.5</v>
      </c>
      <c r="AD948" s="8">
        <v>8546948.7799999993</v>
      </c>
      <c r="AE948" s="24">
        <v>8546948.7799999993</v>
      </c>
      <c r="AF948" s="8">
        <v>45</v>
      </c>
      <c r="AG948" s="8">
        <v>165</v>
      </c>
      <c r="AH948" s="8" t="s">
        <v>376</v>
      </c>
      <c r="AI948" s="8" t="s">
        <v>381</v>
      </c>
      <c r="AJ948" s="22">
        <v>0.64</v>
      </c>
      <c r="AK948" s="8" t="s">
        <v>152</v>
      </c>
      <c r="AL948" s="22">
        <v>0.05</v>
      </c>
      <c r="AM948" s="22">
        <v>0.01</v>
      </c>
      <c r="AN948" s="8">
        <v>10</v>
      </c>
      <c r="AO948" s="8">
        <v>1244</v>
      </c>
      <c r="AP948" s="8">
        <v>1909070.08</v>
      </c>
      <c r="AQ948" s="24">
        <v>1909070.08</v>
      </c>
      <c r="AR948" s="8">
        <v>16589783.699999999</v>
      </c>
      <c r="AS948" s="37">
        <v>16589783.699999999</v>
      </c>
      <c r="AT948" s="8" t="s">
        <v>391</v>
      </c>
      <c r="AU948" s="8" t="s">
        <v>348</v>
      </c>
      <c r="AV948" s="8">
        <v>96.7</v>
      </c>
      <c r="AW948" s="8">
        <v>36</v>
      </c>
      <c r="AX948" s="8" t="s">
        <v>387</v>
      </c>
      <c r="AY948" s="8" t="s">
        <v>206</v>
      </c>
      <c r="AZ948" s="8" t="s">
        <v>377</v>
      </c>
      <c r="BA948" s="21">
        <f>IF(OR(tblsales[[#This Row],[Invoice Value USD]]="",tblsales[[#This Row],[Collected Amount USD]]=""),"",tblsales[[#This Row],[Invoice Value USD]]-tblsales[[#This Row],[Collected Amount USD]])</f>
        <v>9596895.7200000007</v>
      </c>
      <c r="BB948" s="21">
        <f>IF(OR(tblsales[[#This Row],[Contract Value USD]]="",tblsales[[#This Row],[Cost Estimate USD]]=""),"",tblsales[[#This Row],[Contract Value USD]]-tblsales[[#This Row],[Cost Estimate USD]])</f>
        <v>8169604.8300000019</v>
      </c>
      <c r="BC948" s="21">
        <f>IF(OR(tblsales[[#This Row],[Contract Value USD]]="",tblsales[[#This Row],[Cost Estimate USD]]=""),"",tblsales[[#This Row],[Contract Value USD]]-tblsales[[#This Row],[Cost Estimate USD]])</f>
        <v>8169604.8300000019</v>
      </c>
      <c r="BD948" s="23">
        <f>IF(tblsales[[#This Row],[Invoice Value USD]]="","",tblsales[[#This Row],[Collected Amount USD]]/tblsales[[#This Row],[Invoice Value USD]])</f>
        <v>0.47106602903260109</v>
      </c>
      <c r="BE948" s="11">
        <f>IF(tblsales[[#This Row],[SalesStage]]="Won",1,0)</f>
        <v>0</v>
      </c>
      <c r="BF948" s="21" t="str">
        <f>IF(tblsales[[#This Row],[Win Flag]]=1,"Won","Lost")</f>
        <v>Lost</v>
      </c>
      <c r="BG948" s="8"/>
    </row>
    <row r="949" spans="1:59" x14ac:dyDescent="0.3">
      <c r="A949" s="10" t="s">
        <v>3117</v>
      </c>
      <c r="B949" s="9">
        <v>45765</v>
      </c>
      <c r="C949" s="10" t="s">
        <v>219</v>
      </c>
      <c r="D949" s="10" t="s">
        <v>238</v>
      </c>
      <c r="E949" s="10" t="s">
        <v>332</v>
      </c>
      <c r="F949" s="10" t="s">
        <v>19</v>
      </c>
      <c r="G949" s="10" t="s">
        <v>78</v>
      </c>
      <c r="H949" s="10" t="s">
        <v>332</v>
      </c>
      <c r="I949" s="10" t="s">
        <v>332</v>
      </c>
      <c r="J949" s="10" t="s">
        <v>99</v>
      </c>
      <c r="K949" s="10" t="s">
        <v>221</v>
      </c>
      <c r="L949" s="10" t="s">
        <v>3118</v>
      </c>
      <c r="M949" s="9">
        <v>45691</v>
      </c>
      <c r="N949" s="9" t="s">
        <v>3119</v>
      </c>
      <c r="O949" s="9">
        <v>45804</v>
      </c>
      <c r="P949" s="11">
        <v>47</v>
      </c>
      <c r="Q949" s="12">
        <v>48428231</v>
      </c>
      <c r="R949">
        <v>13187007.301299999</v>
      </c>
      <c r="S949" s="22">
        <v>0.03</v>
      </c>
      <c r="T949" s="22">
        <v>0.2</v>
      </c>
      <c r="U949" s="12">
        <v>56370460.880000003</v>
      </c>
      <c r="V949" s="24">
        <v>15349676.497624001</v>
      </c>
      <c r="W949" s="8">
        <v>44467831.079999998</v>
      </c>
      <c r="X949" s="24">
        <v>12108590.403083999</v>
      </c>
      <c r="Y949" s="22">
        <v>0.36</v>
      </c>
      <c r="Z949" s="22">
        <v>0.16</v>
      </c>
      <c r="AA949" s="8" t="s">
        <v>3120</v>
      </c>
      <c r="AB949" s="8">
        <v>10532000.92</v>
      </c>
      <c r="AC949" s="24">
        <v>2867863.8505159998</v>
      </c>
      <c r="AD949" s="8">
        <v>6816677.5899999999</v>
      </c>
      <c r="AE949" s="24">
        <v>1856181.307757</v>
      </c>
      <c r="AF949" s="8">
        <v>120</v>
      </c>
      <c r="AG949" s="8">
        <v>132</v>
      </c>
      <c r="AH949" s="8" t="s">
        <v>332</v>
      </c>
      <c r="AI949" s="8" t="s">
        <v>406</v>
      </c>
      <c r="AJ949" s="22">
        <v>0.09</v>
      </c>
      <c r="AK949" s="8" t="s">
        <v>153</v>
      </c>
      <c r="AL949" s="22">
        <v>0.05</v>
      </c>
      <c r="AM949" s="22">
        <v>0.02</v>
      </c>
      <c r="AN949" s="8">
        <v>4</v>
      </c>
      <c r="AO949" s="8">
        <v>855</v>
      </c>
      <c r="AP949" s="8">
        <v>2720068.17</v>
      </c>
      <c r="AQ949" s="24">
        <v>740674.56269099994</v>
      </c>
      <c r="AR949" s="8">
        <v>10781519.789999999</v>
      </c>
      <c r="AS949" s="37">
        <v>2935807.8388169995</v>
      </c>
      <c r="AT949" s="8" t="s">
        <v>391</v>
      </c>
      <c r="AU949" s="8" t="s">
        <v>348</v>
      </c>
      <c r="AV949" s="8">
        <v>68.8</v>
      </c>
      <c r="AW949" s="8">
        <v>48</v>
      </c>
      <c r="AX949" s="8" t="s">
        <v>387</v>
      </c>
      <c r="AY949" s="8" t="s">
        <v>206</v>
      </c>
      <c r="AZ949" s="8" t="s">
        <v>361</v>
      </c>
      <c r="BA949" s="21">
        <f>IF(OR(tblsales[[#This Row],[Invoice Value USD]]="",tblsales[[#This Row],[Collected Amount USD]]=""),"",tblsales[[#This Row],[Invoice Value USD]]-tblsales[[#This Row],[Collected Amount USD]])</f>
        <v>1011682.5427589999</v>
      </c>
      <c r="BB949" s="21">
        <f>IF(OR(tblsales[[#This Row],[Contract Value USD]]="",tblsales[[#This Row],[Cost Estimate USD]]=""),"",tblsales[[#This Row],[Contract Value USD]]-tblsales[[#This Row],[Cost Estimate USD]])</f>
        <v>3241086.0945400018</v>
      </c>
      <c r="BC949" s="21">
        <f>IF(OR(tblsales[[#This Row],[Contract Value USD]]="",tblsales[[#This Row],[Cost Estimate USD]]=""),"",tblsales[[#This Row],[Contract Value USD]]-tblsales[[#This Row],[Cost Estimate USD]])</f>
        <v>3241086.0945400018</v>
      </c>
      <c r="BD949" s="23">
        <f>IF(tblsales[[#This Row],[Invoice Value USD]]="","",tblsales[[#This Row],[Collected Amount USD]]/tblsales[[#This Row],[Invoice Value USD]])</f>
        <v>0.64723480768552766</v>
      </c>
      <c r="BE949" s="11">
        <f>IF(tblsales[[#This Row],[SalesStage]]="Won",1,0)</f>
        <v>0</v>
      </c>
      <c r="BF949" s="21" t="str">
        <f>IF(tblsales[[#This Row],[Win Flag]]=1,"Won","Lost")</f>
        <v>Lost</v>
      </c>
      <c r="BG949" s="8"/>
    </row>
    <row r="950" spans="1:59" x14ac:dyDescent="0.3">
      <c r="A950" s="10" t="s">
        <v>3121</v>
      </c>
      <c r="B950" s="9">
        <v>46143</v>
      </c>
      <c r="C950" s="10" t="s">
        <v>273</v>
      </c>
      <c r="D950" s="10" t="s">
        <v>250</v>
      </c>
      <c r="E950" s="10" t="s">
        <v>20</v>
      </c>
      <c r="F950" s="10" t="s">
        <v>332</v>
      </c>
      <c r="G950" s="10" t="s">
        <v>33</v>
      </c>
      <c r="H950" s="10" t="s">
        <v>216</v>
      </c>
      <c r="I950" s="10" t="s">
        <v>183</v>
      </c>
      <c r="J950" s="10" t="s">
        <v>136</v>
      </c>
      <c r="K950" s="10" t="s">
        <v>204</v>
      </c>
      <c r="L950" s="10" t="s">
        <v>3122</v>
      </c>
      <c r="M950" s="9">
        <v>45961</v>
      </c>
      <c r="N950" s="9">
        <v>46066</v>
      </c>
      <c r="O950" s="9">
        <v>46110</v>
      </c>
      <c r="P950" s="11">
        <v>19</v>
      </c>
      <c r="Q950" s="12">
        <v>11791129</v>
      </c>
      <c r="R950">
        <v>3144694.1042999998</v>
      </c>
      <c r="S950" s="22">
        <v>0.08</v>
      </c>
      <c r="T950" s="22">
        <v>-0.05</v>
      </c>
      <c r="U950" s="12">
        <v>10305446.75</v>
      </c>
      <c r="V950" s="24">
        <v>2748462.6482250001</v>
      </c>
      <c r="W950" s="8">
        <v>8144521.79</v>
      </c>
      <c r="X950" s="24">
        <v>2172143.9613930001</v>
      </c>
      <c r="Y950" s="22">
        <v>0.33</v>
      </c>
      <c r="Z950" s="22">
        <v>0.16</v>
      </c>
      <c r="AA950" s="8"/>
      <c r="AB950" s="8">
        <v>8705377.1699999999</v>
      </c>
      <c r="AC950" s="24">
        <v>2321724.0912389997</v>
      </c>
      <c r="AD950" s="8">
        <v>3899420.96</v>
      </c>
      <c r="AE950" s="24">
        <v>1039975.570032</v>
      </c>
      <c r="AF950" s="8">
        <v>45</v>
      </c>
      <c r="AG950" s="8">
        <v>34</v>
      </c>
      <c r="AH950" s="8" t="s">
        <v>342</v>
      </c>
      <c r="AI950" s="8" t="s">
        <v>406</v>
      </c>
      <c r="AJ950" s="22">
        <v>0.27</v>
      </c>
      <c r="AK950" s="8" t="s">
        <v>162</v>
      </c>
      <c r="AL950" s="22">
        <v>0.1</v>
      </c>
      <c r="AM950" s="22">
        <v>0.02</v>
      </c>
      <c r="AN950" s="8">
        <v>12</v>
      </c>
      <c r="AO950" s="8"/>
      <c r="AP950" s="8"/>
      <c r="AQ950" s="24"/>
      <c r="AR950" s="8">
        <v>1157849.73</v>
      </c>
      <c r="AS950" s="37">
        <v>308798.52299099998</v>
      </c>
      <c r="AT950" s="8" t="s">
        <v>321</v>
      </c>
      <c r="AU950" s="8" t="s">
        <v>321</v>
      </c>
      <c r="AV950" s="8">
        <v>88</v>
      </c>
      <c r="AW950" s="8">
        <v>36</v>
      </c>
      <c r="AX950" s="8" t="s">
        <v>337</v>
      </c>
      <c r="AY950" s="8" t="s">
        <v>206</v>
      </c>
      <c r="AZ950" s="8" t="s">
        <v>357</v>
      </c>
      <c r="BA950" s="21">
        <f>IF(OR(tblsales[[#This Row],[Invoice Value USD]]="",tblsales[[#This Row],[Collected Amount USD]]=""),"",tblsales[[#This Row],[Invoice Value USD]]-tblsales[[#This Row],[Collected Amount USD]])</f>
        <v>1281748.5212069997</v>
      </c>
      <c r="BB950" s="21">
        <f>IF(OR(tblsales[[#This Row],[Contract Value USD]]="",tblsales[[#This Row],[Cost Estimate USD]]=""),"",tblsales[[#This Row],[Contract Value USD]]-tblsales[[#This Row],[Cost Estimate USD]])</f>
        <v>576318.68683200004</v>
      </c>
      <c r="BC950" s="21">
        <f>IF(OR(tblsales[[#This Row],[Contract Value USD]]="",tblsales[[#This Row],[Cost Estimate USD]]=""),"",tblsales[[#This Row],[Contract Value USD]]-tblsales[[#This Row],[Cost Estimate USD]])</f>
        <v>576318.68683200004</v>
      </c>
      <c r="BD950" s="23">
        <f>IF(tblsales[[#This Row],[Invoice Value USD]]="","",tblsales[[#This Row],[Collected Amount USD]]/tblsales[[#This Row],[Invoice Value USD]])</f>
        <v>0.44793245414316729</v>
      </c>
      <c r="BE950" s="11">
        <f>IF(tblsales[[#This Row],[SalesStage]]="Won",1,0)</f>
        <v>0</v>
      </c>
      <c r="BF950" s="21" t="str">
        <f>IF(tblsales[[#This Row],[Win Flag]]=1,"Won","Lost")</f>
        <v>Lost</v>
      </c>
      <c r="BG950" s="8"/>
    </row>
    <row r="951" spans="1:59" x14ac:dyDescent="0.3">
      <c r="A951" s="10" t="s">
        <v>3123</v>
      </c>
      <c r="B951" s="9">
        <v>45832</v>
      </c>
      <c r="C951" s="10" t="s">
        <v>179</v>
      </c>
      <c r="D951" s="10" t="s">
        <v>250</v>
      </c>
      <c r="E951" s="10" t="s">
        <v>41</v>
      </c>
      <c r="F951" s="10" t="s">
        <v>350</v>
      </c>
      <c r="G951" s="10" t="s">
        <v>28</v>
      </c>
      <c r="H951" s="10" t="s">
        <v>182</v>
      </c>
      <c r="I951" s="10" t="s">
        <v>240</v>
      </c>
      <c r="J951" s="10" t="s">
        <v>105</v>
      </c>
      <c r="K951" s="10" t="s">
        <v>184</v>
      </c>
      <c r="L951" s="10" t="s">
        <v>3124</v>
      </c>
      <c r="M951" s="9">
        <v>45760</v>
      </c>
      <c r="N951" s="9">
        <v>45908</v>
      </c>
      <c r="O951" s="9">
        <v>45922</v>
      </c>
      <c r="P951" s="11">
        <v>16</v>
      </c>
      <c r="Q951" s="12">
        <v>26175459</v>
      </c>
      <c r="R951">
        <v>26175459</v>
      </c>
      <c r="S951" s="22">
        <v>0.32</v>
      </c>
      <c r="T951" s="22">
        <v>0.08</v>
      </c>
      <c r="U951" s="12">
        <v>19223257.09</v>
      </c>
      <c r="V951" s="24">
        <v>19223257.09</v>
      </c>
      <c r="W951" s="8">
        <v>17085238.210000001</v>
      </c>
      <c r="X951" s="24">
        <v>17085238.210000001</v>
      </c>
      <c r="Y951" s="22">
        <v>0.24</v>
      </c>
      <c r="Z951" s="22">
        <v>7.0000000000000007E-2</v>
      </c>
      <c r="AA951" s="8" t="s">
        <v>3125</v>
      </c>
      <c r="AB951" s="8">
        <v>7505308.04</v>
      </c>
      <c r="AC951" s="24">
        <v>7505308.04</v>
      </c>
      <c r="AD951" s="8">
        <v>4331456.8499999996</v>
      </c>
      <c r="AE951" s="24">
        <v>4331456.8499999996</v>
      </c>
      <c r="AF951" s="8">
        <v>30</v>
      </c>
      <c r="AG951" s="8">
        <v>52</v>
      </c>
      <c r="AH951" s="8" t="s">
        <v>347</v>
      </c>
      <c r="AI951" s="8" t="s">
        <v>320</v>
      </c>
      <c r="AJ951" s="22">
        <v>0.56999999999999995</v>
      </c>
      <c r="AK951" s="8" t="s">
        <v>152</v>
      </c>
      <c r="AL951" s="22">
        <v>0.15</v>
      </c>
      <c r="AM951" s="22">
        <v>0.04</v>
      </c>
      <c r="AN951" s="8">
        <v>15</v>
      </c>
      <c r="AO951" s="8">
        <v>2133</v>
      </c>
      <c r="AP951" s="8">
        <v>2957538.77</v>
      </c>
      <c r="AQ951" s="24">
        <v>2957538.77</v>
      </c>
      <c r="AR951" s="8">
        <v>8620867.0399999991</v>
      </c>
      <c r="AS951" s="37">
        <v>8620867.0399999991</v>
      </c>
      <c r="AT951" s="8" t="s">
        <v>355</v>
      </c>
      <c r="AU951" s="8" t="s">
        <v>330</v>
      </c>
      <c r="AV951" s="8">
        <v>53.6</v>
      </c>
      <c r="AW951" s="8"/>
      <c r="AX951" s="8" t="s">
        <v>337</v>
      </c>
      <c r="AY951" s="8" t="s">
        <v>192</v>
      </c>
      <c r="AZ951" s="8" t="s">
        <v>188</v>
      </c>
      <c r="BA951" s="21">
        <f>IF(OR(tblsales[[#This Row],[Invoice Value USD]]="",tblsales[[#This Row],[Collected Amount USD]]=""),"",tblsales[[#This Row],[Invoice Value USD]]-tblsales[[#This Row],[Collected Amount USD]])</f>
        <v>3173851.1900000004</v>
      </c>
      <c r="BB951" s="21">
        <f>IF(OR(tblsales[[#This Row],[Contract Value USD]]="",tblsales[[#This Row],[Cost Estimate USD]]=""),"",tblsales[[#This Row],[Contract Value USD]]-tblsales[[#This Row],[Cost Estimate USD]])</f>
        <v>2138018.879999999</v>
      </c>
      <c r="BC951" s="21">
        <f>IF(OR(tblsales[[#This Row],[Contract Value USD]]="",tblsales[[#This Row],[Cost Estimate USD]]=""),"",tblsales[[#This Row],[Contract Value USD]]-tblsales[[#This Row],[Cost Estimate USD]])</f>
        <v>2138018.879999999</v>
      </c>
      <c r="BD951" s="23">
        <f>IF(tblsales[[#This Row],[Invoice Value USD]]="","",tblsales[[#This Row],[Collected Amount USD]]/tblsales[[#This Row],[Invoice Value USD]])</f>
        <v>0.57711913047608898</v>
      </c>
      <c r="BE951" s="11">
        <f>IF(tblsales[[#This Row],[SalesStage]]="Won",1,0)</f>
        <v>1</v>
      </c>
      <c r="BF951" s="21" t="str">
        <f>IF(tblsales[[#This Row],[Win Flag]]=1,"Won","Lost")</f>
        <v>Won</v>
      </c>
      <c r="BG951" s="8"/>
    </row>
    <row r="952" spans="1:59" x14ac:dyDescent="0.3">
      <c r="A952" s="10" t="s">
        <v>3126</v>
      </c>
      <c r="B952" s="9">
        <v>45943</v>
      </c>
      <c r="C952" s="10" t="s">
        <v>227</v>
      </c>
      <c r="D952" s="10" t="s">
        <v>180</v>
      </c>
      <c r="E952" s="10" t="s">
        <v>36</v>
      </c>
      <c r="F952" s="10" t="s">
        <v>19</v>
      </c>
      <c r="G952" s="10" t="s">
        <v>66</v>
      </c>
      <c r="H952" s="10" t="s">
        <v>182</v>
      </c>
      <c r="I952" s="10" t="s">
        <v>240</v>
      </c>
      <c r="J952" s="10" t="s">
        <v>115</v>
      </c>
      <c r="K952" s="10" t="s">
        <v>204</v>
      </c>
      <c r="L952" s="10" t="s">
        <v>3127</v>
      </c>
      <c r="M952" s="9">
        <v>45885</v>
      </c>
      <c r="N952" s="9">
        <v>45957</v>
      </c>
      <c r="O952" s="9">
        <v>45983</v>
      </c>
      <c r="P952" s="11">
        <v>37</v>
      </c>
      <c r="Q952" s="12">
        <v>10812219</v>
      </c>
      <c r="R952">
        <v>2944167.2336999997</v>
      </c>
      <c r="S952" s="22">
        <v>0.06</v>
      </c>
      <c r="T952" s="22">
        <v>0</v>
      </c>
      <c r="U952" s="12">
        <v>10163485.859999999</v>
      </c>
      <c r="V952" s="24">
        <v>2767517.1996779996</v>
      </c>
      <c r="W952" s="8">
        <v>7327528.5300000003</v>
      </c>
      <c r="X952" s="24">
        <v>1995286.018719</v>
      </c>
      <c r="Y952" s="22">
        <v>0.19</v>
      </c>
      <c r="Z952" s="22">
        <v>0.19</v>
      </c>
      <c r="AA952" s="8" t="s">
        <v>3128</v>
      </c>
      <c r="AB952" s="8">
        <v>6673537.6200000001</v>
      </c>
      <c r="AC952" s="24">
        <v>1817204.2939259999</v>
      </c>
      <c r="AD952" s="8">
        <v>5627273.0199999996</v>
      </c>
      <c r="AE952" s="24">
        <v>1532306.4433459998</v>
      </c>
      <c r="AF952" s="8">
        <v>120</v>
      </c>
      <c r="AG952" s="8">
        <v>75</v>
      </c>
      <c r="AH952" s="8" t="s">
        <v>342</v>
      </c>
      <c r="AI952" s="8" t="s">
        <v>455</v>
      </c>
      <c r="AJ952" s="22">
        <v>0.31</v>
      </c>
      <c r="AK952" s="8" t="s">
        <v>153</v>
      </c>
      <c r="AL952" s="22">
        <v>0.15</v>
      </c>
      <c r="AM952" s="22">
        <v>0.08</v>
      </c>
      <c r="AN952" s="8">
        <v>9</v>
      </c>
      <c r="AO952" s="8">
        <v>1216</v>
      </c>
      <c r="AP952" s="8">
        <v>1896612.89</v>
      </c>
      <c r="AQ952" s="24">
        <v>516447.68994699995</v>
      </c>
      <c r="AR952" s="8">
        <v>4414874.25</v>
      </c>
      <c r="AS952" s="37">
        <v>1202170.2582749999</v>
      </c>
      <c r="AT952" s="8" t="s">
        <v>355</v>
      </c>
      <c r="AU952" s="8" t="s">
        <v>322</v>
      </c>
      <c r="AV952" s="8">
        <v>80.099999999999994</v>
      </c>
      <c r="AW952" s="8">
        <v>12</v>
      </c>
      <c r="AX952" s="8" t="s">
        <v>332</v>
      </c>
      <c r="AY952" s="8" t="s">
        <v>206</v>
      </c>
      <c r="AZ952" s="8" t="s">
        <v>332</v>
      </c>
      <c r="BA952" s="21">
        <f>IF(OR(tblsales[[#This Row],[Invoice Value USD]]="",tblsales[[#This Row],[Collected Amount USD]]=""),"",tblsales[[#This Row],[Invoice Value USD]]-tblsales[[#This Row],[Collected Amount USD]])</f>
        <v>284897.85058000009</v>
      </c>
      <c r="BB952" s="21">
        <f>IF(OR(tblsales[[#This Row],[Contract Value USD]]="",tblsales[[#This Row],[Cost Estimate USD]]=""),"",tblsales[[#This Row],[Contract Value USD]]-tblsales[[#This Row],[Cost Estimate USD]])</f>
        <v>772231.18095899955</v>
      </c>
      <c r="BC952" s="21">
        <f>IF(OR(tblsales[[#This Row],[Contract Value USD]]="",tblsales[[#This Row],[Cost Estimate USD]]=""),"",tblsales[[#This Row],[Contract Value USD]]-tblsales[[#This Row],[Cost Estimate USD]])</f>
        <v>772231.18095899955</v>
      </c>
      <c r="BD952" s="23">
        <f>IF(tblsales[[#This Row],[Invoice Value USD]]="","",tblsales[[#This Row],[Collected Amount USD]]/tblsales[[#This Row],[Invoice Value USD]])</f>
        <v>0.84322189225929611</v>
      </c>
      <c r="BE952" s="11">
        <f>IF(tblsales[[#This Row],[SalesStage]]="Won",1,0)</f>
        <v>0</v>
      </c>
      <c r="BF952" s="21" t="str">
        <f>IF(tblsales[[#This Row],[Win Flag]]=1,"Won","Lost")</f>
        <v>Lost</v>
      </c>
      <c r="BG952" s="8"/>
    </row>
    <row r="953" spans="1:59" x14ac:dyDescent="0.3">
      <c r="A953" s="10" t="s">
        <v>3129</v>
      </c>
      <c r="B953" s="9">
        <v>46004</v>
      </c>
      <c r="C953" s="10" t="s">
        <v>230</v>
      </c>
      <c r="D953" s="10" t="s">
        <v>394</v>
      </c>
      <c r="E953" s="10" t="s">
        <v>41</v>
      </c>
      <c r="F953" s="10" t="s">
        <v>363</v>
      </c>
      <c r="G953" s="10" t="s">
        <v>33</v>
      </c>
      <c r="H953" s="10" t="s">
        <v>263</v>
      </c>
      <c r="I953" s="10" t="s">
        <v>203</v>
      </c>
      <c r="J953" s="10" t="s">
        <v>130</v>
      </c>
      <c r="K953" s="10" t="s">
        <v>221</v>
      </c>
      <c r="L953" s="10" t="s">
        <v>3130</v>
      </c>
      <c r="M953" s="9">
        <v>45953</v>
      </c>
      <c r="N953" s="9">
        <v>46043</v>
      </c>
      <c r="O953" s="9">
        <v>46075</v>
      </c>
      <c r="P953" s="11"/>
      <c r="Q953" s="12">
        <v>31127828</v>
      </c>
      <c r="R953">
        <v>8476107.5644000005</v>
      </c>
      <c r="S953" s="22">
        <v>0.2</v>
      </c>
      <c r="T953" s="22">
        <v>0.01</v>
      </c>
      <c r="U953" s="12">
        <v>25151285.02</v>
      </c>
      <c r="V953" s="24">
        <v>6848694.9109459994</v>
      </c>
      <c r="W953" s="8"/>
      <c r="X953" s="24"/>
      <c r="Y953" s="22">
        <v>0.17</v>
      </c>
      <c r="Z953" s="22">
        <v>0.15</v>
      </c>
      <c r="AA953" s="8" t="s">
        <v>3131</v>
      </c>
      <c r="AB953" s="8">
        <v>14331331.279999999</v>
      </c>
      <c r="AC953" s="24">
        <v>3902421.5075439997</v>
      </c>
      <c r="AD953" s="8">
        <v>12609627.029999999</v>
      </c>
      <c r="AE953" s="24">
        <v>3433601.4402689994</v>
      </c>
      <c r="AF953" s="8">
        <v>60</v>
      </c>
      <c r="AG953" s="8">
        <v>103</v>
      </c>
      <c r="AH953" s="8" t="s">
        <v>332</v>
      </c>
      <c r="AI953" s="8" t="s">
        <v>406</v>
      </c>
      <c r="AJ953" s="22">
        <v>0.57999999999999996</v>
      </c>
      <c r="AK953" s="8" t="s">
        <v>153</v>
      </c>
      <c r="AL953" s="22">
        <v>0.05</v>
      </c>
      <c r="AM953" s="22">
        <v>0.01</v>
      </c>
      <c r="AN953" s="8">
        <v>15</v>
      </c>
      <c r="AO953" s="8">
        <v>3343</v>
      </c>
      <c r="AP953" s="8">
        <v>3218866.22</v>
      </c>
      <c r="AQ953" s="24">
        <v>876497.27170599997</v>
      </c>
      <c r="AR953" s="8">
        <v>10096113.58</v>
      </c>
      <c r="AS953" s="37">
        <v>2749171.7278339998</v>
      </c>
      <c r="AT953" s="8" t="s">
        <v>391</v>
      </c>
      <c r="AU953" s="8" t="s">
        <v>386</v>
      </c>
      <c r="AV953" s="8">
        <v>73</v>
      </c>
      <c r="AW953" s="8">
        <v>48</v>
      </c>
      <c r="AX953" s="8" t="s">
        <v>332</v>
      </c>
      <c r="AY953" s="8" t="s">
        <v>186</v>
      </c>
      <c r="AZ953" s="8" t="s">
        <v>332</v>
      </c>
      <c r="BA953" s="21">
        <f>IF(OR(tblsales[[#This Row],[Invoice Value USD]]="",tblsales[[#This Row],[Collected Amount USD]]=""),"",tblsales[[#This Row],[Invoice Value USD]]-tblsales[[#This Row],[Collected Amount USD]])</f>
        <v>468820.06727500027</v>
      </c>
      <c r="BB953" s="21" t="str">
        <f>IF(OR(tblsales[[#This Row],[Contract Value USD]]="",tblsales[[#This Row],[Cost Estimate USD]]=""),"",tblsales[[#This Row],[Contract Value USD]]-tblsales[[#This Row],[Cost Estimate USD]])</f>
        <v/>
      </c>
      <c r="BC953" s="21" t="str">
        <f>IF(OR(tblsales[[#This Row],[Contract Value USD]]="",tblsales[[#This Row],[Cost Estimate USD]]=""),"",tblsales[[#This Row],[Contract Value USD]]-tblsales[[#This Row],[Cost Estimate USD]])</f>
        <v/>
      </c>
      <c r="BD953" s="23">
        <f>IF(tblsales[[#This Row],[Invoice Value USD]]="","",tblsales[[#This Row],[Collected Amount USD]]/tblsales[[#This Row],[Invoice Value USD]])</f>
        <v>0.87986431850872682</v>
      </c>
      <c r="BE953" s="11">
        <f>IF(tblsales[[#This Row],[SalesStage]]="Won",1,0)</f>
        <v>0</v>
      </c>
      <c r="BF953" s="21" t="str">
        <f>IF(tblsales[[#This Row],[Win Flag]]=1,"Won","Lost")</f>
        <v>Lost</v>
      </c>
      <c r="BG953" s="8"/>
    </row>
    <row r="954" spans="1:59" x14ac:dyDescent="0.3">
      <c r="A954" s="10" t="s">
        <v>3132</v>
      </c>
      <c r="B954" s="9">
        <v>45843</v>
      </c>
      <c r="C954" s="10" t="s">
        <v>211</v>
      </c>
      <c r="D954" s="10" t="s">
        <v>265</v>
      </c>
      <c r="E954" s="10" t="s">
        <v>113</v>
      </c>
      <c r="F954" s="10" t="s">
        <v>367</v>
      </c>
      <c r="G954" s="10" t="s">
        <v>50</v>
      </c>
      <c r="H954" s="10" t="s">
        <v>332</v>
      </c>
      <c r="I954" s="10" t="s">
        <v>183</v>
      </c>
      <c r="J954" s="10" t="s">
        <v>123</v>
      </c>
      <c r="K954" s="10" t="s">
        <v>199</v>
      </c>
      <c r="L954" s="10" t="s">
        <v>3133</v>
      </c>
      <c r="M954" s="9">
        <v>45762</v>
      </c>
      <c r="N954" s="9"/>
      <c r="O954" s="9"/>
      <c r="P954" s="11"/>
      <c r="Q954" s="12">
        <v>27683409</v>
      </c>
      <c r="R954">
        <v>7383165.1803000001</v>
      </c>
      <c r="S954" s="22">
        <v>0.31</v>
      </c>
      <c r="T954" s="22">
        <v>0.2</v>
      </c>
      <c r="U954" s="12">
        <v>22921862.649999999</v>
      </c>
      <c r="V954" s="24">
        <v>6113260.7687549992</v>
      </c>
      <c r="W954" s="8">
        <v>17924703.260000002</v>
      </c>
      <c r="X954" s="24">
        <v>4780518.3594420003</v>
      </c>
      <c r="Y954" s="22">
        <v>0.25</v>
      </c>
      <c r="Z954" s="22">
        <v>0.14000000000000001</v>
      </c>
      <c r="AA954" s="8" t="s">
        <v>3134</v>
      </c>
      <c r="AB954" s="8">
        <v>2768752.91</v>
      </c>
      <c r="AC954" s="24">
        <v>738426.40109699999</v>
      </c>
      <c r="AD954" s="8">
        <v>2704250.97</v>
      </c>
      <c r="AE954" s="24">
        <v>721223.73369900009</v>
      </c>
      <c r="AF954" s="8">
        <v>60</v>
      </c>
      <c r="AG954" s="8">
        <v>152</v>
      </c>
      <c r="AH954" s="8" t="s">
        <v>342</v>
      </c>
      <c r="AI954" s="8" t="s">
        <v>226</v>
      </c>
      <c r="AJ954" s="22">
        <v>0.62</v>
      </c>
      <c r="AK954" s="8" t="s">
        <v>162</v>
      </c>
      <c r="AL954" s="22">
        <v>0.1</v>
      </c>
      <c r="AM954" s="22">
        <v>0.03</v>
      </c>
      <c r="AN954" s="8">
        <v>1</v>
      </c>
      <c r="AO954" s="8">
        <v>1251</v>
      </c>
      <c r="AP954" s="8">
        <v>1327904.77</v>
      </c>
      <c r="AQ954" s="24">
        <v>354152.20215899998</v>
      </c>
      <c r="AR954" s="8">
        <v>5123112.1500000004</v>
      </c>
      <c r="AS954" s="37">
        <v>1366334.0104050001</v>
      </c>
      <c r="AT954" s="8" t="s">
        <v>385</v>
      </c>
      <c r="AU954" s="8" t="s">
        <v>322</v>
      </c>
      <c r="AV954" s="8"/>
      <c r="AW954" s="8"/>
      <c r="AX954" s="8" t="s">
        <v>387</v>
      </c>
      <c r="AY954" s="8" t="s">
        <v>206</v>
      </c>
      <c r="AZ954" s="8" t="s">
        <v>332</v>
      </c>
      <c r="BA954" s="21">
        <f>IF(OR(tblsales[[#This Row],[Invoice Value USD]]="",tblsales[[#This Row],[Collected Amount USD]]=""),"",tblsales[[#This Row],[Invoice Value USD]]-tblsales[[#This Row],[Collected Amount USD]])</f>
        <v>17202.667397999903</v>
      </c>
      <c r="BB954" s="21">
        <f>IF(OR(tblsales[[#This Row],[Contract Value USD]]="",tblsales[[#This Row],[Cost Estimate USD]]=""),"",tblsales[[#This Row],[Contract Value USD]]-tblsales[[#This Row],[Cost Estimate USD]])</f>
        <v>1332742.4093129989</v>
      </c>
      <c r="BC954" s="21">
        <f>IF(OR(tblsales[[#This Row],[Contract Value USD]]="",tblsales[[#This Row],[Cost Estimate USD]]=""),"",tblsales[[#This Row],[Contract Value USD]]-tblsales[[#This Row],[Cost Estimate USD]])</f>
        <v>1332742.4093129989</v>
      </c>
      <c r="BD954" s="23">
        <f>IF(tblsales[[#This Row],[Invoice Value USD]]="","",tblsales[[#This Row],[Collected Amount USD]]/tblsales[[#This Row],[Invoice Value USD]])</f>
        <v>0.97670361274672224</v>
      </c>
      <c r="BE954" s="11">
        <f>IF(tblsales[[#This Row],[SalesStage]]="Won",1,0)</f>
        <v>0</v>
      </c>
      <c r="BF954" s="21" t="str">
        <f>IF(tblsales[[#This Row],[Win Flag]]=1,"Won","Lost")</f>
        <v>Lost</v>
      </c>
      <c r="BG954" s="8"/>
    </row>
    <row r="955" spans="1:59" x14ac:dyDescent="0.3">
      <c r="A955" s="10" t="s">
        <v>3135</v>
      </c>
      <c r="B955" s="9">
        <v>45761</v>
      </c>
      <c r="C955" s="10" t="s">
        <v>249</v>
      </c>
      <c r="D955" s="10" t="s">
        <v>250</v>
      </c>
      <c r="E955" s="10" t="s">
        <v>41</v>
      </c>
      <c r="F955" s="10" t="s">
        <v>350</v>
      </c>
      <c r="G955" s="10" t="s">
        <v>70</v>
      </c>
      <c r="H955" s="10" t="s">
        <v>212</v>
      </c>
      <c r="I955" s="10" t="s">
        <v>240</v>
      </c>
      <c r="J955" s="10" t="s">
        <v>105</v>
      </c>
      <c r="K955" s="10" t="s">
        <v>221</v>
      </c>
      <c r="L955" s="10" t="s">
        <v>3136</v>
      </c>
      <c r="M955" s="9">
        <v>45745</v>
      </c>
      <c r="N955" s="9"/>
      <c r="O955" s="9">
        <v>45878</v>
      </c>
      <c r="P955" s="11">
        <v>19</v>
      </c>
      <c r="Q955" s="12">
        <v>46957498</v>
      </c>
      <c r="R955">
        <v>12786526.705399999</v>
      </c>
      <c r="S955" s="22">
        <v>0.2</v>
      </c>
      <c r="T955" s="22">
        <v>0.09</v>
      </c>
      <c r="U955" s="12">
        <v>40946938.259999998</v>
      </c>
      <c r="V955" s="24">
        <v>11149851.288197998</v>
      </c>
      <c r="W955" s="8">
        <v>31711183.57</v>
      </c>
      <c r="X955" s="24">
        <v>8634955.2861109991</v>
      </c>
      <c r="Y955" s="22">
        <v>0.2</v>
      </c>
      <c r="Z955" s="22">
        <v>0.15</v>
      </c>
      <c r="AA955" s="8"/>
      <c r="AB955" s="8">
        <v>15208803.060000001</v>
      </c>
      <c r="AC955" s="24">
        <v>4141357.0732379998</v>
      </c>
      <c r="AD955" s="8">
        <v>9536052.3300000001</v>
      </c>
      <c r="AE955" s="24">
        <v>2596667.0494590001</v>
      </c>
      <c r="AF955" s="8">
        <v>60</v>
      </c>
      <c r="AG955" s="8">
        <v>16</v>
      </c>
      <c r="AH955" s="8" t="s">
        <v>329</v>
      </c>
      <c r="AI955" s="8" t="s">
        <v>336</v>
      </c>
      <c r="AJ955" s="22">
        <v>0.69</v>
      </c>
      <c r="AK955" s="8" t="s">
        <v>153</v>
      </c>
      <c r="AL955" s="22">
        <v>0.05</v>
      </c>
      <c r="AM955" s="22">
        <v>7.0000000000000007E-2</v>
      </c>
      <c r="AN955" s="8">
        <v>15</v>
      </c>
      <c r="AO955" s="8">
        <v>1513</v>
      </c>
      <c r="AP955" s="8">
        <v>6653847.5700000003</v>
      </c>
      <c r="AQ955" s="24">
        <v>1811842.693311</v>
      </c>
      <c r="AR955" s="8">
        <v>17231501.989999998</v>
      </c>
      <c r="AS955" s="37">
        <v>4692137.9918769989</v>
      </c>
      <c r="AT955" s="8" t="s">
        <v>355</v>
      </c>
      <c r="AU955" s="8" t="s">
        <v>330</v>
      </c>
      <c r="AV955" s="8">
        <v>51.1</v>
      </c>
      <c r="AW955" s="8">
        <v>48</v>
      </c>
      <c r="AX955" s="8" t="s">
        <v>337</v>
      </c>
      <c r="AY955" s="8" t="s">
        <v>224</v>
      </c>
      <c r="AZ955" s="8" t="s">
        <v>361</v>
      </c>
      <c r="BA955" s="21">
        <f>IF(OR(tblsales[[#This Row],[Invoice Value USD]]="",tblsales[[#This Row],[Collected Amount USD]]=""),"",tblsales[[#This Row],[Invoice Value USD]]-tblsales[[#This Row],[Collected Amount USD]])</f>
        <v>1544690.0237789997</v>
      </c>
      <c r="BB955" s="21">
        <f>IF(OR(tblsales[[#This Row],[Contract Value USD]]="",tblsales[[#This Row],[Cost Estimate USD]]=""),"",tblsales[[#This Row],[Contract Value USD]]-tblsales[[#This Row],[Cost Estimate USD]])</f>
        <v>2514896.0020869989</v>
      </c>
      <c r="BC955" s="21">
        <f>IF(OR(tblsales[[#This Row],[Contract Value USD]]="",tblsales[[#This Row],[Cost Estimate USD]]=""),"",tblsales[[#This Row],[Contract Value USD]]-tblsales[[#This Row],[Cost Estimate USD]])</f>
        <v>2514896.0020869989</v>
      </c>
      <c r="BD955" s="23">
        <f>IF(tblsales[[#This Row],[Invoice Value USD]]="","",tblsales[[#This Row],[Collected Amount USD]]/tblsales[[#This Row],[Invoice Value USD]])</f>
        <v>0.62700873253335432</v>
      </c>
      <c r="BE955" s="11">
        <f>IF(tblsales[[#This Row],[SalesStage]]="Won",1,0)</f>
        <v>0</v>
      </c>
      <c r="BF955" s="21" t="str">
        <f>IF(tblsales[[#This Row],[Win Flag]]=1,"Won","Lost")</f>
        <v>Lost</v>
      </c>
      <c r="BG955" s="8"/>
    </row>
    <row r="956" spans="1:59" x14ac:dyDescent="0.3">
      <c r="A956" s="10" t="s">
        <v>3137</v>
      </c>
      <c r="B956" s="9">
        <v>45709</v>
      </c>
      <c r="C956" s="10" t="s">
        <v>282</v>
      </c>
      <c r="D956" s="10" t="s">
        <v>220</v>
      </c>
      <c r="E956" s="10" t="s">
        <v>20</v>
      </c>
      <c r="F956" s="10" t="s">
        <v>332</v>
      </c>
      <c r="G956" s="10" t="s">
        <v>62</v>
      </c>
      <c r="H956" s="10" t="s">
        <v>212</v>
      </c>
      <c r="I956" s="10" t="s">
        <v>240</v>
      </c>
      <c r="J956" s="10" t="s">
        <v>99</v>
      </c>
      <c r="K956" s="10" t="s">
        <v>221</v>
      </c>
      <c r="L956" s="10" t="s">
        <v>3138</v>
      </c>
      <c r="M956" s="9">
        <v>45625</v>
      </c>
      <c r="N956" s="9">
        <v>45761</v>
      </c>
      <c r="O956" s="9">
        <v>45803</v>
      </c>
      <c r="P956" s="11"/>
      <c r="Q956" s="12">
        <v>26818680</v>
      </c>
      <c r="R956">
        <v>7302726.5639999993</v>
      </c>
      <c r="S956" s="22">
        <v>0.28999999999999998</v>
      </c>
      <c r="T956" s="22">
        <v>0.18</v>
      </c>
      <c r="U956" s="12">
        <v>22468690.100000001</v>
      </c>
      <c r="V956" s="24">
        <v>6118224.3142299997</v>
      </c>
      <c r="W956" s="8">
        <v>18054089.510000002</v>
      </c>
      <c r="X956" s="24">
        <v>4916128.5735729998</v>
      </c>
      <c r="Y956" s="22">
        <v>0.36</v>
      </c>
      <c r="Z956" s="22">
        <v>0.16</v>
      </c>
      <c r="AA956" s="8" t="s">
        <v>3139</v>
      </c>
      <c r="AB956" s="8">
        <v>15203611.109999999</v>
      </c>
      <c r="AC956" s="24">
        <v>4139943.3052529995</v>
      </c>
      <c r="AD956" s="8">
        <v>15584185.73</v>
      </c>
      <c r="AE956" s="24">
        <v>4243573.7742790002</v>
      </c>
      <c r="AF956" s="8">
        <v>120</v>
      </c>
      <c r="AG956" s="8">
        <v>84</v>
      </c>
      <c r="AH956" s="8" t="s">
        <v>329</v>
      </c>
      <c r="AI956" s="8" t="s">
        <v>354</v>
      </c>
      <c r="AJ956" s="22">
        <v>0.88</v>
      </c>
      <c r="AK956" s="8" t="s">
        <v>153</v>
      </c>
      <c r="AL956" s="22">
        <v>0.1</v>
      </c>
      <c r="AM956" s="22">
        <v>0.04</v>
      </c>
      <c r="AN956" s="8">
        <v>4</v>
      </c>
      <c r="AO956" s="8">
        <v>1741</v>
      </c>
      <c r="AP956" s="8">
        <v>2646966.3199999998</v>
      </c>
      <c r="AQ956" s="24">
        <v>720768.92893599987</v>
      </c>
      <c r="AR956" s="8">
        <v>10049208.15</v>
      </c>
      <c r="AS956" s="37">
        <v>2736399.379245</v>
      </c>
      <c r="AT956" s="8" t="s">
        <v>321</v>
      </c>
      <c r="AU956" s="8" t="s">
        <v>348</v>
      </c>
      <c r="AV956" s="8">
        <v>97.8</v>
      </c>
      <c r="AW956" s="8">
        <v>48</v>
      </c>
      <c r="AX956" s="8" t="s">
        <v>387</v>
      </c>
      <c r="AY956" s="8" t="s">
        <v>186</v>
      </c>
      <c r="AZ956" s="8" t="s">
        <v>188</v>
      </c>
      <c r="BA956" s="21">
        <f>IF(OR(tblsales[[#This Row],[Invoice Value USD]]="",tblsales[[#This Row],[Collected Amount USD]]=""),"",tblsales[[#This Row],[Invoice Value USD]]-tblsales[[#This Row],[Collected Amount USD]])</f>
        <v>-103630.4690260007</v>
      </c>
      <c r="BB956" s="21">
        <f>IF(OR(tblsales[[#This Row],[Contract Value USD]]="",tblsales[[#This Row],[Cost Estimate USD]]=""),"",tblsales[[#This Row],[Contract Value USD]]-tblsales[[#This Row],[Cost Estimate USD]])</f>
        <v>1202095.7406569999</v>
      </c>
      <c r="BC956" s="21">
        <f>IF(OR(tblsales[[#This Row],[Contract Value USD]]="",tblsales[[#This Row],[Cost Estimate USD]]=""),"",tblsales[[#This Row],[Contract Value USD]]-tblsales[[#This Row],[Cost Estimate USD]])</f>
        <v>1202095.7406569999</v>
      </c>
      <c r="BD956" s="23">
        <f>IF(tblsales[[#This Row],[Invoice Value USD]]="","",tblsales[[#This Row],[Collected Amount USD]]/tblsales[[#This Row],[Invoice Value USD]])</f>
        <v>1.0250318570533341</v>
      </c>
      <c r="BE956" s="11">
        <f>IF(tblsales[[#This Row],[SalesStage]]="Won",1,0)</f>
        <v>0</v>
      </c>
      <c r="BF956" s="21" t="str">
        <f>IF(tblsales[[#This Row],[Win Flag]]=1,"Won","Lost")</f>
        <v>Lost</v>
      </c>
      <c r="BG956" s="8"/>
    </row>
    <row r="957" spans="1:59" x14ac:dyDescent="0.3">
      <c r="A957" s="10" t="s">
        <v>3140</v>
      </c>
      <c r="B957" s="9">
        <v>46019</v>
      </c>
      <c r="C957" s="10" t="s">
        <v>271</v>
      </c>
      <c r="D957" s="10" t="s">
        <v>190</v>
      </c>
      <c r="E957" s="10" t="s">
        <v>36</v>
      </c>
      <c r="F957" s="10" t="s">
        <v>19</v>
      </c>
      <c r="G957" s="10" t="s">
        <v>33</v>
      </c>
      <c r="H957" s="10" t="s">
        <v>263</v>
      </c>
      <c r="I957" s="10" t="s">
        <v>246</v>
      </c>
      <c r="J957" s="10" t="s">
        <v>115</v>
      </c>
      <c r="K957" s="10" t="s">
        <v>204</v>
      </c>
      <c r="L957" s="10" t="s">
        <v>3141</v>
      </c>
      <c r="M957" s="9">
        <v>45972</v>
      </c>
      <c r="N957" s="9">
        <v>46175</v>
      </c>
      <c r="O957" s="9">
        <v>46206</v>
      </c>
      <c r="P957" s="11">
        <v>19</v>
      </c>
      <c r="Q957" s="12">
        <v>9548414</v>
      </c>
      <c r="R957">
        <v>11085708.654000001</v>
      </c>
      <c r="S957" s="22">
        <v>0.31</v>
      </c>
      <c r="T957" s="22">
        <v>-0.04</v>
      </c>
      <c r="U957" s="12">
        <v>6324869.4299999997</v>
      </c>
      <c r="V957" s="24">
        <v>7343173.4082300002</v>
      </c>
      <c r="W957" s="8"/>
      <c r="X957" s="24"/>
      <c r="Y957" s="22">
        <v>0.32</v>
      </c>
      <c r="Z957" s="22">
        <v>0.17</v>
      </c>
      <c r="AA957" s="8" t="s">
        <v>3142</v>
      </c>
      <c r="AB957" s="8">
        <v>5580280.1100000003</v>
      </c>
      <c r="AC957" s="24">
        <v>6478705.2077100007</v>
      </c>
      <c r="AD957" s="8">
        <v>5631824.1699999999</v>
      </c>
      <c r="AE957" s="24">
        <v>6538547.8613700001</v>
      </c>
      <c r="AF957" s="8">
        <v>60</v>
      </c>
      <c r="AG957" s="8">
        <v>14</v>
      </c>
      <c r="AH957" s="8" t="s">
        <v>332</v>
      </c>
      <c r="AI957" s="8" t="s">
        <v>320</v>
      </c>
      <c r="AJ957" s="22">
        <v>0.22</v>
      </c>
      <c r="AK957" s="8" t="s">
        <v>159</v>
      </c>
      <c r="AL957" s="22">
        <v>0.15</v>
      </c>
      <c r="AM957" s="22">
        <v>0.04</v>
      </c>
      <c r="AN957" s="8">
        <v>0</v>
      </c>
      <c r="AO957" s="8">
        <v>3291</v>
      </c>
      <c r="AP957" s="8">
        <v>1334043.51</v>
      </c>
      <c r="AQ957" s="24">
        <v>1548824.51511</v>
      </c>
      <c r="AR957" s="8">
        <v>922511.21</v>
      </c>
      <c r="AS957" s="37">
        <v>1071035.5148100001</v>
      </c>
      <c r="AT957" s="8" t="s">
        <v>355</v>
      </c>
      <c r="AU957" s="8" t="s">
        <v>330</v>
      </c>
      <c r="AV957" s="8">
        <v>78.8</v>
      </c>
      <c r="AW957" s="8">
        <v>48</v>
      </c>
      <c r="AX957" s="8" t="s">
        <v>332</v>
      </c>
      <c r="AY957" s="8" t="s">
        <v>206</v>
      </c>
      <c r="AZ957" s="8" t="s">
        <v>332</v>
      </c>
      <c r="BA957" s="21">
        <f>IF(OR(tblsales[[#This Row],[Invoice Value USD]]="",tblsales[[#This Row],[Collected Amount USD]]=""),"",tblsales[[#This Row],[Invoice Value USD]]-tblsales[[#This Row],[Collected Amount USD]])</f>
        <v>-59842.653659999371</v>
      </c>
      <c r="BB957" s="21" t="str">
        <f>IF(OR(tblsales[[#This Row],[Contract Value USD]]="",tblsales[[#This Row],[Cost Estimate USD]]=""),"",tblsales[[#This Row],[Contract Value USD]]-tblsales[[#This Row],[Cost Estimate USD]])</f>
        <v/>
      </c>
      <c r="BC957" s="21" t="str">
        <f>IF(OR(tblsales[[#This Row],[Contract Value USD]]="",tblsales[[#This Row],[Cost Estimate USD]]=""),"",tblsales[[#This Row],[Contract Value USD]]-tblsales[[#This Row],[Cost Estimate USD]])</f>
        <v/>
      </c>
      <c r="BD957" s="23">
        <f>IF(tblsales[[#This Row],[Invoice Value USD]]="","",tblsales[[#This Row],[Collected Amount USD]]/tblsales[[#This Row],[Invoice Value USD]])</f>
        <v>1.0092368230597657</v>
      </c>
      <c r="BE957" s="11">
        <f>IF(tblsales[[#This Row],[SalesStage]]="Won",1,0)</f>
        <v>1</v>
      </c>
      <c r="BF957" s="21" t="str">
        <f>IF(tblsales[[#This Row],[Win Flag]]=1,"Won","Lost")</f>
        <v>Won</v>
      </c>
      <c r="BG957" s="8"/>
    </row>
    <row r="958" spans="1:59" x14ac:dyDescent="0.3">
      <c r="A958" s="10" t="s">
        <v>3143</v>
      </c>
      <c r="B958" s="9">
        <v>45802</v>
      </c>
      <c r="C958" s="10" t="s">
        <v>285</v>
      </c>
      <c r="D958" s="10" t="s">
        <v>209</v>
      </c>
      <c r="E958" s="10" t="s">
        <v>52</v>
      </c>
      <c r="F958" s="10" t="s">
        <v>75</v>
      </c>
      <c r="G958" s="10" t="s">
        <v>62</v>
      </c>
      <c r="H958" s="10" t="s">
        <v>263</v>
      </c>
      <c r="I958" s="10" t="s">
        <v>240</v>
      </c>
      <c r="J958" s="10" t="s">
        <v>133</v>
      </c>
      <c r="K958" s="10" t="s">
        <v>333</v>
      </c>
      <c r="L958" s="10" t="s">
        <v>3144</v>
      </c>
      <c r="M958" s="9">
        <v>45734</v>
      </c>
      <c r="N958" s="9"/>
      <c r="O958" s="9">
        <v>45888</v>
      </c>
      <c r="P958" s="11">
        <v>50</v>
      </c>
      <c r="Q958" s="12">
        <v>45451446</v>
      </c>
      <c r="R958">
        <v>45451446</v>
      </c>
      <c r="S958" s="22">
        <v>0.01</v>
      </c>
      <c r="T958" s="22">
        <v>0.12</v>
      </c>
      <c r="U958" s="12">
        <v>50396563.32</v>
      </c>
      <c r="V958" s="24">
        <v>50396563.32</v>
      </c>
      <c r="W958" s="8">
        <v>44794420.280000001</v>
      </c>
      <c r="X958" s="24">
        <v>44794420.280000001</v>
      </c>
      <c r="Y958" s="22">
        <v>0.34</v>
      </c>
      <c r="Z958" s="22">
        <v>0.08</v>
      </c>
      <c r="AA958" s="8" t="s">
        <v>3145</v>
      </c>
      <c r="AB958" s="8">
        <v>38793614.57</v>
      </c>
      <c r="AC958" s="24">
        <v>38793614.57</v>
      </c>
      <c r="AD958" s="8">
        <v>33040479.34</v>
      </c>
      <c r="AE958" s="24">
        <v>33040479.34</v>
      </c>
      <c r="AF958" s="8">
        <v>45</v>
      </c>
      <c r="AG958" s="8">
        <v>3</v>
      </c>
      <c r="AH958" s="8" t="s">
        <v>353</v>
      </c>
      <c r="AI958" s="8" t="s">
        <v>354</v>
      </c>
      <c r="AJ958" s="22">
        <v>0.78</v>
      </c>
      <c r="AK958" s="8" t="s">
        <v>152</v>
      </c>
      <c r="AL958" s="22">
        <v>0.15</v>
      </c>
      <c r="AM958" s="22">
        <v>0.1</v>
      </c>
      <c r="AN958" s="8">
        <v>9</v>
      </c>
      <c r="AO958" s="8">
        <v>940</v>
      </c>
      <c r="AP958" s="8">
        <v>5700310.1299999999</v>
      </c>
      <c r="AQ958" s="24">
        <v>5700310.1299999999</v>
      </c>
      <c r="AR958" s="8">
        <v>16885965.02</v>
      </c>
      <c r="AS958" s="37">
        <v>16885965.02</v>
      </c>
      <c r="AT958" s="8" t="s">
        <v>385</v>
      </c>
      <c r="AU958" s="8" t="s">
        <v>330</v>
      </c>
      <c r="AV958" s="8">
        <v>64.8</v>
      </c>
      <c r="AW958" s="8">
        <v>24</v>
      </c>
      <c r="AX958" s="8" t="s">
        <v>323</v>
      </c>
      <c r="AY958" s="8" t="s">
        <v>186</v>
      </c>
      <c r="AZ958" s="8" t="s">
        <v>377</v>
      </c>
      <c r="BA958" s="21">
        <f>IF(OR(tblsales[[#This Row],[Invoice Value USD]]="",tblsales[[#This Row],[Collected Amount USD]]=""),"",tblsales[[#This Row],[Invoice Value USD]]-tblsales[[#This Row],[Collected Amount USD]])</f>
        <v>5753135.2300000004</v>
      </c>
      <c r="BB958" s="21">
        <f>IF(OR(tblsales[[#This Row],[Contract Value USD]]="",tblsales[[#This Row],[Cost Estimate USD]]=""),"",tblsales[[#This Row],[Contract Value USD]]-tblsales[[#This Row],[Cost Estimate USD]])</f>
        <v>5602143.0399999991</v>
      </c>
      <c r="BC958" s="21">
        <f>IF(OR(tblsales[[#This Row],[Contract Value USD]]="",tblsales[[#This Row],[Cost Estimate USD]]=""),"",tblsales[[#This Row],[Contract Value USD]]-tblsales[[#This Row],[Cost Estimate USD]])</f>
        <v>5602143.0399999991</v>
      </c>
      <c r="BD958" s="23">
        <f>IF(tblsales[[#This Row],[Invoice Value USD]]="","",tblsales[[#This Row],[Collected Amount USD]]/tblsales[[#This Row],[Invoice Value USD]])</f>
        <v>0.85169891246872798</v>
      </c>
      <c r="BE958" s="11">
        <f>IF(tblsales[[#This Row],[SalesStage]]="Won",1,0)</f>
        <v>0</v>
      </c>
      <c r="BF958" s="21" t="str">
        <f>IF(tblsales[[#This Row],[Win Flag]]=1,"Won","Lost")</f>
        <v>Lost</v>
      </c>
      <c r="BG958" s="8"/>
    </row>
    <row r="959" spans="1:59" x14ac:dyDescent="0.3">
      <c r="A959" s="10" t="s">
        <v>3146</v>
      </c>
      <c r="B959" s="9">
        <v>45909</v>
      </c>
      <c r="C959" s="10" t="s">
        <v>277</v>
      </c>
      <c r="D959" s="10" t="s">
        <v>394</v>
      </c>
      <c r="E959" s="10" t="s">
        <v>113</v>
      </c>
      <c r="F959" s="10" t="s">
        <v>181</v>
      </c>
      <c r="G959" s="10" t="s">
        <v>80</v>
      </c>
      <c r="H959" s="10" t="s">
        <v>332</v>
      </c>
      <c r="I959" s="10" t="s">
        <v>198</v>
      </c>
      <c r="J959" s="10" t="s">
        <v>127</v>
      </c>
      <c r="K959" s="10" t="s">
        <v>210</v>
      </c>
      <c r="L959" s="10" t="s">
        <v>3147</v>
      </c>
      <c r="M959" s="9">
        <v>45723</v>
      </c>
      <c r="N959" s="9">
        <v>45953</v>
      </c>
      <c r="O959" s="9">
        <v>46113</v>
      </c>
      <c r="P959" s="11">
        <v>9</v>
      </c>
      <c r="Q959" s="12">
        <v>36951418</v>
      </c>
      <c r="R959">
        <v>10061871.121399999</v>
      </c>
      <c r="S959" s="22">
        <v>7.0000000000000007E-2</v>
      </c>
      <c r="T959" s="22">
        <v>0.05</v>
      </c>
      <c r="U959" s="12">
        <v>36083059.68</v>
      </c>
      <c r="V959" s="24">
        <v>9825417.1508639995</v>
      </c>
      <c r="W959" s="8">
        <v>31065653.780000001</v>
      </c>
      <c r="X959" s="24">
        <v>8459177.5242940001</v>
      </c>
      <c r="Y959" s="22">
        <v>0.1</v>
      </c>
      <c r="Z959" s="22">
        <v>0.17</v>
      </c>
      <c r="AA959" s="8"/>
      <c r="AB959" s="8">
        <v>9411077.2899999991</v>
      </c>
      <c r="AC959" s="24">
        <v>2562636.3460669997</v>
      </c>
      <c r="AD959" s="8">
        <v>8335194.75</v>
      </c>
      <c r="AE959" s="24">
        <v>2269673.530425</v>
      </c>
      <c r="AF959" s="8">
        <v>45</v>
      </c>
      <c r="AG959" s="8">
        <v>45</v>
      </c>
      <c r="AH959" s="8" t="s">
        <v>342</v>
      </c>
      <c r="AI959" s="8" t="s">
        <v>381</v>
      </c>
      <c r="AJ959" s="22">
        <v>0.36</v>
      </c>
      <c r="AK959" s="8" t="s">
        <v>153</v>
      </c>
      <c r="AL959" s="22">
        <v>0.05</v>
      </c>
      <c r="AM959" s="22">
        <v>0.02</v>
      </c>
      <c r="AN959" s="8">
        <v>2</v>
      </c>
      <c r="AO959" s="8">
        <v>1272</v>
      </c>
      <c r="AP959" s="8">
        <v>7192150.6500000004</v>
      </c>
      <c r="AQ959" s="24">
        <v>1958422.6219949999</v>
      </c>
      <c r="AR959" s="8">
        <v>10953724.939999999</v>
      </c>
      <c r="AS959" s="37">
        <v>2982699.3011619998</v>
      </c>
      <c r="AT959" s="8" t="s">
        <v>332</v>
      </c>
      <c r="AU959" s="8" t="s">
        <v>321</v>
      </c>
      <c r="AV959" s="8">
        <v>53.4</v>
      </c>
      <c r="AW959" s="8"/>
      <c r="AX959" s="8" t="s">
        <v>392</v>
      </c>
      <c r="AY959" s="8" t="s">
        <v>186</v>
      </c>
      <c r="AZ959" s="8" t="s">
        <v>377</v>
      </c>
      <c r="BA959" s="21">
        <f>IF(OR(tblsales[[#This Row],[Invoice Value USD]]="",tblsales[[#This Row],[Collected Amount USD]]=""),"",tblsales[[#This Row],[Invoice Value USD]]-tblsales[[#This Row],[Collected Amount USD]])</f>
        <v>292962.81564199971</v>
      </c>
      <c r="BB959" s="21">
        <f>IF(OR(tblsales[[#This Row],[Contract Value USD]]="",tblsales[[#This Row],[Cost Estimate USD]]=""),"",tblsales[[#This Row],[Contract Value USD]]-tblsales[[#This Row],[Cost Estimate USD]])</f>
        <v>1366239.6265699994</v>
      </c>
      <c r="BC959" s="21">
        <f>IF(OR(tblsales[[#This Row],[Contract Value USD]]="",tblsales[[#This Row],[Cost Estimate USD]]=""),"",tblsales[[#This Row],[Contract Value USD]]-tblsales[[#This Row],[Cost Estimate USD]])</f>
        <v>1366239.6265699994</v>
      </c>
      <c r="BD959" s="23">
        <f>IF(tblsales[[#This Row],[Invoice Value USD]]="","",tblsales[[#This Row],[Collected Amount USD]]/tblsales[[#This Row],[Invoice Value USD]])</f>
        <v>0.88567913036446877</v>
      </c>
      <c r="BE959" s="11">
        <f>IF(tblsales[[#This Row],[SalesStage]]="Won",1,0)</f>
        <v>0</v>
      </c>
      <c r="BF959" s="21" t="str">
        <f>IF(tblsales[[#This Row],[Win Flag]]=1,"Won","Lost")</f>
        <v>Lost</v>
      </c>
      <c r="BG959" s="8"/>
    </row>
    <row r="960" spans="1:59" x14ac:dyDescent="0.3">
      <c r="A960" s="10" t="s">
        <v>3148</v>
      </c>
      <c r="B960" s="9">
        <v>45887</v>
      </c>
      <c r="C960" s="10" t="s">
        <v>179</v>
      </c>
      <c r="D960" s="10" t="s">
        <v>281</v>
      </c>
      <c r="E960" s="10" t="s">
        <v>41</v>
      </c>
      <c r="F960" s="10" t="s">
        <v>350</v>
      </c>
      <c r="G960" s="10" t="s">
        <v>23</v>
      </c>
      <c r="H960" s="10" t="s">
        <v>216</v>
      </c>
      <c r="I960" s="10" t="s">
        <v>213</v>
      </c>
      <c r="J960" s="10" t="s">
        <v>130</v>
      </c>
      <c r="K960" s="10" t="s">
        <v>221</v>
      </c>
      <c r="L960" s="10" t="s">
        <v>3149</v>
      </c>
      <c r="M960" s="9">
        <v>45863</v>
      </c>
      <c r="N960" s="9">
        <v>45919</v>
      </c>
      <c r="O960" s="9">
        <v>45947</v>
      </c>
      <c r="P960" s="11">
        <v>22</v>
      </c>
      <c r="Q960" s="12">
        <v>18267398</v>
      </c>
      <c r="R960">
        <v>18267398</v>
      </c>
      <c r="S960" s="22">
        <v>0.26</v>
      </c>
      <c r="T960" s="22">
        <v>0.05</v>
      </c>
      <c r="U960" s="12">
        <v>14193768.25</v>
      </c>
      <c r="V960" s="24">
        <v>14193768.25</v>
      </c>
      <c r="W960" s="8">
        <v>9694237.0800000001</v>
      </c>
      <c r="X960" s="24">
        <v>9694237.0800000001</v>
      </c>
      <c r="Y960" s="22">
        <v>0.2</v>
      </c>
      <c r="Z960" s="22">
        <v>0.1</v>
      </c>
      <c r="AA960" s="8" t="s">
        <v>3150</v>
      </c>
      <c r="AB960" s="8">
        <v>4185558</v>
      </c>
      <c r="AC960" s="24">
        <v>4185558</v>
      </c>
      <c r="AD960" s="8">
        <v>2360893.39</v>
      </c>
      <c r="AE960" s="24">
        <v>2360893.39</v>
      </c>
      <c r="AF960" s="8">
        <v>45</v>
      </c>
      <c r="AG960" s="8">
        <v>174</v>
      </c>
      <c r="AH960" s="8" t="s">
        <v>329</v>
      </c>
      <c r="AI960" s="8" t="s">
        <v>320</v>
      </c>
      <c r="AJ960" s="22">
        <v>0.34</v>
      </c>
      <c r="AK960" s="8" t="s">
        <v>152</v>
      </c>
      <c r="AL960" s="22">
        <v>0.1</v>
      </c>
      <c r="AM960" s="22">
        <v>0.02</v>
      </c>
      <c r="AN960" s="8">
        <v>5</v>
      </c>
      <c r="AO960" s="8">
        <v>4217</v>
      </c>
      <c r="AP960" s="8">
        <v>1335645.5</v>
      </c>
      <c r="AQ960" s="24">
        <v>1335645.5</v>
      </c>
      <c r="AR960" s="8">
        <v>4798504.92</v>
      </c>
      <c r="AS960" s="37">
        <v>4798504.92</v>
      </c>
      <c r="AT960" s="8" t="s">
        <v>385</v>
      </c>
      <c r="AU960" s="8" t="s">
        <v>321</v>
      </c>
      <c r="AV960" s="8">
        <v>78.5</v>
      </c>
      <c r="AW960" s="8"/>
      <c r="AX960" s="8" t="s">
        <v>323</v>
      </c>
      <c r="AY960" s="8" t="s">
        <v>224</v>
      </c>
      <c r="AZ960" s="8" t="s">
        <v>357</v>
      </c>
      <c r="BA960" s="21">
        <f>IF(OR(tblsales[[#This Row],[Invoice Value USD]]="",tblsales[[#This Row],[Collected Amount USD]]=""),"",tblsales[[#This Row],[Invoice Value USD]]-tblsales[[#This Row],[Collected Amount USD]])</f>
        <v>1824664.6099999999</v>
      </c>
      <c r="BB960" s="21">
        <f>IF(OR(tblsales[[#This Row],[Contract Value USD]]="",tblsales[[#This Row],[Cost Estimate USD]]=""),"",tblsales[[#This Row],[Contract Value USD]]-tblsales[[#This Row],[Cost Estimate USD]])</f>
        <v>4499531.17</v>
      </c>
      <c r="BC960" s="21">
        <f>IF(OR(tblsales[[#This Row],[Contract Value USD]]="",tblsales[[#This Row],[Cost Estimate USD]]=""),"",tblsales[[#This Row],[Contract Value USD]]-tblsales[[#This Row],[Cost Estimate USD]])</f>
        <v>4499531.17</v>
      </c>
      <c r="BD960" s="23">
        <f>IF(tblsales[[#This Row],[Invoice Value USD]]="","",tblsales[[#This Row],[Collected Amount USD]]/tblsales[[#This Row],[Invoice Value USD]])</f>
        <v>0.5640570241769437</v>
      </c>
      <c r="BE960" s="11">
        <f>IF(tblsales[[#This Row],[SalesStage]]="Won",1,0)</f>
        <v>1</v>
      </c>
      <c r="BF960" s="21" t="str">
        <f>IF(tblsales[[#This Row],[Win Flag]]=1,"Won","Lost")</f>
        <v>Won</v>
      </c>
      <c r="BG960" s="8"/>
    </row>
    <row r="961" spans="1:59" x14ac:dyDescent="0.3">
      <c r="A961" s="10" t="s">
        <v>3151</v>
      </c>
      <c r="B961" s="9">
        <v>45872</v>
      </c>
      <c r="C961" s="10" t="s">
        <v>275</v>
      </c>
      <c r="D961" s="10" t="s">
        <v>202</v>
      </c>
      <c r="E961" s="10" t="s">
        <v>332</v>
      </c>
      <c r="F961" s="10" t="s">
        <v>19</v>
      </c>
      <c r="G961" s="10" t="s">
        <v>62</v>
      </c>
      <c r="H961" s="10" t="s">
        <v>182</v>
      </c>
      <c r="I961" s="10" t="s">
        <v>240</v>
      </c>
      <c r="J961" s="10" t="s">
        <v>136</v>
      </c>
      <c r="K961" s="10" t="s">
        <v>204</v>
      </c>
      <c r="L961" s="10" t="s">
        <v>3152</v>
      </c>
      <c r="M961" s="9">
        <v>45831</v>
      </c>
      <c r="N961" s="9"/>
      <c r="O961" s="9">
        <v>45725</v>
      </c>
      <c r="P961" s="11">
        <v>37</v>
      </c>
      <c r="Q961" s="12">
        <v>46654744</v>
      </c>
      <c r="R961">
        <v>12816058.1768</v>
      </c>
      <c r="S961" s="22">
        <v>0.05</v>
      </c>
      <c r="T961" s="22">
        <v>0.04</v>
      </c>
      <c r="U961" s="12">
        <v>46094887.07</v>
      </c>
      <c r="V961" s="24">
        <v>12662265.478128999</v>
      </c>
      <c r="W961" s="8"/>
      <c r="X961" s="24"/>
      <c r="Y961" s="22">
        <v>0.31</v>
      </c>
      <c r="Z961" s="22">
        <v>0.13</v>
      </c>
      <c r="AA961" s="8" t="s">
        <v>3153</v>
      </c>
      <c r="AB961" s="8">
        <v>40292078.799999997</v>
      </c>
      <c r="AC961" s="24">
        <v>11068234.046359999</v>
      </c>
      <c r="AD961" s="8">
        <v>35218538.009999998</v>
      </c>
      <c r="AE961" s="24">
        <v>9674532.3913469985</v>
      </c>
      <c r="AF961" s="8">
        <v>60</v>
      </c>
      <c r="AG961" s="8">
        <v>159</v>
      </c>
      <c r="AH961" s="8" t="s">
        <v>329</v>
      </c>
      <c r="AI961" s="8" t="s">
        <v>226</v>
      </c>
      <c r="AJ961" s="22">
        <v>0.89</v>
      </c>
      <c r="AK961" s="8" t="s">
        <v>155</v>
      </c>
      <c r="AL961" s="22">
        <v>0.05</v>
      </c>
      <c r="AM961" s="22">
        <v>7.0000000000000007E-2</v>
      </c>
      <c r="AN961" s="8">
        <v>9</v>
      </c>
      <c r="AO961" s="8">
        <v>1232</v>
      </c>
      <c r="AP961" s="8">
        <v>2724630.77</v>
      </c>
      <c r="AQ961" s="24">
        <v>748456.07251900004</v>
      </c>
      <c r="AR961" s="8">
        <v>14706093.99</v>
      </c>
      <c r="AS961" s="37">
        <v>4039764.019053</v>
      </c>
      <c r="AT961" s="8" t="s">
        <v>321</v>
      </c>
      <c r="AU961" s="8" t="s">
        <v>356</v>
      </c>
      <c r="AV961" s="8">
        <v>65.7</v>
      </c>
      <c r="AW961" s="8">
        <v>12</v>
      </c>
      <c r="AX961" s="8" t="s">
        <v>332</v>
      </c>
      <c r="AY961" s="8" t="s">
        <v>224</v>
      </c>
      <c r="AZ961" s="8" t="s">
        <v>332</v>
      </c>
      <c r="BA961" s="21">
        <f>IF(OR(tblsales[[#This Row],[Invoice Value USD]]="",tblsales[[#This Row],[Collected Amount USD]]=""),"",tblsales[[#This Row],[Invoice Value USD]]-tblsales[[#This Row],[Collected Amount USD]])</f>
        <v>1393701.6550130006</v>
      </c>
      <c r="BB961" s="21" t="str">
        <f>IF(OR(tblsales[[#This Row],[Contract Value USD]]="",tblsales[[#This Row],[Cost Estimate USD]]=""),"",tblsales[[#This Row],[Contract Value USD]]-tblsales[[#This Row],[Cost Estimate USD]])</f>
        <v/>
      </c>
      <c r="BC961" s="21" t="str">
        <f>IF(OR(tblsales[[#This Row],[Contract Value USD]]="",tblsales[[#This Row],[Cost Estimate USD]]=""),"",tblsales[[#This Row],[Contract Value USD]]-tblsales[[#This Row],[Cost Estimate USD]])</f>
        <v/>
      </c>
      <c r="BD961" s="23">
        <f>IF(tblsales[[#This Row],[Invoice Value USD]]="","",tblsales[[#This Row],[Collected Amount USD]]/tblsales[[#This Row],[Invoice Value USD]])</f>
        <v>0.87408093746704374</v>
      </c>
      <c r="BE961" s="11">
        <f>IF(tblsales[[#This Row],[SalesStage]]="Won",1,0)</f>
        <v>0</v>
      </c>
      <c r="BF961" s="21" t="str">
        <f>IF(tblsales[[#This Row],[Win Flag]]=1,"Won","Lost")</f>
        <v>Lost</v>
      </c>
      <c r="BG961" s="8"/>
    </row>
    <row r="962" spans="1:59" x14ac:dyDescent="0.3">
      <c r="A962" s="10" t="s">
        <v>3154</v>
      </c>
      <c r="B962" s="9">
        <v>46025</v>
      </c>
      <c r="C962" s="10" t="s">
        <v>231</v>
      </c>
      <c r="D962" s="10" t="s">
        <v>209</v>
      </c>
      <c r="E962" s="10" t="s">
        <v>113</v>
      </c>
      <c r="F962" s="10" t="s">
        <v>181</v>
      </c>
      <c r="G962" s="10" t="s">
        <v>66</v>
      </c>
      <c r="H962" s="10" t="s">
        <v>216</v>
      </c>
      <c r="I962" s="10" t="s">
        <v>203</v>
      </c>
      <c r="J962" s="10" t="s">
        <v>127</v>
      </c>
      <c r="K962" s="10" t="s">
        <v>326</v>
      </c>
      <c r="L962" s="10" t="s">
        <v>3155</v>
      </c>
      <c r="M962" s="9">
        <v>45912</v>
      </c>
      <c r="N962" s="9"/>
      <c r="O962" s="9">
        <v>46067</v>
      </c>
      <c r="P962" s="11">
        <v>10</v>
      </c>
      <c r="Q962" s="12">
        <v>10231359</v>
      </c>
      <c r="R962">
        <v>2810554.3173000002</v>
      </c>
      <c r="S962" s="22">
        <v>0.09</v>
      </c>
      <c r="T962" s="22">
        <v>7.0000000000000007E-2</v>
      </c>
      <c r="U962" s="12">
        <v>9962274.2599999998</v>
      </c>
      <c r="V962" s="24">
        <v>2736636.7392219999</v>
      </c>
      <c r="W962" s="8">
        <v>6655126.75</v>
      </c>
      <c r="X962" s="24">
        <v>1828163.3182250001</v>
      </c>
      <c r="Y962" s="22">
        <v>0.28999999999999998</v>
      </c>
      <c r="Z962" s="22">
        <v>0.16</v>
      </c>
      <c r="AA962" s="8" t="s">
        <v>3156</v>
      </c>
      <c r="AB962" s="8">
        <v>2407649.39</v>
      </c>
      <c r="AC962" s="24">
        <v>661381.28743300005</v>
      </c>
      <c r="AD962" s="8">
        <v>1221245.74</v>
      </c>
      <c r="AE962" s="24">
        <v>335476.20477800001</v>
      </c>
      <c r="AF962" s="8">
        <v>60</v>
      </c>
      <c r="AG962" s="8">
        <v>19</v>
      </c>
      <c r="AH962" s="8" t="s">
        <v>376</v>
      </c>
      <c r="AI962" s="8" t="s">
        <v>226</v>
      </c>
      <c r="AJ962" s="22">
        <v>0.89</v>
      </c>
      <c r="AK962" s="8" t="s">
        <v>155</v>
      </c>
      <c r="AL962" s="22">
        <v>0.1</v>
      </c>
      <c r="AM962" s="22">
        <v>0.09</v>
      </c>
      <c r="AN962" s="8">
        <v>6</v>
      </c>
      <c r="AO962" s="8">
        <v>2483</v>
      </c>
      <c r="AP962" s="8">
        <v>499928.11</v>
      </c>
      <c r="AQ962" s="24">
        <v>137330.25181699998</v>
      </c>
      <c r="AR962" s="8">
        <v>3843119.28</v>
      </c>
      <c r="AS962" s="37">
        <v>1055704.8662159999</v>
      </c>
      <c r="AT962" s="8" t="s">
        <v>385</v>
      </c>
      <c r="AU962" s="8" t="s">
        <v>356</v>
      </c>
      <c r="AV962" s="8">
        <v>54</v>
      </c>
      <c r="AW962" s="8">
        <v>60</v>
      </c>
      <c r="AX962" s="8" t="s">
        <v>332</v>
      </c>
      <c r="AY962" s="8" t="s">
        <v>186</v>
      </c>
      <c r="AZ962" s="8" t="s">
        <v>377</v>
      </c>
      <c r="BA962" s="21">
        <f>IF(OR(tblsales[[#This Row],[Invoice Value USD]]="",tblsales[[#This Row],[Collected Amount USD]]=""),"",tblsales[[#This Row],[Invoice Value USD]]-tblsales[[#This Row],[Collected Amount USD]])</f>
        <v>325905.08265500003</v>
      </c>
      <c r="BB962" s="21">
        <f>IF(OR(tblsales[[#This Row],[Contract Value USD]]="",tblsales[[#This Row],[Cost Estimate USD]]=""),"",tblsales[[#This Row],[Contract Value USD]]-tblsales[[#This Row],[Cost Estimate USD]])</f>
        <v>908473.42099699983</v>
      </c>
      <c r="BC962" s="21">
        <f>IF(OR(tblsales[[#This Row],[Contract Value USD]]="",tblsales[[#This Row],[Cost Estimate USD]]=""),"",tblsales[[#This Row],[Contract Value USD]]-tblsales[[#This Row],[Cost Estimate USD]])</f>
        <v>908473.42099699983</v>
      </c>
      <c r="BD962" s="23">
        <f>IF(tblsales[[#This Row],[Invoice Value USD]]="","",tblsales[[#This Row],[Collected Amount USD]]/tblsales[[#This Row],[Invoice Value USD]])</f>
        <v>0.5072357067737342</v>
      </c>
      <c r="BE962" s="11">
        <f>IF(tblsales[[#This Row],[SalesStage]]="Won",1,0)</f>
        <v>0</v>
      </c>
      <c r="BF962" s="21" t="str">
        <f>IF(tblsales[[#This Row],[Win Flag]]=1,"Won","Lost")</f>
        <v>Lost</v>
      </c>
      <c r="BG962" s="8"/>
    </row>
    <row r="963" spans="1:59" x14ac:dyDescent="0.3">
      <c r="A963" s="10" t="s">
        <v>3157</v>
      </c>
      <c r="B963" s="9">
        <v>45742</v>
      </c>
      <c r="C963" s="10" t="s">
        <v>254</v>
      </c>
      <c r="D963" s="10" t="s">
        <v>562</v>
      </c>
      <c r="E963" s="10" t="s">
        <v>332</v>
      </c>
      <c r="F963" s="10" t="s">
        <v>228</v>
      </c>
      <c r="G963" s="10" t="s">
        <v>78</v>
      </c>
      <c r="H963" s="10" t="s">
        <v>212</v>
      </c>
      <c r="I963" s="10" t="s">
        <v>332</v>
      </c>
      <c r="J963" s="10" t="s">
        <v>136</v>
      </c>
      <c r="K963" s="10" t="s">
        <v>333</v>
      </c>
      <c r="L963" s="10" t="s">
        <v>3158</v>
      </c>
      <c r="M963" s="9">
        <v>45670</v>
      </c>
      <c r="N963" s="9">
        <v>45996</v>
      </c>
      <c r="O963" s="9">
        <v>45818</v>
      </c>
      <c r="P963" s="11">
        <v>31</v>
      </c>
      <c r="Q963" s="12">
        <v>11951148</v>
      </c>
      <c r="R963">
        <v>3187371.1716</v>
      </c>
      <c r="S963" s="22">
        <v>0.23</v>
      </c>
      <c r="T963" s="22">
        <v>0.1</v>
      </c>
      <c r="U963" s="12">
        <v>10122622.359999999</v>
      </c>
      <c r="V963" s="24">
        <v>2699703.3834119998</v>
      </c>
      <c r="W963" s="8">
        <v>8973612.4100000001</v>
      </c>
      <c r="X963" s="24">
        <v>2393262.4297469999</v>
      </c>
      <c r="Y963" s="22">
        <v>0.37</v>
      </c>
      <c r="Z963" s="22">
        <v>0.1</v>
      </c>
      <c r="AA963" s="8" t="s">
        <v>3159</v>
      </c>
      <c r="AB963" s="8">
        <v>7908348.1200000001</v>
      </c>
      <c r="AC963" s="24">
        <v>2109156.4436039999</v>
      </c>
      <c r="AD963" s="8">
        <v>3641889.78</v>
      </c>
      <c r="AE963" s="24">
        <v>971292.00432599988</v>
      </c>
      <c r="AF963" s="8">
        <v>45</v>
      </c>
      <c r="AG963" s="8">
        <v>126</v>
      </c>
      <c r="AH963" s="8" t="s">
        <v>332</v>
      </c>
      <c r="AI963" s="8" t="s">
        <v>381</v>
      </c>
      <c r="AJ963" s="22">
        <v>0.28999999999999998</v>
      </c>
      <c r="AK963" s="8" t="s">
        <v>162</v>
      </c>
      <c r="AL963" s="22">
        <v>0.1</v>
      </c>
      <c r="AM963" s="22">
        <v>7.0000000000000007E-2</v>
      </c>
      <c r="AN963" s="8">
        <v>6</v>
      </c>
      <c r="AO963" s="8">
        <v>4841</v>
      </c>
      <c r="AP963" s="8">
        <v>631650.52</v>
      </c>
      <c r="AQ963" s="24">
        <v>168461.193684</v>
      </c>
      <c r="AR963" s="8">
        <v>4778887.38</v>
      </c>
      <c r="AS963" s="37">
        <v>1274529.264246</v>
      </c>
      <c r="AT963" s="8" t="s">
        <v>343</v>
      </c>
      <c r="AU963" s="8" t="s">
        <v>332</v>
      </c>
      <c r="AV963" s="8">
        <v>61.6</v>
      </c>
      <c r="AW963" s="8">
        <v>36</v>
      </c>
      <c r="AX963" s="8" t="s">
        <v>332</v>
      </c>
      <c r="AY963" s="8" t="s">
        <v>229</v>
      </c>
      <c r="AZ963" s="8" t="s">
        <v>188</v>
      </c>
      <c r="BA963" s="21">
        <f>IF(OR(tblsales[[#This Row],[Invoice Value USD]]="",tblsales[[#This Row],[Collected Amount USD]]=""),"",tblsales[[#This Row],[Invoice Value USD]]-tblsales[[#This Row],[Collected Amount USD]])</f>
        <v>1137864.439278</v>
      </c>
      <c r="BB963" s="21">
        <f>IF(OR(tblsales[[#This Row],[Contract Value USD]]="",tblsales[[#This Row],[Cost Estimate USD]]=""),"",tblsales[[#This Row],[Contract Value USD]]-tblsales[[#This Row],[Cost Estimate USD]])</f>
        <v>306440.95366499992</v>
      </c>
      <c r="BC963" s="21">
        <f>IF(OR(tblsales[[#This Row],[Contract Value USD]]="",tblsales[[#This Row],[Cost Estimate USD]]=""),"",tblsales[[#This Row],[Contract Value USD]]-tblsales[[#This Row],[Cost Estimate USD]])</f>
        <v>306440.95366499992</v>
      </c>
      <c r="BD963" s="23">
        <f>IF(tblsales[[#This Row],[Invoice Value USD]]="","",tblsales[[#This Row],[Collected Amount USD]]/tblsales[[#This Row],[Invoice Value USD]])</f>
        <v>0.46051207214686951</v>
      </c>
      <c r="BE963" s="11">
        <f>IF(tblsales[[#This Row],[SalesStage]]="Won",1,0)</f>
        <v>0</v>
      </c>
      <c r="BF963" s="21" t="str">
        <f>IF(tblsales[[#This Row],[Win Flag]]=1,"Won","Lost")</f>
        <v>Lost</v>
      </c>
      <c r="BG963" s="8"/>
    </row>
    <row r="964" spans="1:59" x14ac:dyDescent="0.3">
      <c r="A964" s="10" t="s">
        <v>3160</v>
      </c>
      <c r="B964" s="9">
        <v>45852</v>
      </c>
      <c r="C964" s="10" t="s">
        <v>284</v>
      </c>
      <c r="D964" s="10" t="s">
        <v>281</v>
      </c>
      <c r="E964" s="10" t="s">
        <v>20</v>
      </c>
      <c r="F964" s="10" t="s">
        <v>31</v>
      </c>
      <c r="G964" s="10" t="s">
        <v>16</v>
      </c>
      <c r="H964" s="10" t="s">
        <v>263</v>
      </c>
      <c r="I964" s="10" t="s">
        <v>240</v>
      </c>
      <c r="J964" s="10" t="s">
        <v>136</v>
      </c>
      <c r="K964" s="10" t="s">
        <v>333</v>
      </c>
      <c r="L964" s="10" t="s">
        <v>3161</v>
      </c>
      <c r="M964" s="9">
        <v>45823</v>
      </c>
      <c r="N964" s="9"/>
      <c r="O964" s="9">
        <v>45911</v>
      </c>
      <c r="P964" s="11"/>
      <c r="Q964" s="12">
        <v>7229859</v>
      </c>
      <c r="R964">
        <v>1968690.6057</v>
      </c>
      <c r="S964" s="22">
        <v>0.33</v>
      </c>
      <c r="T964" s="22">
        <v>-0.01</v>
      </c>
      <c r="U964" s="12">
        <v>4795565.47</v>
      </c>
      <c r="V964" s="24">
        <v>1305832.4774809999</v>
      </c>
      <c r="W964" s="8">
        <v>3795298.96</v>
      </c>
      <c r="X964" s="24">
        <v>1033459.9068079999</v>
      </c>
      <c r="Y964" s="22">
        <v>0.19</v>
      </c>
      <c r="Z964" s="22">
        <v>0.12</v>
      </c>
      <c r="AA964" s="8" t="s">
        <v>3162</v>
      </c>
      <c r="AB964" s="8">
        <v>4067815.51</v>
      </c>
      <c r="AC964" s="24">
        <v>1107666.163373</v>
      </c>
      <c r="AD964" s="8">
        <v>4104116.13</v>
      </c>
      <c r="AE964" s="24">
        <v>1117550.8221989998</v>
      </c>
      <c r="AF964" s="8">
        <v>30</v>
      </c>
      <c r="AG964" s="8">
        <v>40</v>
      </c>
      <c r="AH964" s="8" t="s">
        <v>347</v>
      </c>
      <c r="AI964" s="8" t="s">
        <v>226</v>
      </c>
      <c r="AJ964" s="22">
        <v>0.75</v>
      </c>
      <c r="AK964" s="8" t="s">
        <v>153</v>
      </c>
      <c r="AL964" s="22">
        <v>0.05</v>
      </c>
      <c r="AM964" s="22">
        <v>0.05</v>
      </c>
      <c r="AN964" s="8">
        <v>12</v>
      </c>
      <c r="AO964" s="8">
        <v>2443</v>
      </c>
      <c r="AP964" s="8">
        <v>763050.84</v>
      </c>
      <c r="AQ964" s="24">
        <v>207778.74373199997</v>
      </c>
      <c r="AR964" s="8">
        <v>1454192.02</v>
      </c>
      <c r="AS964" s="37">
        <v>395976.48704599997</v>
      </c>
      <c r="AT964" s="8" t="s">
        <v>391</v>
      </c>
      <c r="AU964" s="8" t="s">
        <v>386</v>
      </c>
      <c r="AV964" s="8">
        <v>68.400000000000006</v>
      </c>
      <c r="AW964" s="8">
        <v>48</v>
      </c>
      <c r="AX964" s="8" t="s">
        <v>332</v>
      </c>
      <c r="AY964" s="8" t="s">
        <v>206</v>
      </c>
      <c r="AZ964" s="8" t="s">
        <v>377</v>
      </c>
      <c r="BA964" s="21">
        <f>IF(OR(tblsales[[#This Row],[Invoice Value USD]]="",tblsales[[#This Row],[Collected Amount USD]]=""),"",tblsales[[#This Row],[Invoice Value USD]]-tblsales[[#This Row],[Collected Amount USD]])</f>
        <v>-9884.6588259998243</v>
      </c>
      <c r="BB964" s="21">
        <f>IF(OR(tblsales[[#This Row],[Contract Value USD]]="",tblsales[[#This Row],[Cost Estimate USD]]=""),"",tblsales[[#This Row],[Contract Value USD]]-tblsales[[#This Row],[Cost Estimate USD]])</f>
        <v>272372.57067299995</v>
      </c>
      <c r="BC964" s="21">
        <f>IF(OR(tblsales[[#This Row],[Contract Value USD]]="",tblsales[[#This Row],[Cost Estimate USD]]=""),"",tblsales[[#This Row],[Contract Value USD]]-tblsales[[#This Row],[Cost Estimate USD]])</f>
        <v>272372.57067299995</v>
      </c>
      <c r="BD964" s="23">
        <f>IF(tblsales[[#This Row],[Invoice Value USD]]="","",tblsales[[#This Row],[Collected Amount USD]]/tblsales[[#This Row],[Invoice Value USD]])</f>
        <v>1.0089238609545494</v>
      </c>
      <c r="BE964" s="11">
        <f>IF(tblsales[[#This Row],[SalesStage]]="Won",1,0)</f>
        <v>0</v>
      </c>
      <c r="BF964" s="21" t="str">
        <f>IF(tblsales[[#This Row],[Win Flag]]=1,"Won","Lost")</f>
        <v>Lost</v>
      </c>
      <c r="BG964" s="8"/>
    </row>
    <row r="965" spans="1:59" x14ac:dyDescent="0.3">
      <c r="A965" s="10" t="s">
        <v>3163</v>
      </c>
      <c r="B965" s="9">
        <v>45684</v>
      </c>
      <c r="C965" s="10" t="s">
        <v>230</v>
      </c>
      <c r="D965" s="10" t="s">
        <v>265</v>
      </c>
      <c r="E965" s="10" t="s">
        <v>41</v>
      </c>
      <c r="F965" s="10" t="s">
        <v>363</v>
      </c>
      <c r="G965" s="10" t="s">
        <v>38</v>
      </c>
      <c r="H965" s="10" t="s">
        <v>263</v>
      </c>
      <c r="I965" s="10" t="s">
        <v>198</v>
      </c>
      <c r="J965" s="10" t="s">
        <v>105</v>
      </c>
      <c r="K965" s="10" t="s">
        <v>184</v>
      </c>
      <c r="L965" s="10" t="s">
        <v>3164</v>
      </c>
      <c r="M965" s="9">
        <v>45650</v>
      </c>
      <c r="N965" s="9"/>
      <c r="O965" s="9"/>
      <c r="P965" s="11">
        <v>31</v>
      </c>
      <c r="Q965" s="12">
        <v>15973412</v>
      </c>
      <c r="R965">
        <v>18545131.332000002</v>
      </c>
      <c r="S965" s="22">
        <v>0.02</v>
      </c>
      <c r="T965" s="22">
        <v>-0.01</v>
      </c>
      <c r="U965" s="12">
        <v>15497404.32</v>
      </c>
      <c r="V965" s="24">
        <v>17992486.415520001</v>
      </c>
      <c r="W965" s="8">
        <v>9806752.7300000004</v>
      </c>
      <c r="X965" s="24">
        <v>11385639.919530001</v>
      </c>
      <c r="Y965" s="22">
        <v>0.25</v>
      </c>
      <c r="Z965" s="22">
        <v>0.17</v>
      </c>
      <c r="AA965" s="8" t="s">
        <v>3165</v>
      </c>
      <c r="AB965" s="8">
        <v>4547119.1900000004</v>
      </c>
      <c r="AC965" s="24">
        <v>5279205.379590001</v>
      </c>
      <c r="AD965" s="8">
        <v>4096960.88</v>
      </c>
      <c r="AE965" s="24">
        <v>4756571.5816799998</v>
      </c>
      <c r="AF965" s="8">
        <v>45</v>
      </c>
      <c r="AG965" s="8">
        <v>57</v>
      </c>
      <c r="AH965" s="8" t="s">
        <v>342</v>
      </c>
      <c r="AI965" s="8" t="s">
        <v>226</v>
      </c>
      <c r="AJ965" s="22">
        <v>0.68</v>
      </c>
      <c r="AK965" s="8" t="s">
        <v>159</v>
      </c>
      <c r="AL965" s="22">
        <v>0.15</v>
      </c>
      <c r="AM965" s="22">
        <v>0.01</v>
      </c>
      <c r="AN965" s="8">
        <v>0</v>
      </c>
      <c r="AO965" s="8">
        <v>4478</v>
      </c>
      <c r="AP965" s="8">
        <v>2507200.44</v>
      </c>
      <c r="AQ965" s="24">
        <v>2910859.7108399998</v>
      </c>
      <c r="AR965" s="8">
        <v>3812237.82</v>
      </c>
      <c r="AS965" s="37">
        <v>4426008.1090200003</v>
      </c>
      <c r="AT965" s="8" t="s">
        <v>332</v>
      </c>
      <c r="AU965" s="8" t="s">
        <v>321</v>
      </c>
      <c r="AV965" s="8">
        <v>63.5</v>
      </c>
      <c r="AW965" s="8">
        <v>60</v>
      </c>
      <c r="AX965" s="8" t="s">
        <v>332</v>
      </c>
      <c r="AY965" s="8" t="s">
        <v>229</v>
      </c>
      <c r="AZ965" s="8" t="s">
        <v>324</v>
      </c>
      <c r="BA965" s="21">
        <f>IF(OR(tblsales[[#This Row],[Invoice Value USD]]="",tblsales[[#This Row],[Collected Amount USD]]=""),"",tblsales[[#This Row],[Invoice Value USD]]-tblsales[[#This Row],[Collected Amount USD]])</f>
        <v>522633.79791000113</v>
      </c>
      <c r="BB965" s="21">
        <f>IF(OR(tblsales[[#This Row],[Contract Value USD]]="",tblsales[[#This Row],[Cost Estimate USD]]=""),"",tblsales[[#This Row],[Contract Value USD]]-tblsales[[#This Row],[Cost Estimate USD]])</f>
        <v>6606846.4959900007</v>
      </c>
      <c r="BC965" s="21">
        <f>IF(OR(tblsales[[#This Row],[Contract Value USD]]="",tblsales[[#This Row],[Cost Estimate USD]]=""),"",tblsales[[#This Row],[Contract Value USD]]-tblsales[[#This Row],[Cost Estimate USD]])</f>
        <v>6606846.4959900007</v>
      </c>
      <c r="BD965" s="23">
        <f>IF(tblsales[[#This Row],[Invoice Value USD]]="","",tblsales[[#This Row],[Collected Amount USD]]/tblsales[[#This Row],[Invoice Value USD]])</f>
        <v>0.90100142723551502</v>
      </c>
      <c r="BE965" s="11">
        <f>IF(tblsales[[#This Row],[SalesStage]]="Won",1,0)</f>
        <v>0</v>
      </c>
      <c r="BF965" s="21" t="str">
        <f>IF(tblsales[[#This Row],[Win Flag]]=1,"Won","Lost")</f>
        <v>Lost</v>
      </c>
      <c r="BG965" s="8"/>
    </row>
    <row r="966" spans="1:59" x14ac:dyDescent="0.3">
      <c r="A966" s="10" t="s">
        <v>3166</v>
      </c>
      <c r="B966" s="9">
        <v>45926</v>
      </c>
      <c r="C966" s="10" t="s">
        <v>268</v>
      </c>
      <c r="D966" s="10" t="s">
        <v>274</v>
      </c>
      <c r="E966" s="10" t="s">
        <v>36</v>
      </c>
      <c r="F966" s="10" t="s">
        <v>19</v>
      </c>
      <c r="G966" s="10" t="s">
        <v>38</v>
      </c>
      <c r="H966" s="10" t="s">
        <v>182</v>
      </c>
      <c r="I966" s="10" t="s">
        <v>332</v>
      </c>
      <c r="J966" s="10" t="s">
        <v>115</v>
      </c>
      <c r="K966" s="10" t="s">
        <v>326</v>
      </c>
      <c r="L966" s="10" t="s">
        <v>3167</v>
      </c>
      <c r="M966" s="9">
        <v>45855</v>
      </c>
      <c r="N966" s="9">
        <v>45950</v>
      </c>
      <c r="O966" s="9">
        <v>45988</v>
      </c>
      <c r="P966" s="11">
        <v>40</v>
      </c>
      <c r="Q966" s="12">
        <v>2816845</v>
      </c>
      <c r="R966">
        <v>3270357.0449999999</v>
      </c>
      <c r="S966" s="22">
        <v>0.22</v>
      </c>
      <c r="T966" s="22">
        <v>-0.01</v>
      </c>
      <c r="U966" s="12">
        <v>2175167.71</v>
      </c>
      <c r="V966" s="24">
        <v>2525369.7113100002</v>
      </c>
      <c r="W966" s="8">
        <v>1661202.63</v>
      </c>
      <c r="X966" s="24">
        <v>1928656.2534299998</v>
      </c>
      <c r="Y966" s="22">
        <v>0.09</v>
      </c>
      <c r="Z966" s="22">
        <v>0.09</v>
      </c>
      <c r="AA966" s="8"/>
      <c r="AB966" s="8">
        <v>1073768.29</v>
      </c>
      <c r="AC966" s="24">
        <v>1246644.9846900001</v>
      </c>
      <c r="AD966" s="8">
        <v>1080251.3</v>
      </c>
      <c r="AE966" s="24">
        <v>1254171.7593</v>
      </c>
      <c r="AF966" s="8">
        <v>120</v>
      </c>
      <c r="AG966" s="8">
        <v>139</v>
      </c>
      <c r="AH966" s="8" t="s">
        <v>329</v>
      </c>
      <c r="AI966" s="8" t="s">
        <v>226</v>
      </c>
      <c r="AJ966" s="22">
        <v>0.42</v>
      </c>
      <c r="AK966" s="8" t="s">
        <v>159</v>
      </c>
      <c r="AL966" s="22">
        <v>0.15</v>
      </c>
      <c r="AM966" s="22">
        <v>0.02</v>
      </c>
      <c r="AN966" s="8">
        <v>1</v>
      </c>
      <c r="AO966" s="8">
        <v>849</v>
      </c>
      <c r="AP966" s="8">
        <v>417165.52</v>
      </c>
      <c r="AQ966" s="24">
        <v>484329.16872000002</v>
      </c>
      <c r="AR966" s="8">
        <v>335473.13</v>
      </c>
      <c r="AS966" s="37">
        <v>389484.30392999999</v>
      </c>
      <c r="AT966" s="8" t="s">
        <v>391</v>
      </c>
      <c r="AU966" s="8" t="s">
        <v>322</v>
      </c>
      <c r="AV966" s="8">
        <v>98.6</v>
      </c>
      <c r="AW966" s="8">
        <v>24</v>
      </c>
      <c r="AX966" s="8" t="s">
        <v>392</v>
      </c>
      <c r="AY966" s="8" t="s">
        <v>224</v>
      </c>
      <c r="AZ966" s="8" t="s">
        <v>188</v>
      </c>
      <c r="BA966" s="21">
        <f>IF(OR(tblsales[[#This Row],[Invoice Value USD]]="",tblsales[[#This Row],[Collected Amount USD]]=""),"",tblsales[[#This Row],[Invoice Value USD]]-tblsales[[#This Row],[Collected Amount USD]])</f>
        <v>-7526.774609999964</v>
      </c>
      <c r="BB966" s="21">
        <f>IF(OR(tblsales[[#This Row],[Contract Value USD]]="",tblsales[[#This Row],[Cost Estimate USD]]=""),"",tblsales[[#This Row],[Contract Value USD]]-tblsales[[#This Row],[Cost Estimate USD]])</f>
        <v>596713.45788000035</v>
      </c>
      <c r="BC966" s="21">
        <f>IF(OR(tblsales[[#This Row],[Contract Value USD]]="",tblsales[[#This Row],[Cost Estimate USD]]=""),"",tblsales[[#This Row],[Contract Value USD]]-tblsales[[#This Row],[Cost Estimate USD]])</f>
        <v>596713.45788000035</v>
      </c>
      <c r="BD966" s="23">
        <f>IF(tblsales[[#This Row],[Invoice Value USD]]="","",tblsales[[#This Row],[Collected Amount USD]]/tblsales[[#This Row],[Invoice Value USD]])</f>
        <v>1.0060376247467691</v>
      </c>
      <c r="BE966" s="11">
        <f>IF(tblsales[[#This Row],[SalesStage]]="Won",1,0)</f>
        <v>0</v>
      </c>
      <c r="BF966" s="21" t="str">
        <f>IF(tblsales[[#This Row],[Win Flag]]=1,"Won","Lost")</f>
        <v>Lost</v>
      </c>
      <c r="BG966" s="8"/>
    </row>
    <row r="967" spans="1:59" x14ac:dyDescent="0.3">
      <c r="A967" s="10" t="s">
        <v>3168</v>
      </c>
      <c r="B967" s="9">
        <v>45906</v>
      </c>
      <c r="C967" s="10" t="s">
        <v>268</v>
      </c>
      <c r="D967" s="10" t="s">
        <v>274</v>
      </c>
      <c r="E967" s="10" t="s">
        <v>20</v>
      </c>
      <c r="F967" s="10" t="s">
        <v>31</v>
      </c>
      <c r="G967" s="10" t="s">
        <v>23</v>
      </c>
      <c r="H967" s="10" t="s">
        <v>332</v>
      </c>
      <c r="I967" s="10" t="s">
        <v>240</v>
      </c>
      <c r="J967" s="10" t="s">
        <v>136</v>
      </c>
      <c r="K967" s="10" t="s">
        <v>333</v>
      </c>
      <c r="L967" s="10" t="s">
        <v>3169</v>
      </c>
      <c r="M967" s="9">
        <v>45695</v>
      </c>
      <c r="N967" s="9"/>
      <c r="O967" s="9">
        <v>46082</v>
      </c>
      <c r="P967" s="11">
        <v>25</v>
      </c>
      <c r="Q967" s="12">
        <v>46592086</v>
      </c>
      <c r="R967">
        <v>12426109.336199999</v>
      </c>
      <c r="S967" s="22">
        <v>0.32</v>
      </c>
      <c r="T967" s="22">
        <v>0.04</v>
      </c>
      <c r="U967" s="12">
        <v>32949923.219999999</v>
      </c>
      <c r="V967" s="24">
        <v>8787744.5227739997</v>
      </c>
      <c r="W967" s="8">
        <v>28912103.789999999</v>
      </c>
      <c r="X967" s="24">
        <v>7710858.0807929998</v>
      </c>
      <c r="Y967" s="22">
        <v>0.37</v>
      </c>
      <c r="Z967" s="22">
        <v>0.1</v>
      </c>
      <c r="AA967" s="8" t="s">
        <v>3170</v>
      </c>
      <c r="AB967" s="8">
        <v>4858238.92</v>
      </c>
      <c r="AC967" s="24">
        <v>1295692.319964</v>
      </c>
      <c r="AD967" s="8">
        <v>2793845.06</v>
      </c>
      <c r="AE967" s="24">
        <v>745118.47750200005</v>
      </c>
      <c r="AF967" s="8">
        <v>45</v>
      </c>
      <c r="AG967" s="8">
        <v>125</v>
      </c>
      <c r="AH967" s="8" t="s">
        <v>347</v>
      </c>
      <c r="AI967" s="8" t="s">
        <v>320</v>
      </c>
      <c r="AJ967" s="22">
        <v>0.78</v>
      </c>
      <c r="AK967" s="8" t="s">
        <v>162</v>
      </c>
      <c r="AL967" s="22">
        <v>0.15</v>
      </c>
      <c r="AM967" s="22">
        <v>0.1</v>
      </c>
      <c r="AN967" s="8">
        <v>4</v>
      </c>
      <c r="AO967" s="8">
        <v>1912</v>
      </c>
      <c r="AP967" s="8">
        <v>5560265.3700000001</v>
      </c>
      <c r="AQ967" s="24">
        <v>1482922.7741789999</v>
      </c>
      <c r="AR967" s="8">
        <v>13592412.060000001</v>
      </c>
      <c r="AS967" s="37">
        <v>3625096.2964019999</v>
      </c>
      <c r="AT967" s="8" t="s">
        <v>391</v>
      </c>
      <c r="AU967" s="8" t="s">
        <v>330</v>
      </c>
      <c r="AV967" s="8">
        <v>88</v>
      </c>
      <c r="AW967" s="8">
        <v>48</v>
      </c>
      <c r="AX967" s="8" t="s">
        <v>387</v>
      </c>
      <c r="AY967" s="8" t="s">
        <v>224</v>
      </c>
      <c r="AZ967" s="8" t="s">
        <v>332</v>
      </c>
      <c r="BA967" s="21">
        <f>IF(OR(tblsales[[#This Row],[Invoice Value USD]]="",tblsales[[#This Row],[Collected Amount USD]]=""),"",tblsales[[#This Row],[Invoice Value USD]]-tblsales[[#This Row],[Collected Amount USD]])</f>
        <v>550573.84246199997</v>
      </c>
      <c r="BB967" s="21">
        <f>IF(OR(tblsales[[#This Row],[Contract Value USD]]="",tblsales[[#This Row],[Cost Estimate USD]]=""),"",tblsales[[#This Row],[Contract Value USD]]-tblsales[[#This Row],[Cost Estimate USD]])</f>
        <v>1076886.4419809999</v>
      </c>
      <c r="BC967" s="21">
        <f>IF(OR(tblsales[[#This Row],[Contract Value USD]]="",tblsales[[#This Row],[Cost Estimate USD]]=""),"",tblsales[[#This Row],[Contract Value USD]]-tblsales[[#This Row],[Cost Estimate USD]])</f>
        <v>1076886.4419809999</v>
      </c>
      <c r="BD967" s="23">
        <f>IF(tblsales[[#This Row],[Invoice Value USD]]="","",tblsales[[#This Row],[Collected Amount USD]]/tblsales[[#This Row],[Invoice Value USD]])</f>
        <v>0.57507362359198266</v>
      </c>
      <c r="BE967" s="11">
        <f>IF(tblsales[[#This Row],[SalesStage]]="Won",1,0)</f>
        <v>1</v>
      </c>
      <c r="BF967" s="21" t="str">
        <f>IF(tblsales[[#This Row],[Win Flag]]=1,"Won","Lost")</f>
        <v>Won</v>
      </c>
      <c r="BG967" s="8"/>
    </row>
    <row r="968" spans="1:59" x14ac:dyDescent="0.3">
      <c r="A968" s="10" t="s">
        <v>3171</v>
      </c>
      <c r="B968" s="9">
        <v>45947</v>
      </c>
      <c r="C968" s="10" t="s">
        <v>267</v>
      </c>
      <c r="D968" s="10" t="s">
        <v>255</v>
      </c>
      <c r="E968" s="10" t="s">
        <v>41</v>
      </c>
      <c r="F968" s="10" t="s">
        <v>350</v>
      </c>
      <c r="G968" s="10" t="s">
        <v>16</v>
      </c>
      <c r="H968" s="10" t="s">
        <v>182</v>
      </c>
      <c r="I968" s="10" t="s">
        <v>246</v>
      </c>
      <c r="J968" s="10" t="s">
        <v>130</v>
      </c>
      <c r="K968" s="10" t="s">
        <v>333</v>
      </c>
      <c r="L968" s="10" t="s">
        <v>3172</v>
      </c>
      <c r="M968" s="9">
        <v>45931</v>
      </c>
      <c r="N968" s="9">
        <v>45958</v>
      </c>
      <c r="O968" s="9"/>
      <c r="P968" s="11">
        <v>42</v>
      </c>
      <c r="Q968" s="12">
        <v>6465315</v>
      </c>
      <c r="R968">
        <v>6465315</v>
      </c>
      <c r="S968" s="22">
        <v>0.27</v>
      </c>
      <c r="T968" s="22">
        <v>7.0000000000000007E-2</v>
      </c>
      <c r="U968" s="12">
        <v>5050057.55</v>
      </c>
      <c r="V968" s="24">
        <v>5050057.55</v>
      </c>
      <c r="W968" s="8">
        <v>3976897.7</v>
      </c>
      <c r="X968" s="24">
        <v>3976897.7</v>
      </c>
      <c r="Y968" s="22">
        <v>0.22</v>
      </c>
      <c r="Z968" s="22">
        <v>0.18</v>
      </c>
      <c r="AA968" s="8" t="s">
        <v>3173</v>
      </c>
      <c r="AB968" s="8">
        <v>1081111.32</v>
      </c>
      <c r="AC968" s="24">
        <v>1081111.32</v>
      </c>
      <c r="AD968" s="8">
        <v>989023.19</v>
      </c>
      <c r="AE968" s="24">
        <v>989023.19</v>
      </c>
      <c r="AF968" s="8">
        <v>60</v>
      </c>
      <c r="AG968" s="8">
        <v>62</v>
      </c>
      <c r="AH968" s="8" t="s">
        <v>353</v>
      </c>
      <c r="AI968" s="8" t="s">
        <v>226</v>
      </c>
      <c r="AJ968" s="22">
        <v>0.76</v>
      </c>
      <c r="AK968" s="8" t="s">
        <v>152</v>
      </c>
      <c r="AL968" s="22">
        <v>0.15</v>
      </c>
      <c r="AM968" s="22">
        <v>0.01</v>
      </c>
      <c r="AN968" s="8">
        <v>2</v>
      </c>
      <c r="AO968" s="8">
        <v>2329</v>
      </c>
      <c r="AP968" s="8">
        <v>1201186.8999999999</v>
      </c>
      <c r="AQ968" s="24">
        <v>1201186.8999999999</v>
      </c>
      <c r="AR968" s="8">
        <v>2350591.83</v>
      </c>
      <c r="AS968" s="37">
        <v>2350591.83</v>
      </c>
      <c r="AT968" s="8" t="s">
        <v>385</v>
      </c>
      <c r="AU968" s="8" t="s">
        <v>356</v>
      </c>
      <c r="AV968" s="8">
        <v>68.5</v>
      </c>
      <c r="AW968" s="8">
        <v>24</v>
      </c>
      <c r="AX968" s="8" t="s">
        <v>332</v>
      </c>
      <c r="AY968" s="8" t="s">
        <v>192</v>
      </c>
      <c r="AZ968" s="8" t="s">
        <v>188</v>
      </c>
      <c r="BA968" s="21">
        <f>IF(OR(tblsales[[#This Row],[Invoice Value USD]]="",tblsales[[#This Row],[Collected Amount USD]]=""),"",tblsales[[#This Row],[Invoice Value USD]]-tblsales[[#This Row],[Collected Amount USD]])</f>
        <v>92088.130000000121</v>
      </c>
      <c r="BB968" s="21">
        <f>IF(OR(tblsales[[#This Row],[Contract Value USD]]="",tblsales[[#This Row],[Cost Estimate USD]]=""),"",tblsales[[#This Row],[Contract Value USD]]-tblsales[[#This Row],[Cost Estimate USD]])</f>
        <v>1073159.8499999996</v>
      </c>
      <c r="BC968" s="21">
        <f>IF(OR(tblsales[[#This Row],[Contract Value USD]]="",tblsales[[#This Row],[Cost Estimate USD]]=""),"",tblsales[[#This Row],[Contract Value USD]]-tblsales[[#This Row],[Cost Estimate USD]])</f>
        <v>1073159.8499999996</v>
      </c>
      <c r="BD968" s="23">
        <f>IF(tblsales[[#This Row],[Invoice Value USD]]="","",tblsales[[#This Row],[Collected Amount USD]]/tblsales[[#This Row],[Invoice Value USD]])</f>
        <v>0.91482086229566062</v>
      </c>
      <c r="BE968" s="11">
        <f>IF(tblsales[[#This Row],[SalesStage]]="Won",1,0)</f>
        <v>0</v>
      </c>
      <c r="BF968" s="21" t="str">
        <f>IF(tblsales[[#This Row],[Win Flag]]=1,"Won","Lost")</f>
        <v>Lost</v>
      </c>
      <c r="BG968" s="8"/>
    </row>
    <row r="969" spans="1:59" x14ac:dyDescent="0.3">
      <c r="A969" s="10" t="s">
        <v>3174</v>
      </c>
      <c r="B969" s="9">
        <v>45891</v>
      </c>
      <c r="C969" s="10" t="s">
        <v>219</v>
      </c>
      <c r="D969" s="10" t="s">
        <v>262</v>
      </c>
      <c r="E969" s="10" t="s">
        <v>52</v>
      </c>
      <c r="F969" s="10" t="s">
        <v>75</v>
      </c>
      <c r="G969" s="10" t="s">
        <v>50</v>
      </c>
      <c r="H969" s="10" t="s">
        <v>263</v>
      </c>
      <c r="I969" s="10" t="s">
        <v>198</v>
      </c>
      <c r="J969" s="10" t="s">
        <v>119</v>
      </c>
      <c r="K969" s="10" t="s">
        <v>184</v>
      </c>
      <c r="L969" s="10" t="s">
        <v>3175</v>
      </c>
      <c r="M969" s="9">
        <v>45753</v>
      </c>
      <c r="N969" s="9">
        <v>45940</v>
      </c>
      <c r="O969" s="9">
        <v>45820</v>
      </c>
      <c r="P969" s="11">
        <v>7</v>
      </c>
      <c r="Q969" s="12">
        <v>21125285</v>
      </c>
      <c r="R969">
        <v>24526455.885000002</v>
      </c>
      <c r="S969" s="22">
        <v>0.02</v>
      </c>
      <c r="T969" s="22">
        <v>0.18</v>
      </c>
      <c r="U969" s="12">
        <v>24429279.57</v>
      </c>
      <c r="V969" s="24">
        <v>28362393.580770001</v>
      </c>
      <c r="W969" s="8">
        <v>15261886.710000001</v>
      </c>
      <c r="X969" s="24">
        <v>17719050.470310003</v>
      </c>
      <c r="Y969" s="22">
        <v>0.19</v>
      </c>
      <c r="Z969" s="22">
        <v>0.1</v>
      </c>
      <c r="AA969" s="8" t="s">
        <v>3176</v>
      </c>
      <c r="AB969" s="8">
        <v>12809403.779999999</v>
      </c>
      <c r="AC969" s="24">
        <v>14871717.78858</v>
      </c>
      <c r="AD969" s="8">
        <v>8447605.1199999992</v>
      </c>
      <c r="AE969" s="24">
        <v>9807669.5443199985</v>
      </c>
      <c r="AF969" s="8">
        <v>120</v>
      </c>
      <c r="AG969" s="8">
        <v>67</v>
      </c>
      <c r="AH969" s="8" t="s">
        <v>376</v>
      </c>
      <c r="AI969" s="8" t="s">
        <v>226</v>
      </c>
      <c r="AJ969" s="22">
        <v>0.17</v>
      </c>
      <c r="AK969" s="8" t="s">
        <v>159</v>
      </c>
      <c r="AL969" s="22">
        <v>0.05</v>
      </c>
      <c r="AM969" s="22">
        <v>7.0000000000000007E-2</v>
      </c>
      <c r="AN969" s="8">
        <v>12</v>
      </c>
      <c r="AO969" s="8"/>
      <c r="AP969" s="8">
        <v>2673000.9</v>
      </c>
      <c r="AQ969" s="24">
        <v>3103354.0449000001</v>
      </c>
      <c r="AR969" s="8">
        <v>5615140.7300000004</v>
      </c>
      <c r="AS969" s="37">
        <v>6519178.3875300009</v>
      </c>
      <c r="AT969" s="8" t="s">
        <v>321</v>
      </c>
      <c r="AU969" s="8" t="s">
        <v>356</v>
      </c>
      <c r="AV969" s="8">
        <v>55.6</v>
      </c>
      <c r="AW969" s="8">
        <v>12</v>
      </c>
      <c r="AX969" s="8" t="s">
        <v>387</v>
      </c>
      <c r="AY969" s="8" t="s">
        <v>186</v>
      </c>
      <c r="AZ969" s="8" t="s">
        <v>357</v>
      </c>
      <c r="BA969" s="21">
        <f>IF(OR(tblsales[[#This Row],[Invoice Value USD]]="",tblsales[[#This Row],[Collected Amount USD]]=""),"",tblsales[[#This Row],[Invoice Value USD]]-tblsales[[#This Row],[Collected Amount USD]])</f>
        <v>5064048.2442600019</v>
      </c>
      <c r="BB969" s="21">
        <f>IF(OR(tblsales[[#This Row],[Contract Value USD]]="",tblsales[[#This Row],[Cost Estimate USD]]=""),"",tblsales[[#This Row],[Contract Value USD]]-tblsales[[#This Row],[Cost Estimate USD]])</f>
        <v>10643343.110459998</v>
      </c>
      <c r="BC969" s="21">
        <f>IF(OR(tblsales[[#This Row],[Contract Value USD]]="",tblsales[[#This Row],[Cost Estimate USD]]=""),"",tblsales[[#This Row],[Contract Value USD]]-tblsales[[#This Row],[Cost Estimate USD]])</f>
        <v>10643343.110459998</v>
      </c>
      <c r="BD969" s="23">
        <f>IF(tblsales[[#This Row],[Invoice Value USD]]="","",tblsales[[#This Row],[Collected Amount USD]]/tblsales[[#This Row],[Invoice Value USD]])</f>
        <v>0.6594846462088807</v>
      </c>
      <c r="BE969" s="11">
        <f>IF(tblsales[[#This Row],[SalesStage]]="Won",1,0)</f>
        <v>0</v>
      </c>
      <c r="BF969" s="21" t="str">
        <f>IF(tblsales[[#This Row],[Win Flag]]=1,"Won","Lost")</f>
        <v>Lost</v>
      </c>
      <c r="BG969" s="8"/>
    </row>
    <row r="970" spans="1:59" x14ac:dyDescent="0.3">
      <c r="A970" s="10" t="s">
        <v>3177</v>
      </c>
      <c r="B970" s="9">
        <v>45806</v>
      </c>
      <c r="C970" s="10" t="s">
        <v>266</v>
      </c>
      <c r="D970" s="10" t="s">
        <v>209</v>
      </c>
      <c r="E970" s="10" t="s">
        <v>41</v>
      </c>
      <c r="F970" s="10" t="s">
        <v>363</v>
      </c>
      <c r="G970" s="10" t="s">
        <v>16</v>
      </c>
      <c r="H970" s="10" t="s">
        <v>212</v>
      </c>
      <c r="I970" s="10" t="s">
        <v>183</v>
      </c>
      <c r="J970" s="10" t="s">
        <v>105</v>
      </c>
      <c r="K970" s="10" t="s">
        <v>326</v>
      </c>
      <c r="L970" s="10" t="s">
        <v>3178</v>
      </c>
      <c r="M970" s="9">
        <v>45741</v>
      </c>
      <c r="N970" s="9">
        <v>45807</v>
      </c>
      <c r="O970" s="9">
        <v>45898</v>
      </c>
      <c r="P970" s="11">
        <v>20</v>
      </c>
      <c r="Q970" s="12">
        <v>15622860</v>
      </c>
      <c r="R970">
        <v>18138140.460000001</v>
      </c>
      <c r="S970" s="22">
        <v>0.18</v>
      </c>
      <c r="T970" s="22">
        <v>0</v>
      </c>
      <c r="U970" s="12">
        <v>12810745.199999999</v>
      </c>
      <c r="V970" s="24">
        <v>14873275.177199999</v>
      </c>
      <c r="W970" s="8">
        <v>10028510.07</v>
      </c>
      <c r="X970" s="24">
        <v>11643100.191270001</v>
      </c>
      <c r="Y970" s="22">
        <v>0.22</v>
      </c>
      <c r="Z970" s="22">
        <v>0.06</v>
      </c>
      <c r="AA970" s="8" t="s">
        <v>3179</v>
      </c>
      <c r="AB970" s="8">
        <v>6532760.8200000003</v>
      </c>
      <c r="AC970" s="24">
        <v>7584535.312020001</v>
      </c>
      <c r="AD970" s="8">
        <v>6576426.0199999996</v>
      </c>
      <c r="AE970" s="24">
        <v>7635230.60922</v>
      </c>
      <c r="AF970" s="8">
        <v>120</v>
      </c>
      <c r="AG970" s="8">
        <v>66</v>
      </c>
      <c r="AH970" s="8" t="s">
        <v>376</v>
      </c>
      <c r="AI970" s="8" t="s">
        <v>455</v>
      </c>
      <c r="AJ970" s="22">
        <v>0.08</v>
      </c>
      <c r="AK970" s="8" t="s">
        <v>159</v>
      </c>
      <c r="AL970" s="22">
        <v>0.05</v>
      </c>
      <c r="AM970" s="22">
        <v>0.09</v>
      </c>
      <c r="AN970" s="8">
        <v>11</v>
      </c>
      <c r="AO970" s="8">
        <v>843</v>
      </c>
      <c r="AP970" s="8">
        <v>2425644.6800000002</v>
      </c>
      <c r="AQ970" s="24">
        <v>2816173.4734800002</v>
      </c>
      <c r="AR970" s="8">
        <v>4430986.9400000004</v>
      </c>
      <c r="AS970" s="37">
        <v>5144375.837340001</v>
      </c>
      <c r="AT970" s="8" t="s">
        <v>73</v>
      </c>
      <c r="AU970" s="8" t="s">
        <v>330</v>
      </c>
      <c r="AV970" s="8">
        <v>94.5</v>
      </c>
      <c r="AW970" s="8">
        <v>12</v>
      </c>
      <c r="AX970" s="8" t="s">
        <v>323</v>
      </c>
      <c r="AY970" s="8" t="s">
        <v>206</v>
      </c>
      <c r="AZ970" s="8" t="s">
        <v>324</v>
      </c>
      <c r="BA970" s="21">
        <f>IF(OR(tblsales[[#This Row],[Invoice Value USD]]="",tblsales[[#This Row],[Collected Amount USD]]=""),"",tblsales[[#This Row],[Invoice Value USD]]-tblsales[[#This Row],[Collected Amount USD]])</f>
        <v>-50695.297199998982</v>
      </c>
      <c r="BB970" s="21">
        <f>IF(OR(tblsales[[#This Row],[Contract Value USD]]="",tblsales[[#This Row],[Cost Estimate USD]]=""),"",tblsales[[#This Row],[Contract Value USD]]-tblsales[[#This Row],[Cost Estimate USD]])</f>
        <v>3230174.9859299976</v>
      </c>
      <c r="BC970" s="21">
        <f>IF(OR(tblsales[[#This Row],[Contract Value USD]]="",tblsales[[#This Row],[Cost Estimate USD]]=""),"",tblsales[[#This Row],[Contract Value USD]]-tblsales[[#This Row],[Cost Estimate USD]])</f>
        <v>3230174.9859299976</v>
      </c>
      <c r="BD970" s="23">
        <f>IF(tblsales[[#This Row],[Invoice Value USD]]="","",tblsales[[#This Row],[Collected Amount USD]]/tblsales[[#This Row],[Invoice Value USD]])</f>
        <v>1.0066840346988242</v>
      </c>
      <c r="BE970" s="11">
        <f>IF(tblsales[[#This Row],[SalesStage]]="Won",1,0)</f>
        <v>0</v>
      </c>
      <c r="BF970" s="21" t="str">
        <f>IF(tblsales[[#This Row],[Win Flag]]=1,"Won","Lost")</f>
        <v>Lost</v>
      </c>
      <c r="BG970" s="8"/>
    </row>
    <row r="971" spans="1:59" x14ac:dyDescent="0.3">
      <c r="A971" s="10" t="s">
        <v>3180</v>
      </c>
      <c r="B971" s="9">
        <v>46143</v>
      </c>
      <c r="C971" s="10" t="s">
        <v>201</v>
      </c>
      <c r="D971" s="10" t="s">
        <v>255</v>
      </c>
      <c r="E971" s="10" t="s">
        <v>36</v>
      </c>
      <c r="F971" s="10" t="s">
        <v>339</v>
      </c>
      <c r="G971" s="10" t="s">
        <v>66</v>
      </c>
      <c r="H971" s="10" t="s">
        <v>197</v>
      </c>
      <c r="I971" s="10" t="s">
        <v>203</v>
      </c>
      <c r="J971" s="10" t="s">
        <v>115</v>
      </c>
      <c r="K971" s="10" t="s">
        <v>333</v>
      </c>
      <c r="L971" s="10" t="s">
        <v>3181</v>
      </c>
      <c r="M971" s="9">
        <v>45789</v>
      </c>
      <c r="N971" s="9">
        <v>46083</v>
      </c>
      <c r="O971" s="9">
        <v>46141</v>
      </c>
      <c r="P971" s="11"/>
      <c r="Q971" s="12">
        <v>18441261</v>
      </c>
      <c r="R971">
        <v>5021555.3702999996</v>
      </c>
      <c r="S971" s="22">
        <v>0.35</v>
      </c>
      <c r="T971" s="22">
        <v>0.14000000000000001</v>
      </c>
      <c r="U971" s="12">
        <v>13664974.4</v>
      </c>
      <c r="V971" s="24">
        <v>3720972.5291200001</v>
      </c>
      <c r="W971" s="8">
        <v>9577752.6600000001</v>
      </c>
      <c r="X971" s="24">
        <v>2608022.0493179997</v>
      </c>
      <c r="Y971" s="22">
        <v>0.3</v>
      </c>
      <c r="Z971" s="22">
        <v>7.0000000000000007E-2</v>
      </c>
      <c r="AA971" s="8"/>
      <c r="AB971" s="8">
        <v>4751769.21</v>
      </c>
      <c r="AC971" s="24">
        <v>1293906.7558829999</v>
      </c>
      <c r="AD971" s="8">
        <v>4426184.6399999997</v>
      </c>
      <c r="AE971" s="24">
        <v>1205250.0774719999</v>
      </c>
      <c r="AF971" s="8">
        <v>60</v>
      </c>
      <c r="AG971" s="8">
        <v>24</v>
      </c>
      <c r="AH971" s="8" t="s">
        <v>332</v>
      </c>
      <c r="AI971" s="8" t="s">
        <v>336</v>
      </c>
      <c r="AJ971" s="22">
        <v>0.9</v>
      </c>
      <c r="AK971" s="8" t="s">
        <v>153</v>
      </c>
      <c r="AL971" s="22">
        <v>0.1</v>
      </c>
      <c r="AM971" s="22">
        <v>0.01</v>
      </c>
      <c r="AN971" s="8">
        <v>12</v>
      </c>
      <c r="AO971" s="8">
        <v>2348</v>
      </c>
      <c r="AP971" s="8">
        <v>2065090.99</v>
      </c>
      <c r="AQ971" s="24">
        <v>562324.27657699992</v>
      </c>
      <c r="AR971" s="8">
        <v>3087463.17</v>
      </c>
      <c r="AS971" s="37">
        <v>840716.22119099996</v>
      </c>
      <c r="AT971" s="8" t="s">
        <v>355</v>
      </c>
      <c r="AU971" s="8" t="s">
        <v>322</v>
      </c>
      <c r="AV971" s="8">
        <v>59.2</v>
      </c>
      <c r="AW971" s="8"/>
      <c r="AX971" s="8" t="s">
        <v>332</v>
      </c>
      <c r="AY971" s="8" t="s">
        <v>186</v>
      </c>
      <c r="AZ971" s="8" t="s">
        <v>361</v>
      </c>
      <c r="BA971" s="21">
        <f>IF(OR(tblsales[[#This Row],[Invoice Value USD]]="",tblsales[[#This Row],[Collected Amount USD]]=""),"",tblsales[[#This Row],[Invoice Value USD]]-tblsales[[#This Row],[Collected Amount USD]])</f>
        <v>88656.678410999943</v>
      </c>
      <c r="BB971" s="21">
        <f>IF(OR(tblsales[[#This Row],[Contract Value USD]]="",tblsales[[#This Row],[Cost Estimate USD]]=""),"",tblsales[[#This Row],[Contract Value USD]]-tblsales[[#This Row],[Cost Estimate USD]])</f>
        <v>1112950.4798020003</v>
      </c>
      <c r="BC971" s="21">
        <f>IF(OR(tblsales[[#This Row],[Contract Value USD]]="",tblsales[[#This Row],[Cost Estimate USD]]=""),"",tblsales[[#This Row],[Contract Value USD]]-tblsales[[#This Row],[Cost Estimate USD]])</f>
        <v>1112950.4798020003</v>
      </c>
      <c r="BD971" s="23">
        <f>IF(tblsales[[#This Row],[Invoice Value USD]]="","",tblsales[[#This Row],[Collected Amount USD]]/tblsales[[#This Row],[Invoice Value USD]])</f>
        <v>0.93148140079808295</v>
      </c>
      <c r="BE971" s="11">
        <f>IF(tblsales[[#This Row],[SalesStage]]="Won",1,0)</f>
        <v>0</v>
      </c>
      <c r="BF971" s="21" t="str">
        <f>IF(tblsales[[#This Row],[Win Flag]]=1,"Won","Lost")</f>
        <v>Lost</v>
      </c>
      <c r="BG971" s="8"/>
    </row>
    <row r="972" spans="1:59" x14ac:dyDescent="0.3">
      <c r="A972" s="10" t="s">
        <v>3182</v>
      </c>
      <c r="B972" s="9">
        <v>45786</v>
      </c>
      <c r="C972" s="10" t="s">
        <v>179</v>
      </c>
      <c r="D972" s="10" t="s">
        <v>232</v>
      </c>
      <c r="E972" s="10" t="s">
        <v>41</v>
      </c>
      <c r="F972" s="10" t="s">
        <v>350</v>
      </c>
      <c r="G972" s="10" t="s">
        <v>57</v>
      </c>
      <c r="H972" s="10" t="s">
        <v>182</v>
      </c>
      <c r="I972" s="10" t="s">
        <v>233</v>
      </c>
      <c r="J972" s="10" t="s">
        <v>130</v>
      </c>
      <c r="K972" s="10" t="s">
        <v>204</v>
      </c>
      <c r="L972" s="10" t="s">
        <v>3183</v>
      </c>
      <c r="M972" s="9">
        <v>45873</v>
      </c>
      <c r="N972" s="9">
        <v>45803</v>
      </c>
      <c r="O972" s="9">
        <v>45824</v>
      </c>
      <c r="P972" s="11">
        <v>52</v>
      </c>
      <c r="Q972" s="12">
        <v>28918965</v>
      </c>
      <c r="R972">
        <v>28918965</v>
      </c>
      <c r="S972" s="22">
        <v>0.17</v>
      </c>
      <c r="T972" s="22">
        <v>0.06</v>
      </c>
      <c r="U972" s="12">
        <v>25442905.41</v>
      </c>
      <c r="V972" s="24">
        <v>25442905.41</v>
      </c>
      <c r="W972" s="8">
        <v>17180346.84</v>
      </c>
      <c r="X972" s="24">
        <v>17180346.84</v>
      </c>
      <c r="Y972" s="22">
        <v>0.11</v>
      </c>
      <c r="Z972" s="22">
        <v>0.06</v>
      </c>
      <c r="AA972" s="8" t="s">
        <v>3092</v>
      </c>
      <c r="AB972" s="8">
        <v>6413175.6600000001</v>
      </c>
      <c r="AC972" s="24">
        <v>6413175.6600000001</v>
      </c>
      <c r="AD972" s="8">
        <v>3848739.95</v>
      </c>
      <c r="AE972" s="24">
        <v>3848739.95</v>
      </c>
      <c r="AF972" s="8">
        <v>90</v>
      </c>
      <c r="AG972" s="8">
        <v>134</v>
      </c>
      <c r="AH972" s="8" t="s">
        <v>353</v>
      </c>
      <c r="AI972" s="8" t="s">
        <v>226</v>
      </c>
      <c r="AJ972" s="22">
        <v>0.23</v>
      </c>
      <c r="AK972" s="8" t="s">
        <v>152</v>
      </c>
      <c r="AL972" s="22">
        <v>0.05</v>
      </c>
      <c r="AM972" s="22">
        <v>0.1</v>
      </c>
      <c r="AN972" s="8">
        <v>10</v>
      </c>
      <c r="AO972" s="8">
        <v>4600</v>
      </c>
      <c r="AP972" s="8">
        <v>6248927.4299999997</v>
      </c>
      <c r="AQ972" s="24">
        <v>6248927.4299999997</v>
      </c>
      <c r="AR972" s="8">
        <v>4372138.7300000004</v>
      </c>
      <c r="AS972" s="37">
        <v>4372138.7300000004</v>
      </c>
      <c r="AT972" s="8" t="s">
        <v>385</v>
      </c>
      <c r="AU972" s="8" t="s">
        <v>348</v>
      </c>
      <c r="AV972" s="8">
        <v>66.599999999999994</v>
      </c>
      <c r="AW972" s="8">
        <v>24</v>
      </c>
      <c r="AX972" s="8" t="s">
        <v>332</v>
      </c>
      <c r="AY972" s="8" t="s">
        <v>206</v>
      </c>
      <c r="AZ972" s="8" t="s">
        <v>357</v>
      </c>
      <c r="BA972" s="21">
        <f>IF(OR(tblsales[[#This Row],[Invoice Value USD]]="",tblsales[[#This Row],[Collected Amount USD]]=""),"",tblsales[[#This Row],[Invoice Value USD]]-tblsales[[#This Row],[Collected Amount USD]])</f>
        <v>2564435.71</v>
      </c>
      <c r="BB972" s="21">
        <f>IF(OR(tblsales[[#This Row],[Contract Value USD]]="",tblsales[[#This Row],[Cost Estimate USD]]=""),"",tblsales[[#This Row],[Contract Value USD]]-tblsales[[#This Row],[Cost Estimate USD]])</f>
        <v>8262558.5700000003</v>
      </c>
      <c r="BC972" s="21">
        <f>IF(OR(tblsales[[#This Row],[Contract Value USD]]="",tblsales[[#This Row],[Cost Estimate USD]]=""),"",tblsales[[#This Row],[Contract Value USD]]-tblsales[[#This Row],[Cost Estimate USD]])</f>
        <v>8262558.5700000003</v>
      </c>
      <c r="BD972" s="23">
        <f>IF(tblsales[[#This Row],[Invoice Value USD]]="","",tblsales[[#This Row],[Collected Amount USD]]/tblsales[[#This Row],[Invoice Value USD]])</f>
        <v>0.60013013116188374</v>
      </c>
      <c r="BE972" s="11">
        <f>IF(tblsales[[#This Row],[SalesStage]]="Won",1,0)</f>
        <v>0</v>
      </c>
      <c r="BF972" s="21" t="str">
        <f>IF(tblsales[[#This Row],[Win Flag]]=1,"Won","Lost")</f>
        <v>Lost</v>
      </c>
      <c r="BG972" s="8"/>
    </row>
    <row r="973" spans="1:59" x14ac:dyDescent="0.3">
      <c r="A973" s="10" t="s">
        <v>3184</v>
      </c>
      <c r="B973" s="9">
        <v>45777</v>
      </c>
      <c r="C973" s="10" t="s">
        <v>264</v>
      </c>
      <c r="D973" s="10" t="s">
        <v>255</v>
      </c>
      <c r="E973" s="10" t="s">
        <v>41</v>
      </c>
      <c r="F973" s="10" t="s">
        <v>363</v>
      </c>
      <c r="G973" s="10" t="s">
        <v>50</v>
      </c>
      <c r="H973" s="10" t="s">
        <v>182</v>
      </c>
      <c r="I973" s="10" t="s">
        <v>246</v>
      </c>
      <c r="J973" s="10" t="s">
        <v>105</v>
      </c>
      <c r="K973" s="10" t="s">
        <v>184</v>
      </c>
      <c r="L973" s="10" t="s">
        <v>3185</v>
      </c>
      <c r="M973" s="9">
        <v>45932</v>
      </c>
      <c r="N973" s="9">
        <v>45996</v>
      </c>
      <c r="O973" s="9">
        <v>45664</v>
      </c>
      <c r="P973" s="11">
        <v>28</v>
      </c>
      <c r="Q973" s="12">
        <v>24125055</v>
      </c>
      <c r="R973">
        <v>6569252.4764999999</v>
      </c>
      <c r="S973" s="22">
        <v>0.32</v>
      </c>
      <c r="T973" s="22">
        <v>-0.03</v>
      </c>
      <c r="U973" s="12">
        <v>15912886.279999999</v>
      </c>
      <c r="V973" s="24">
        <v>4333078.9340439998</v>
      </c>
      <c r="W973" s="8">
        <v>10404869.550000001</v>
      </c>
      <c r="X973" s="24">
        <v>2833245.9784650002</v>
      </c>
      <c r="Y973" s="22">
        <v>0.23</v>
      </c>
      <c r="Z973" s="22">
        <v>0.16</v>
      </c>
      <c r="AA973" s="8" t="s">
        <v>3186</v>
      </c>
      <c r="AB973" s="8">
        <v>7390955.3499999996</v>
      </c>
      <c r="AC973" s="24">
        <v>2012557.1418049999</v>
      </c>
      <c r="AD973" s="8">
        <v>3991494.59</v>
      </c>
      <c r="AE973" s="24">
        <v>1086883.9768569998</v>
      </c>
      <c r="AF973" s="8">
        <v>120</v>
      </c>
      <c r="AG973" s="8">
        <v>163</v>
      </c>
      <c r="AH973" s="8" t="s">
        <v>332</v>
      </c>
      <c r="AI973" s="8" t="s">
        <v>406</v>
      </c>
      <c r="AJ973" s="22">
        <v>0.43</v>
      </c>
      <c r="AK973" s="8" t="s">
        <v>153</v>
      </c>
      <c r="AL973" s="22">
        <v>0.1</v>
      </c>
      <c r="AM973" s="22">
        <v>7.0000000000000007E-2</v>
      </c>
      <c r="AN973" s="8">
        <v>1</v>
      </c>
      <c r="AO973" s="8">
        <v>4846</v>
      </c>
      <c r="AP973" s="8">
        <v>2063576.34</v>
      </c>
      <c r="AQ973" s="24">
        <v>561911.83738199994</v>
      </c>
      <c r="AR973" s="8">
        <v>4846906.1500000004</v>
      </c>
      <c r="AS973" s="37">
        <v>1319812.544645</v>
      </c>
      <c r="AT973" s="8" t="s">
        <v>343</v>
      </c>
      <c r="AU973" s="8" t="s">
        <v>348</v>
      </c>
      <c r="AV973" s="8">
        <v>99.8</v>
      </c>
      <c r="AW973" s="8"/>
      <c r="AX973" s="8" t="s">
        <v>323</v>
      </c>
      <c r="AY973" s="8" t="s">
        <v>192</v>
      </c>
      <c r="AZ973" s="8" t="s">
        <v>324</v>
      </c>
      <c r="BA973" s="21">
        <f>IF(OR(tblsales[[#This Row],[Invoice Value USD]]="",tblsales[[#This Row],[Collected Amount USD]]=""),"",tblsales[[#This Row],[Invoice Value USD]]-tblsales[[#This Row],[Collected Amount USD]])</f>
        <v>925673.16494800011</v>
      </c>
      <c r="BB973" s="21">
        <f>IF(OR(tblsales[[#This Row],[Contract Value USD]]="",tblsales[[#This Row],[Cost Estimate USD]]=""),"",tblsales[[#This Row],[Contract Value USD]]-tblsales[[#This Row],[Cost Estimate USD]])</f>
        <v>1499832.9555789996</v>
      </c>
      <c r="BC973" s="21">
        <f>IF(OR(tblsales[[#This Row],[Contract Value USD]]="",tblsales[[#This Row],[Cost Estimate USD]]=""),"",tblsales[[#This Row],[Contract Value USD]]-tblsales[[#This Row],[Cost Estimate USD]])</f>
        <v>1499832.9555789996</v>
      </c>
      <c r="BD973" s="23">
        <f>IF(tblsales[[#This Row],[Invoice Value USD]]="","",tblsales[[#This Row],[Collected Amount USD]]/tblsales[[#This Row],[Invoice Value USD]])</f>
        <v>0.54005123843699032</v>
      </c>
      <c r="BE973" s="11">
        <f>IF(tblsales[[#This Row],[SalesStage]]="Won",1,0)</f>
        <v>0</v>
      </c>
      <c r="BF973" s="21" t="str">
        <f>IF(tblsales[[#This Row],[Win Flag]]=1,"Won","Lost")</f>
        <v>Lost</v>
      </c>
      <c r="BG973" s="8"/>
    </row>
    <row r="974" spans="1:59" x14ac:dyDescent="0.3">
      <c r="A974" s="10" t="s">
        <v>3187</v>
      </c>
      <c r="B974" s="9">
        <v>45711</v>
      </c>
      <c r="C974" s="10" t="s">
        <v>195</v>
      </c>
      <c r="D974" s="10" t="s">
        <v>245</v>
      </c>
      <c r="E974" s="10" t="s">
        <v>52</v>
      </c>
      <c r="F974" s="10" t="s">
        <v>75</v>
      </c>
      <c r="G974" s="10" t="s">
        <v>38</v>
      </c>
      <c r="H974" s="10" t="s">
        <v>197</v>
      </c>
      <c r="I974" s="10" t="s">
        <v>246</v>
      </c>
      <c r="J974" s="10" t="s">
        <v>133</v>
      </c>
      <c r="K974" s="10" t="s">
        <v>221</v>
      </c>
      <c r="L974" s="10" t="s">
        <v>3188</v>
      </c>
      <c r="M974" s="9">
        <v>45662</v>
      </c>
      <c r="N974" s="9">
        <v>45729</v>
      </c>
      <c r="O974" s="9">
        <v>45800</v>
      </c>
      <c r="P974" s="11">
        <v>7</v>
      </c>
      <c r="Q974" s="12">
        <v>38745205</v>
      </c>
      <c r="R974">
        <v>10643307.8135</v>
      </c>
      <c r="S974" s="22">
        <v>0.2</v>
      </c>
      <c r="T974" s="22">
        <v>0.14000000000000001</v>
      </c>
      <c r="U974" s="12">
        <v>35335626.960000001</v>
      </c>
      <c r="V974" s="24">
        <v>9706696.725912001</v>
      </c>
      <c r="W974" s="8">
        <v>24612177.460000001</v>
      </c>
      <c r="X974" s="24">
        <v>6760965.1482620006</v>
      </c>
      <c r="Y974" s="22">
        <v>0.22</v>
      </c>
      <c r="Z974" s="22">
        <v>0.06</v>
      </c>
      <c r="AA974" s="8"/>
      <c r="AB974" s="8">
        <v>17005991.609999999</v>
      </c>
      <c r="AC974" s="24">
        <v>4671545.8952669995</v>
      </c>
      <c r="AD974" s="8">
        <v>11161187.960000001</v>
      </c>
      <c r="AE974" s="24">
        <v>3065978.3326120004</v>
      </c>
      <c r="AF974" s="8">
        <v>60</v>
      </c>
      <c r="AG974" s="8">
        <v>122</v>
      </c>
      <c r="AH974" s="8" t="s">
        <v>329</v>
      </c>
      <c r="AI974" s="8" t="s">
        <v>354</v>
      </c>
      <c r="AJ974" s="22">
        <v>0.23</v>
      </c>
      <c r="AK974" s="8" t="s">
        <v>155</v>
      </c>
      <c r="AL974" s="22">
        <v>0.05</v>
      </c>
      <c r="AM974" s="22">
        <v>0.02</v>
      </c>
      <c r="AN974" s="8">
        <v>14</v>
      </c>
      <c r="AO974" s="8">
        <v>4634</v>
      </c>
      <c r="AP974" s="8">
        <v>5094029.83</v>
      </c>
      <c r="AQ974" s="24">
        <v>1399329.9943009999</v>
      </c>
      <c r="AR974" s="8">
        <v>5311436.43</v>
      </c>
      <c r="AS974" s="37">
        <v>1459051.5873209999</v>
      </c>
      <c r="AT974" s="8" t="s">
        <v>391</v>
      </c>
      <c r="AU974" s="8" t="s">
        <v>321</v>
      </c>
      <c r="AV974" s="8">
        <v>67.2</v>
      </c>
      <c r="AW974" s="8">
        <v>60</v>
      </c>
      <c r="AX974" s="8" t="s">
        <v>332</v>
      </c>
      <c r="AY974" s="8" t="s">
        <v>224</v>
      </c>
      <c r="AZ974" s="8" t="s">
        <v>361</v>
      </c>
      <c r="BA974" s="21">
        <f>IF(OR(tblsales[[#This Row],[Invoice Value USD]]="",tblsales[[#This Row],[Collected Amount USD]]=""),"",tblsales[[#This Row],[Invoice Value USD]]-tblsales[[#This Row],[Collected Amount USD]])</f>
        <v>1605567.5626549991</v>
      </c>
      <c r="BB974" s="21">
        <f>IF(OR(tblsales[[#This Row],[Contract Value USD]]="",tblsales[[#This Row],[Cost Estimate USD]]=""),"",tblsales[[#This Row],[Contract Value USD]]-tblsales[[#This Row],[Cost Estimate USD]])</f>
        <v>2945731.5776500003</v>
      </c>
      <c r="BC974" s="21">
        <f>IF(OR(tblsales[[#This Row],[Contract Value USD]]="",tblsales[[#This Row],[Cost Estimate USD]]=""),"",tblsales[[#This Row],[Contract Value USD]]-tblsales[[#This Row],[Cost Estimate USD]])</f>
        <v>2945731.5776500003</v>
      </c>
      <c r="BD974" s="23">
        <f>IF(tblsales[[#This Row],[Invoice Value USD]]="","",tblsales[[#This Row],[Collected Amount USD]]/tblsales[[#This Row],[Invoice Value USD]])</f>
        <v>0.65630915361835829</v>
      </c>
      <c r="BE974" s="11">
        <f>IF(tblsales[[#This Row],[SalesStage]]="Won",1,0)</f>
        <v>0</v>
      </c>
      <c r="BF974" s="21" t="str">
        <f>IF(tblsales[[#This Row],[Win Flag]]=1,"Won","Lost")</f>
        <v>Lost</v>
      </c>
      <c r="BG974" s="8"/>
    </row>
    <row r="975" spans="1:59" x14ac:dyDescent="0.3">
      <c r="A975" s="10" t="s">
        <v>3189</v>
      </c>
      <c r="B975" s="9">
        <v>46076</v>
      </c>
      <c r="C975" s="10" t="s">
        <v>266</v>
      </c>
      <c r="D975" s="10" t="s">
        <v>220</v>
      </c>
      <c r="E975" s="10" t="s">
        <v>20</v>
      </c>
      <c r="F975" s="10" t="s">
        <v>332</v>
      </c>
      <c r="G975" s="10" t="s">
        <v>78</v>
      </c>
      <c r="H975" s="10" t="s">
        <v>236</v>
      </c>
      <c r="I975" s="10" t="s">
        <v>183</v>
      </c>
      <c r="J975" s="10" t="s">
        <v>136</v>
      </c>
      <c r="K975" s="10" t="s">
        <v>221</v>
      </c>
      <c r="L975" s="10" t="s">
        <v>3190</v>
      </c>
      <c r="M975" s="9">
        <v>46047</v>
      </c>
      <c r="N975" s="9">
        <v>46108</v>
      </c>
      <c r="O975" s="9">
        <v>46193</v>
      </c>
      <c r="P975" s="11">
        <v>43</v>
      </c>
      <c r="Q975" s="12">
        <v>7040950</v>
      </c>
      <c r="R975">
        <v>8174542.9500000002</v>
      </c>
      <c r="S975" s="22">
        <v>0.15</v>
      </c>
      <c r="T975" s="22">
        <v>0.14000000000000001</v>
      </c>
      <c r="U975" s="12">
        <v>6822680.5499999998</v>
      </c>
      <c r="V975" s="24">
        <v>7921132.1185499998</v>
      </c>
      <c r="W975" s="8">
        <v>4109950.76</v>
      </c>
      <c r="X975" s="24">
        <v>4771652.8323599994</v>
      </c>
      <c r="Y975" s="22">
        <v>0.19</v>
      </c>
      <c r="Z975" s="22">
        <v>0.12</v>
      </c>
      <c r="AA975" s="8" t="s">
        <v>3191</v>
      </c>
      <c r="AB975" s="8">
        <v>1950932.35</v>
      </c>
      <c r="AC975" s="24">
        <v>2265032.45835</v>
      </c>
      <c r="AD975" s="8">
        <v>1698511.47</v>
      </c>
      <c r="AE975" s="24">
        <v>1971971.8166700001</v>
      </c>
      <c r="AF975" s="8">
        <v>90</v>
      </c>
      <c r="AG975" s="8">
        <v>11</v>
      </c>
      <c r="AH975" s="8" t="s">
        <v>332</v>
      </c>
      <c r="AI975" s="8" t="s">
        <v>455</v>
      </c>
      <c r="AJ975" s="22">
        <v>0.43</v>
      </c>
      <c r="AK975" s="8" t="s">
        <v>159</v>
      </c>
      <c r="AL975" s="22">
        <v>0.15</v>
      </c>
      <c r="AM975" s="22">
        <v>0.05</v>
      </c>
      <c r="AN975" s="8">
        <v>9</v>
      </c>
      <c r="AO975" s="8">
        <v>185</v>
      </c>
      <c r="AP975" s="8">
        <v>979018.47</v>
      </c>
      <c r="AQ975" s="24">
        <v>1136640.4436699999</v>
      </c>
      <c r="AR975" s="8">
        <v>789384.94</v>
      </c>
      <c r="AS975" s="37">
        <v>916475.91533999995</v>
      </c>
      <c r="AT975" s="8" t="s">
        <v>321</v>
      </c>
      <c r="AU975" s="8" t="s">
        <v>322</v>
      </c>
      <c r="AV975" s="8">
        <v>80.5</v>
      </c>
      <c r="AW975" s="8">
        <v>24</v>
      </c>
      <c r="AX975" s="8" t="s">
        <v>323</v>
      </c>
      <c r="AY975" s="8" t="s">
        <v>206</v>
      </c>
      <c r="AZ975" s="8" t="s">
        <v>377</v>
      </c>
      <c r="BA975" s="21">
        <f>IF(OR(tblsales[[#This Row],[Invoice Value USD]]="",tblsales[[#This Row],[Collected Amount USD]]=""),"",tblsales[[#This Row],[Invoice Value USD]]-tblsales[[#This Row],[Collected Amount USD]])</f>
        <v>293060.64167999988</v>
      </c>
      <c r="BB975" s="21">
        <f>IF(OR(tblsales[[#This Row],[Contract Value USD]]="",tblsales[[#This Row],[Cost Estimate USD]]=""),"",tblsales[[#This Row],[Contract Value USD]]-tblsales[[#This Row],[Cost Estimate USD]])</f>
        <v>3149479.2861900004</v>
      </c>
      <c r="BC975" s="21">
        <f>IF(OR(tblsales[[#This Row],[Contract Value USD]]="",tblsales[[#This Row],[Cost Estimate USD]]=""),"",tblsales[[#This Row],[Contract Value USD]]-tblsales[[#This Row],[Cost Estimate USD]])</f>
        <v>3149479.2861900004</v>
      </c>
      <c r="BD975" s="23">
        <f>IF(tblsales[[#This Row],[Invoice Value USD]]="","",tblsales[[#This Row],[Collected Amount USD]]/tblsales[[#This Row],[Invoice Value USD]])</f>
        <v>0.8706152573665612</v>
      </c>
      <c r="BE975" s="11">
        <f>IF(tblsales[[#This Row],[SalesStage]]="Won",1,0)</f>
        <v>0</v>
      </c>
      <c r="BF975" s="21" t="str">
        <f>IF(tblsales[[#This Row],[Win Flag]]=1,"Won","Lost")</f>
        <v>Lost</v>
      </c>
      <c r="BG975" s="8"/>
    </row>
    <row r="976" spans="1:59" x14ac:dyDescent="0.3">
      <c r="A976" s="10" t="s">
        <v>3192</v>
      </c>
      <c r="B976" s="9">
        <v>46025</v>
      </c>
      <c r="C976" s="10" t="s">
        <v>284</v>
      </c>
      <c r="D976" s="10" t="s">
        <v>562</v>
      </c>
      <c r="E976" s="10" t="s">
        <v>332</v>
      </c>
      <c r="F976" s="10" t="s">
        <v>350</v>
      </c>
      <c r="G976" s="10" t="s">
        <v>16</v>
      </c>
      <c r="H976" s="10" t="s">
        <v>236</v>
      </c>
      <c r="I976" s="10" t="s">
        <v>332</v>
      </c>
      <c r="J976" s="10" t="s">
        <v>136</v>
      </c>
      <c r="K976" s="10" t="s">
        <v>223</v>
      </c>
      <c r="L976" s="10" t="s">
        <v>3193</v>
      </c>
      <c r="M976" s="9">
        <v>45990</v>
      </c>
      <c r="N976" s="9">
        <v>46267</v>
      </c>
      <c r="O976" s="9">
        <v>46328</v>
      </c>
      <c r="P976" s="11">
        <v>50</v>
      </c>
      <c r="Q976" s="12">
        <v>34521891</v>
      </c>
      <c r="R976">
        <v>34521891</v>
      </c>
      <c r="S976" s="22">
        <v>0.28999999999999998</v>
      </c>
      <c r="T976" s="22">
        <v>0.15</v>
      </c>
      <c r="U976" s="12">
        <v>28187124</v>
      </c>
      <c r="V976" s="24">
        <v>28187124</v>
      </c>
      <c r="W976" s="8">
        <v>17895296.600000001</v>
      </c>
      <c r="X976" s="24">
        <v>17895296.600000001</v>
      </c>
      <c r="Y976" s="22">
        <v>0.1</v>
      </c>
      <c r="Z976" s="22">
        <v>0.16</v>
      </c>
      <c r="AA976" s="8" t="s">
        <v>3194</v>
      </c>
      <c r="AB976" s="8">
        <v>8799303.6099999994</v>
      </c>
      <c r="AC976" s="24">
        <v>8799303.6099999994</v>
      </c>
      <c r="AD976" s="8">
        <v>7039064.8399999999</v>
      </c>
      <c r="AE976" s="24">
        <v>7039064.8399999999</v>
      </c>
      <c r="AF976" s="8">
        <v>120</v>
      </c>
      <c r="AG976" s="8">
        <v>18</v>
      </c>
      <c r="AH976" s="8" t="s">
        <v>329</v>
      </c>
      <c r="AI976" s="8" t="s">
        <v>455</v>
      </c>
      <c r="AJ976" s="22">
        <v>0.42</v>
      </c>
      <c r="AK976" s="8" t="s">
        <v>152</v>
      </c>
      <c r="AL976" s="22">
        <v>0.05</v>
      </c>
      <c r="AM976" s="22">
        <v>0.1</v>
      </c>
      <c r="AN976" s="8">
        <v>15</v>
      </c>
      <c r="AO976" s="8">
        <v>374</v>
      </c>
      <c r="AP976" s="8">
        <v>3552205.69</v>
      </c>
      <c r="AQ976" s="24">
        <v>3552205.69</v>
      </c>
      <c r="AR976" s="8">
        <v>6129967.9400000004</v>
      </c>
      <c r="AS976" s="37">
        <v>6129967.9400000004</v>
      </c>
      <c r="AT976" s="8" t="s">
        <v>332</v>
      </c>
      <c r="AU976" s="8" t="s">
        <v>322</v>
      </c>
      <c r="AV976" s="8">
        <v>51.2</v>
      </c>
      <c r="AW976" s="8">
        <v>60</v>
      </c>
      <c r="AX976" s="8" t="s">
        <v>387</v>
      </c>
      <c r="AY976" s="8" t="s">
        <v>229</v>
      </c>
      <c r="AZ976" s="8" t="s">
        <v>361</v>
      </c>
      <c r="BA976" s="21">
        <f>IF(OR(tblsales[[#This Row],[Invoice Value USD]]="",tblsales[[#This Row],[Collected Amount USD]]=""),"",tblsales[[#This Row],[Invoice Value USD]]-tblsales[[#This Row],[Collected Amount USD]])</f>
        <v>1760238.7699999996</v>
      </c>
      <c r="BB976" s="21">
        <f>IF(OR(tblsales[[#This Row],[Contract Value USD]]="",tblsales[[#This Row],[Cost Estimate USD]]=""),"",tblsales[[#This Row],[Contract Value USD]]-tblsales[[#This Row],[Cost Estimate USD]])</f>
        <v>10291827.399999999</v>
      </c>
      <c r="BC976" s="21">
        <f>IF(OR(tblsales[[#This Row],[Contract Value USD]]="",tblsales[[#This Row],[Cost Estimate USD]]=""),"",tblsales[[#This Row],[Contract Value USD]]-tblsales[[#This Row],[Cost Estimate USD]])</f>
        <v>10291827.399999999</v>
      </c>
      <c r="BD976" s="23">
        <f>IF(tblsales[[#This Row],[Invoice Value USD]]="","",tblsales[[#This Row],[Collected Amount USD]]/tblsales[[#This Row],[Invoice Value USD]])</f>
        <v>0.79995703660008166</v>
      </c>
      <c r="BE976" s="11">
        <f>IF(tblsales[[#This Row],[SalesStage]]="Won",1,0)</f>
        <v>0</v>
      </c>
      <c r="BF976" s="21" t="str">
        <f>IF(tblsales[[#This Row],[Win Flag]]=1,"Won","Lost")</f>
        <v>Lost</v>
      </c>
      <c r="BG976" s="8"/>
    </row>
    <row r="977" spans="1:59" x14ac:dyDescent="0.3">
      <c r="A977" s="10" t="s">
        <v>3195</v>
      </c>
      <c r="B977" s="9">
        <v>46038</v>
      </c>
      <c r="C977" s="10" t="s">
        <v>284</v>
      </c>
      <c r="D977" s="10" t="s">
        <v>332</v>
      </c>
      <c r="E977" s="10" t="s">
        <v>36</v>
      </c>
      <c r="F977" s="10" t="s">
        <v>19</v>
      </c>
      <c r="G977" s="10" t="s">
        <v>50</v>
      </c>
      <c r="H977" s="10" t="s">
        <v>236</v>
      </c>
      <c r="I977" s="10" t="s">
        <v>203</v>
      </c>
      <c r="J977" s="10" t="s">
        <v>115</v>
      </c>
      <c r="K977" s="10" t="s">
        <v>326</v>
      </c>
      <c r="L977" s="10" t="s">
        <v>3196</v>
      </c>
      <c r="M977" s="9">
        <v>45979</v>
      </c>
      <c r="N977" s="9" t="s">
        <v>3197</v>
      </c>
      <c r="O977" s="9">
        <v>46329</v>
      </c>
      <c r="P977" s="11">
        <v>28</v>
      </c>
      <c r="Q977" s="12">
        <v>21905602</v>
      </c>
      <c r="R977">
        <v>25432403.922000002</v>
      </c>
      <c r="S977" s="22">
        <v>0.01</v>
      </c>
      <c r="T977" s="22">
        <v>0.09</v>
      </c>
      <c r="U977" s="12">
        <v>23638335.120000001</v>
      </c>
      <c r="V977" s="24">
        <v>27444107.074320003</v>
      </c>
      <c r="W977" s="8"/>
      <c r="X977" s="24"/>
      <c r="Y977" s="22">
        <v>0.15</v>
      </c>
      <c r="Z977" s="22">
        <v>0.14000000000000001</v>
      </c>
      <c r="AA977" s="8" t="s">
        <v>3198</v>
      </c>
      <c r="AB977" s="8">
        <v>18388576.579999998</v>
      </c>
      <c r="AC977" s="24">
        <v>21349137.40938</v>
      </c>
      <c r="AD977" s="8">
        <v>8491213.5199999996</v>
      </c>
      <c r="AE977" s="24">
        <v>9858298.8967199996</v>
      </c>
      <c r="AF977" s="8">
        <v>45</v>
      </c>
      <c r="AG977" s="8">
        <v>53</v>
      </c>
      <c r="AH977" s="8" t="s">
        <v>347</v>
      </c>
      <c r="AI977" s="8" t="s">
        <v>406</v>
      </c>
      <c r="AJ977" s="22">
        <v>0.26</v>
      </c>
      <c r="AK977" s="8" t="s">
        <v>159</v>
      </c>
      <c r="AL977" s="22">
        <v>0.1</v>
      </c>
      <c r="AM977" s="22">
        <v>0.09</v>
      </c>
      <c r="AN977" s="8">
        <v>7</v>
      </c>
      <c r="AO977" s="8">
        <v>147</v>
      </c>
      <c r="AP977" s="8"/>
      <c r="AQ977" s="24"/>
      <c r="AR977" s="8"/>
      <c r="AS977" s="37"/>
      <c r="AT977" s="8" t="s">
        <v>355</v>
      </c>
      <c r="AU977" s="8" t="s">
        <v>332</v>
      </c>
      <c r="AV977" s="8">
        <v>70.7</v>
      </c>
      <c r="AW977" s="8">
        <v>60</v>
      </c>
      <c r="AX977" s="8" t="s">
        <v>332</v>
      </c>
      <c r="AY977" s="8" t="s">
        <v>224</v>
      </c>
      <c r="AZ977" s="8" t="s">
        <v>188</v>
      </c>
      <c r="BA977" s="21">
        <f>IF(OR(tblsales[[#This Row],[Invoice Value USD]]="",tblsales[[#This Row],[Collected Amount USD]]=""),"",tblsales[[#This Row],[Invoice Value USD]]-tblsales[[#This Row],[Collected Amount USD]])</f>
        <v>11490838.51266</v>
      </c>
      <c r="BB977" s="21" t="str">
        <f>IF(OR(tblsales[[#This Row],[Contract Value USD]]="",tblsales[[#This Row],[Cost Estimate USD]]=""),"",tblsales[[#This Row],[Contract Value USD]]-tblsales[[#This Row],[Cost Estimate USD]])</f>
        <v/>
      </c>
      <c r="BC977" s="21" t="str">
        <f>IF(OR(tblsales[[#This Row],[Contract Value USD]]="",tblsales[[#This Row],[Cost Estimate USD]]=""),"",tblsales[[#This Row],[Contract Value USD]]-tblsales[[#This Row],[Cost Estimate USD]])</f>
        <v/>
      </c>
      <c r="BD977" s="23">
        <f>IF(tblsales[[#This Row],[Invoice Value USD]]="","",tblsales[[#This Row],[Collected Amount USD]]/tblsales[[#This Row],[Invoice Value USD]])</f>
        <v>0.46176567735184643</v>
      </c>
      <c r="BE977" s="11">
        <f>IF(tblsales[[#This Row],[SalesStage]]="Won",1,0)</f>
        <v>0</v>
      </c>
      <c r="BF977" s="21" t="str">
        <f>IF(tblsales[[#This Row],[Win Flag]]=1,"Won","Lost")</f>
        <v>Lost</v>
      </c>
      <c r="BG977" s="8"/>
    </row>
    <row r="978" spans="1:59" x14ac:dyDescent="0.3">
      <c r="A978" s="10" t="s">
        <v>3199</v>
      </c>
      <c r="B978" s="9">
        <v>45822</v>
      </c>
      <c r="C978" s="10" t="s">
        <v>237</v>
      </c>
      <c r="D978" s="10" t="s">
        <v>255</v>
      </c>
      <c r="E978" s="10" t="s">
        <v>52</v>
      </c>
      <c r="F978" s="10" t="s">
        <v>75</v>
      </c>
      <c r="G978" s="10" t="s">
        <v>62</v>
      </c>
      <c r="H978" s="10" t="s">
        <v>212</v>
      </c>
      <c r="I978" s="10" t="s">
        <v>240</v>
      </c>
      <c r="J978" s="10" t="s">
        <v>119</v>
      </c>
      <c r="K978" s="10" t="s">
        <v>221</v>
      </c>
      <c r="L978" s="10" t="s">
        <v>3200</v>
      </c>
      <c r="M978" s="9">
        <v>45661</v>
      </c>
      <c r="N978" s="9"/>
      <c r="O978" s="9">
        <v>45883</v>
      </c>
      <c r="P978" s="11"/>
      <c r="Q978" s="12">
        <v>13039304</v>
      </c>
      <c r="R978">
        <v>3581896.8087999998</v>
      </c>
      <c r="S978" s="22">
        <v>0.31</v>
      </c>
      <c r="T978" s="22">
        <v>0.03</v>
      </c>
      <c r="U978" s="12">
        <v>9267033.3499999996</v>
      </c>
      <c r="V978" s="24">
        <v>2545654.061245</v>
      </c>
      <c r="W978" s="8">
        <v>5925583.5599999996</v>
      </c>
      <c r="X978" s="24">
        <v>1627757.803932</v>
      </c>
      <c r="Y978" s="22">
        <v>0.37</v>
      </c>
      <c r="Z978" s="22">
        <v>0.17</v>
      </c>
      <c r="AA978" s="8" t="s">
        <v>3201</v>
      </c>
      <c r="AB978" s="8">
        <v>3341016.4</v>
      </c>
      <c r="AC978" s="24">
        <v>917777.20507999999</v>
      </c>
      <c r="AD978" s="8">
        <v>3524798.91</v>
      </c>
      <c r="AE978" s="24">
        <v>968262.2605770001</v>
      </c>
      <c r="AF978" s="8">
        <v>30</v>
      </c>
      <c r="AG978" s="8">
        <v>147</v>
      </c>
      <c r="AH978" s="8" t="s">
        <v>353</v>
      </c>
      <c r="AI978" s="8" t="s">
        <v>381</v>
      </c>
      <c r="AJ978" s="22">
        <v>0.41</v>
      </c>
      <c r="AK978" s="8" t="s">
        <v>155</v>
      </c>
      <c r="AL978" s="22">
        <v>0.1</v>
      </c>
      <c r="AM978" s="22">
        <v>0.06</v>
      </c>
      <c r="AN978" s="8">
        <v>15</v>
      </c>
      <c r="AO978" s="8">
        <v>2907</v>
      </c>
      <c r="AP978" s="8">
        <v>271539.83</v>
      </c>
      <c r="AQ978" s="24">
        <v>74591.991301000002</v>
      </c>
      <c r="AR978" s="8"/>
      <c r="AS978" s="37"/>
      <c r="AT978" s="8" t="s">
        <v>391</v>
      </c>
      <c r="AU978" s="8" t="s">
        <v>321</v>
      </c>
      <c r="AV978" s="8"/>
      <c r="AW978" s="8">
        <v>48</v>
      </c>
      <c r="AX978" s="8" t="s">
        <v>332</v>
      </c>
      <c r="AY978" s="8" t="s">
        <v>206</v>
      </c>
      <c r="AZ978" s="8" t="s">
        <v>361</v>
      </c>
      <c r="BA978" s="21">
        <f>IF(OR(tblsales[[#This Row],[Invoice Value USD]]="",tblsales[[#This Row],[Collected Amount USD]]=""),"",tblsales[[#This Row],[Invoice Value USD]]-tblsales[[#This Row],[Collected Amount USD]])</f>
        <v>-50485.05549700011</v>
      </c>
      <c r="BB978" s="21">
        <f>IF(OR(tblsales[[#This Row],[Contract Value USD]]="",tblsales[[#This Row],[Cost Estimate USD]]=""),"",tblsales[[#This Row],[Contract Value USD]]-tblsales[[#This Row],[Cost Estimate USD]])</f>
        <v>917896.25731300004</v>
      </c>
      <c r="BC978" s="21">
        <f>IF(OR(tblsales[[#This Row],[Contract Value USD]]="",tblsales[[#This Row],[Cost Estimate USD]]=""),"",tblsales[[#This Row],[Contract Value USD]]-tblsales[[#This Row],[Cost Estimate USD]])</f>
        <v>917896.25731300004</v>
      </c>
      <c r="BD978" s="23">
        <f>IF(tblsales[[#This Row],[Invoice Value USD]]="","",tblsales[[#This Row],[Collected Amount USD]]/tblsales[[#This Row],[Invoice Value USD]])</f>
        <v>1.055007964043517</v>
      </c>
      <c r="BE978" s="11">
        <f>IF(tblsales[[#This Row],[SalesStage]]="Won",1,0)</f>
        <v>0</v>
      </c>
      <c r="BF978" s="21" t="str">
        <f>IF(tblsales[[#This Row],[Win Flag]]=1,"Won","Lost")</f>
        <v>Lost</v>
      </c>
      <c r="BG978" s="8"/>
    </row>
    <row r="979" spans="1:59" x14ac:dyDescent="0.3">
      <c r="A979" s="10" t="s">
        <v>3202</v>
      </c>
      <c r="B979" s="9">
        <v>45854</v>
      </c>
      <c r="C979" s="10" t="s">
        <v>284</v>
      </c>
      <c r="D979" s="10" t="s">
        <v>248</v>
      </c>
      <c r="E979" s="10" t="s">
        <v>332</v>
      </c>
      <c r="F979" s="10" t="s">
        <v>350</v>
      </c>
      <c r="G979" s="10" t="s">
        <v>33</v>
      </c>
      <c r="H979" s="10" t="s">
        <v>263</v>
      </c>
      <c r="I979" s="10" t="s">
        <v>183</v>
      </c>
      <c r="J979" s="10" t="s">
        <v>136</v>
      </c>
      <c r="K979" s="10" t="s">
        <v>333</v>
      </c>
      <c r="L979" s="10" t="s">
        <v>3203</v>
      </c>
      <c r="M979" s="9">
        <v>45826</v>
      </c>
      <c r="N979" s="9">
        <v>45887</v>
      </c>
      <c r="O979" s="9">
        <v>45964</v>
      </c>
      <c r="P979" s="11"/>
      <c r="Q979" s="12">
        <v>9742380</v>
      </c>
      <c r="R979">
        <v>11310903.18</v>
      </c>
      <c r="S979" s="22">
        <v>7.0000000000000007E-2</v>
      </c>
      <c r="T979" s="22">
        <v>0.1</v>
      </c>
      <c r="U979" s="12">
        <v>9966454.7400000002</v>
      </c>
      <c r="V979" s="24">
        <v>11571053.95314</v>
      </c>
      <c r="W979" s="8">
        <v>7880508.2699999996</v>
      </c>
      <c r="X979" s="24">
        <v>9149270.1014699992</v>
      </c>
      <c r="Y979" s="22">
        <v>0.21</v>
      </c>
      <c r="Z979" s="22">
        <v>0.05</v>
      </c>
      <c r="AA979" s="8" t="s">
        <v>3204</v>
      </c>
      <c r="AB979" s="8">
        <v>8569383.2300000004</v>
      </c>
      <c r="AC979" s="24">
        <v>9949053.9300300013</v>
      </c>
      <c r="AD979" s="8">
        <v>6981339.8099999996</v>
      </c>
      <c r="AE979" s="24">
        <v>8105335.5194100002</v>
      </c>
      <c r="AF979" s="8">
        <v>60</v>
      </c>
      <c r="AG979" s="8">
        <v>73</v>
      </c>
      <c r="AH979" s="8" t="s">
        <v>329</v>
      </c>
      <c r="AI979" s="8" t="s">
        <v>226</v>
      </c>
      <c r="AJ979" s="22">
        <v>0.81</v>
      </c>
      <c r="AK979" s="8" t="s">
        <v>159</v>
      </c>
      <c r="AL979" s="22">
        <v>0.1</v>
      </c>
      <c r="AM979" s="22">
        <v>0.02</v>
      </c>
      <c r="AN979" s="8">
        <v>11</v>
      </c>
      <c r="AO979" s="8">
        <v>2047</v>
      </c>
      <c r="AP979" s="8">
        <v>1029006.78</v>
      </c>
      <c r="AQ979" s="24">
        <v>1194676.87158</v>
      </c>
      <c r="AR979" s="8">
        <v>1625006.89</v>
      </c>
      <c r="AS979" s="37">
        <v>1886632.9992899999</v>
      </c>
      <c r="AT979" s="8" t="s">
        <v>391</v>
      </c>
      <c r="AU979" s="8" t="s">
        <v>386</v>
      </c>
      <c r="AV979" s="8">
        <v>84.9</v>
      </c>
      <c r="AW979" s="8">
        <v>36</v>
      </c>
      <c r="AX979" s="8" t="s">
        <v>332</v>
      </c>
      <c r="AY979" s="8" t="s">
        <v>224</v>
      </c>
      <c r="AZ979" s="8" t="s">
        <v>332</v>
      </c>
      <c r="BA979" s="21">
        <f>IF(OR(tblsales[[#This Row],[Invoice Value USD]]="",tblsales[[#This Row],[Collected Amount USD]]=""),"",tblsales[[#This Row],[Invoice Value USD]]-tblsales[[#This Row],[Collected Amount USD]])</f>
        <v>1843718.4106200011</v>
      </c>
      <c r="BB979" s="21">
        <f>IF(OR(tblsales[[#This Row],[Contract Value USD]]="",tblsales[[#This Row],[Cost Estimate USD]]=""),"",tblsales[[#This Row],[Contract Value USD]]-tblsales[[#This Row],[Cost Estimate USD]])</f>
        <v>2421783.8516700007</v>
      </c>
      <c r="BC979" s="21">
        <f>IF(OR(tblsales[[#This Row],[Contract Value USD]]="",tblsales[[#This Row],[Cost Estimate USD]]=""),"",tblsales[[#This Row],[Contract Value USD]]-tblsales[[#This Row],[Cost Estimate USD]])</f>
        <v>2421783.8516700007</v>
      </c>
      <c r="BD979" s="23">
        <f>IF(tblsales[[#This Row],[Invoice Value USD]]="","",tblsales[[#This Row],[Collected Amount USD]]/tblsales[[#This Row],[Invoice Value USD]])</f>
        <v>0.81468404698712482</v>
      </c>
      <c r="BE979" s="11">
        <f>IF(tblsales[[#This Row],[SalesStage]]="Won",1,0)</f>
        <v>0</v>
      </c>
      <c r="BF979" s="21" t="str">
        <f>IF(tblsales[[#This Row],[Win Flag]]=1,"Won","Lost")</f>
        <v>Lost</v>
      </c>
      <c r="BG979" s="8"/>
    </row>
    <row r="980" spans="1:59" x14ac:dyDescent="0.3">
      <c r="A980" s="10" t="s">
        <v>3205</v>
      </c>
      <c r="B980" s="9">
        <v>45723</v>
      </c>
      <c r="C980" s="10" t="s">
        <v>235</v>
      </c>
      <c r="D980" s="10" t="s">
        <v>265</v>
      </c>
      <c r="E980" s="10" t="s">
        <v>332</v>
      </c>
      <c r="F980" s="10" t="s">
        <v>363</v>
      </c>
      <c r="G980" s="10" t="s">
        <v>332</v>
      </c>
      <c r="H980" s="10" t="s">
        <v>212</v>
      </c>
      <c r="I980" s="10" t="s">
        <v>233</v>
      </c>
      <c r="J980" s="10" t="s">
        <v>136</v>
      </c>
      <c r="K980" s="10" t="s">
        <v>210</v>
      </c>
      <c r="L980" s="10" t="s">
        <v>3206</v>
      </c>
      <c r="M980" s="9">
        <v>45644</v>
      </c>
      <c r="N980" s="9">
        <v>45726</v>
      </c>
      <c r="O980" s="9">
        <v>45766</v>
      </c>
      <c r="P980" s="11">
        <v>10</v>
      </c>
      <c r="Q980" s="12">
        <v>22835877</v>
      </c>
      <c r="R980">
        <v>6273015.4118999997</v>
      </c>
      <c r="S980" s="22">
        <v>0.03</v>
      </c>
      <c r="T980" s="22">
        <v>0.17</v>
      </c>
      <c r="U980" s="12">
        <v>25916436.809999999</v>
      </c>
      <c r="V980" s="24">
        <v>7119245.1917069992</v>
      </c>
      <c r="W980" s="8">
        <v>15702349.26</v>
      </c>
      <c r="X980" s="24">
        <v>4313435.3417220004</v>
      </c>
      <c r="Y980" s="22">
        <v>0.13</v>
      </c>
      <c r="Z980" s="22">
        <v>0.06</v>
      </c>
      <c r="AA980" s="8" t="s">
        <v>3207</v>
      </c>
      <c r="AB980" s="8">
        <v>5883351.9000000004</v>
      </c>
      <c r="AC980" s="24">
        <v>1616156.7669300002</v>
      </c>
      <c r="AD980" s="8">
        <v>4257164.79</v>
      </c>
      <c r="AE980" s="24">
        <v>1169443.167813</v>
      </c>
      <c r="AF980" s="8">
        <v>90</v>
      </c>
      <c r="AG980" s="8">
        <v>61</v>
      </c>
      <c r="AH980" s="8" t="s">
        <v>332</v>
      </c>
      <c r="AI980" s="8" t="s">
        <v>381</v>
      </c>
      <c r="AJ980" s="22">
        <v>0.9</v>
      </c>
      <c r="AK980" s="8" t="s">
        <v>155</v>
      </c>
      <c r="AL980" s="22">
        <v>0.15</v>
      </c>
      <c r="AM980" s="22">
        <v>0.08</v>
      </c>
      <c r="AN980" s="8">
        <v>7</v>
      </c>
      <c r="AO980" s="8">
        <v>1987</v>
      </c>
      <c r="AP980" s="8">
        <v>762871.95</v>
      </c>
      <c r="AQ980" s="24">
        <v>209560.924665</v>
      </c>
      <c r="AR980" s="8">
        <v>6830337.8700000001</v>
      </c>
      <c r="AS980" s="37">
        <v>1876293.8128889999</v>
      </c>
      <c r="AT980" s="8" t="s">
        <v>332</v>
      </c>
      <c r="AU980" s="8" t="s">
        <v>332</v>
      </c>
      <c r="AV980" s="8"/>
      <c r="AW980" s="8"/>
      <c r="AX980" s="8" t="s">
        <v>387</v>
      </c>
      <c r="AY980" s="8" t="s">
        <v>206</v>
      </c>
      <c r="AZ980" s="8" t="s">
        <v>324</v>
      </c>
      <c r="BA980" s="21">
        <f>IF(OR(tblsales[[#This Row],[Invoice Value USD]]="",tblsales[[#This Row],[Collected Amount USD]]=""),"",tblsales[[#This Row],[Invoice Value USD]]-tblsales[[#This Row],[Collected Amount USD]])</f>
        <v>446713.59911700012</v>
      </c>
      <c r="BB980" s="21">
        <f>IF(OR(tblsales[[#This Row],[Contract Value USD]]="",tblsales[[#This Row],[Cost Estimate USD]]=""),"",tblsales[[#This Row],[Contract Value USD]]-tblsales[[#This Row],[Cost Estimate USD]])</f>
        <v>2805809.8499849988</v>
      </c>
      <c r="BC980" s="21">
        <f>IF(OR(tblsales[[#This Row],[Contract Value USD]]="",tblsales[[#This Row],[Cost Estimate USD]]=""),"",tblsales[[#This Row],[Contract Value USD]]-tblsales[[#This Row],[Cost Estimate USD]])</f>
        <v>2805809.8499849988</v>
      </c>
      <c r="BD980" s="23">
        <f>IF(tblsales[[#This Row],[Invoice Value USD]]="","",tblsales[[#This Row],[Collected Amount USD]]/tblsales[[#This Row],[Invoice Value USD]])</f>
        <v>0.72359513120403351</v>
      </c>
      <c r="BE980" s="11">
        <f>IF(tblsales[[#This Row],[SalesStage]]="Won",1,0)</f>
        <v>0</v>
      </c>
      <c r="BF980" s="21" t="str">
        <f>IF(tblsales[[#This Row],[Win Flag]]=1,"Won","Lost")</f>
        <v>Lost</v>
      </c>
      <c r="BG980" s="8"/>
    </row>
    <row r="981" spans="1:59" x14ac:dyDescent="0.3">
      <c r="A981" s="10" t="s">
        <v>3208</v>
      </c>
      <c r="B981" s="9">
        <v>45858</v>
      </c>
      <c r="C981" s="10" t="s">
        <v>272</v>
      </c>
      <c r="D981" s="10" t="s">
        <v>238</v>
      </c>
      <c r="E981" s="10" t="s">
        <v>52</v>
      </c>
      <c r="F981" s="10" t="s">
        <v>332</v>
      </c>
      <c r="G981" s="10" t="s">
        <v>73</v>
      </c>
      <c r="H981" s="10" t="s">
        <v>212</v>
      </c>
      <c r="I981" s="10" t="s">
        <v>240</v>
      </c>
      <c r="J981" s="10" t="s">
        <v>119</v>
      </c>
      <c r="K981" s="10" t="s">
        <v>199</v>
      </c>
      <c r="L981" s="10" t="s">
        <v>3209</v>
      </c>
      <c r="M981" s="9">
        <v>45831</v>
      </c>
      <c r="N981" s="9">
        <v>45869</v>
      </c>
      <c r="O981" s="9">
        <v>45895</v>
      </c>
      <c r="P981" s="11">
        <v>35</v>
      </c>
      <c r="Q981" s="12">
        <v>25267683</v>
      </c>
      <c r="R981">
        <v>29335779.963</v>
      </c>
      <c r="S981" s="22">
        <v>0.12</v>
      </c>
      <c r="T981" s="22">
        <v>0.12</v>
      </c>
      <c r="U981" s="12">
        <v>24903828.359999999</v>
      </c>
      <c r="V981" s="24">
        <v>28913344.725960001</v>
      </c>
      <c r="W981" s="8">
        <v>22230553.440000001</v>
      </c>
      <c r="X981" s="24">
        <v>25809672.543840002</v>
      </c>
      <c r="Y981" s="22">
        <v>0.21</v>
      </c>
      <c r="Z981" s="22">
        <v>0.15</v>
      </c>
      <c r="AA981" s="8" t="s">
        <v>3210</v>
      </c>
      <c r="AB981" s="8">
        <v>4536693.1900000004</v>
      </c>
      <c r="AC981" s="24">
        <v>5267100.7935900008</v>
      </c>
      <c r="AD981" s="8">
        <v>2636884.54</v>
      </c>
      <c r="AE981" s="24">
        <v>3061422.9509400004</v>
      </c>
      <c r="AF981" s="8">
        <v>90</v>
      </c>
      <c r="AG981" s="8">
        <v>113</v>
      </c>
      <c r="AH981" s="8" t="s">
        <v>342</v>
      </c>
      <c r="AI981" s="8" t="s">
        <v>455</v>
      </c>
      <c r="AJ981" s="22">
        <v>0.42</v>
      </c>
      <c r="AK981" s="8" t="s">
        <v>159</v>
      </c>
      <c r="AL981" s="22">
        <v>0.1</v>
      </c>
      <c r="AM981" s="22">
        <v>0.05</v>
      </c>
      <c r="AN981" s="8">
        <v>11</v>
      </c>
      <c r="AO981" s="8">
        <v>4095</v>
      </c>
      <c r="AP981" s="8">
        <v>1760568.17</v>
      </c>
      <c r="AQ981" s="24">
        <v>2044019.64537</v>
      </c>
      <c r="AR981" s="8">
        <v>2995662.74</v>
      </c>
      <c r="AS981" s="37">
        <v>3477964.4411400002</v>
      </c>
      <c r="AT981" s="8" t="s">
        <v>385</v>
      </c>
      <c r="AU981" s="8" t="s">
        <v>322</v>
      </c>
      <c r="AV981" s="8">
        <v>86.6</v>
      </c>
      <c r="AW981" s="8">
        <v>60</v>
      </c>
      <c r="AX981" s="8" t="s">
        <v>387</v>
      </c>
      <c r="AY981" s="8" t="s">
        <v>229</v>
      </c>
      <c r="AZ981" s="8" t="s">
        <v>357</v>
      </c>
      <c r="BA981" s="21">
        <f>IF(OR(tblsales[[#This Row],[Invoice Value USD]]="",tblsales[[#This Row],[Collected Amount USD]]=""),"",tblsales[[#This Row],[Invoice Value USD]]-tblsales[[#This Row],[Collected Amount USD]])</f>
        <v>2205677.8426500005</v>
      </c>
      <c r="BB981" s="21">
        <f>IF(OR(tblsales[[#This Row],[Contract Value USD]]="",tblsales[[#This Row],[Cost Estimate USD]]=""),"",tblsales[[#This Row],[Contract Value USD]]-tblsales[[#This Row],[Cost Estimate USD]])</f>
        <v>3103672.1821199991</v>
      </c>
      <c r="BC981" s="21">
        <f>IF(OR(tblsales[[#This Row],[Contract Value USD]]="",tblsales[[#This Row],[Cost Estimate USD]]=""),"",tblsales[[#This Row],[Contract Value USD]]-tblsales[[#This Row],[Cost Estimate USD]])</f>
        <v>3103672.1821199991</v>
      </c>
      <c r="BD981" s="23">
        <f>IF(tblsales[[#This Row],[Invoice Value USD]]="","",tblsales[[#This Row],[Collected Amount USD]]/tblsales[[#This Row],[Invoice Value USD]])</f>
        <v>0.58123492807764676</v>
      </c>
      <c r="BE981" s="11">
        <f>IF(tblsales[[#This Row],[SalesStage]]="Won",1,0)</f>
        <v>0</v>
      </c>
      <c r="BF981" s="21" t="str">
        <f>IF(tblsales[[#This Row],[Win Flag]]=1,"Won","Lost")</f>
        <v>Lost</v>
      </c>
      <c r="BG981" s="8"/>
    </row>
    <row r="982" spans="1:59" x14ac:dyDescent="0.3">
      <c r="A982" s="10" t="s">
        <v>3211</v>
      </c>
      <c r="B982" s="9">
        <v>45831</v>
      </c>
      <c r="C982" s="10" t="s">
        <v>273</v>
      </c>
      <c r="D982" s="10" t="s">
        <v>245</v>
      </c>
      <c r="E982" s="10" t="s">
        <v>36</v>
      </c>
      <c r="F982" s="10" t="s">
        <v>339</v>
      </c>
      <c r="G982" s="10" t="s">
        <v>46</v>
      </c>
      <c r="H982" s="10" t="s">
        <v>236</v>
      </c>
      <c r="I982" s="10" t="s">
        <v>191</v>
      </c>
      <c r="J982" s="10" t="s">
        <v>115</v>
      </c>
      <c r="K982" s="10" t="s">
        <v>221</v>
      </c>
      <c r="L982" s="10" t="s">
        <v>3212</v>
      </c>
      <c r="M982" s="9">
        <v>45818</v>
      </c>
      <c r="N982" s="9">
        <v>45879</v>
      </c>
      <c r="O982" s="9">
        <v>45785</v>
      </c>
      <c r="P982" s="11">
        <v>46</v>
      </c>
      <c r="Q982" s="12">
        <v>43103154</v>
      </c>
      <c r="R982">
        <v>50042761.794</v>
      </c>
      <c r="S982" s="22">
        <v>0.13</v>
      </c>
      <c r="T982" s="22">
        <v>0</v>
      </c>
      <c r="U982" s="12">
        <v>37499743.979999997</v>
      </c>
      <c r="V982" s="24">
        <v>43537202.760779999</v>
      </c>
      <c r="W982" s="8">
        <v>29726618.329999998</v>
      </c>
      <c r="X982" s="24">
        <v>34512603.881130002</v>
      </c>
      <c r="Y982" s="22">
        <v>0.09</v>
      </c>
      <c r="Z982" s="22">
        <v>0.14000000000000001</v>
      </c>
      <c r="AA982" s="8" t="s">
        <v>3213</v>
      </c>
      <c r="AB982" s="8">
        <v>16759214.43</v>
      </c>
      <c r="AC982" s="24">
        <v>19457447.953230001</v>
      </c>
      <c r="AD982" s="8">
        <v>13497378.689999999</v>
      </c>
      <c r="AE982" s="24">
        <v>15670456.659089999</v>
      </c>
      <c r="AF982" s="8">
        <v>90</v>
      </c>
      <c r="AG982" s="8">
        <v>120</v>
      </c>
      <c r="AH982" s="8" t="s">
        <v>353</v>
      </c>
      <c r="AI982" s="8" t="s">
        <v>226</v>
      </c>
      <c r="AJ982" s="22">
        <v>0.66</v>
      </c>
      <c r="AK982" s="8" t="s">
        <v>159</v>
      </c>
      <c r="AL982" s="22">
        <v>0.05</v>
      </c>
      <c r="AM982" s="22">
        <v>0.02</v>
      </c>
      <c r="AN982" s="8">
        <v>13</v>
      </c>
      <c r="AO982" s="8">
        <v>3778</v>
      </c>
      <c r="AP982" s="8">
        <v>3482756.21</v>
      </c>
      <c r="AQ982" s="24">
        <v>4043479.9598099999</v>
      </c>
      <c r="AR982" s="8"/>
      <c r="AS982" s="37"/>
      <c r="AT982" s="8" t="s">
        <v>321</v>
      </c>
      <c r="AU982" s="8" t="s">
        <v>332</v>
      </c>
      <c r="AV982" s="8">
        <v>70.400000000000006</v>
      </c>
      <c r="AW982" s="8">
        <v>36</v>
      </c>
      <c r="AX982" s="8" t="s">
        <v>323</v>
      </c>
      <c r="AY982" s="8" t="s">
        <v>206</v>
      </c>
      <c r="AZ982" s="8" t="s">
        <v>377</v>
      </c>
      <c r="BA982" s="21">
        <f>IF(OR(tblsales[[#This Row],[Invoice Value USD]]="",tblsales[[#This Row],[Collected Amount USD]]=""),"",tblsales[[#This Row],[Invoice Value USD]]-tblsales[[#This Row],[Collected Amount USD]])</f>
        <v>3786991.2941400018</v>
      </c>
      <c r="BB982" s="21">
        <f>IF(OR(tblsales[[#This Row],[Contract Value USD]]="",tblsales[[#This Row],[Cost Estimate USD]]=""),"",tblsales[[#This Row],[Contract Value USD]]-tblsales[[#This Row],[Cost Estimate USD]])</f>
        <v>9024598.8796499968</v>
      </c>
      <c r="BC982" s="21">
        <f>IF(OR(tblsales[[#This Row],[Contract Value USD]]="",tblsales[[#This Row],[Cost Estimate USD]]=""),"",tblsales[[#This Row],[Contract Value USD]]-tblsales[[#This Row],[Cost Estimate USD]])</f>
        <v>9024598.8796499968</v>
      </c>
      <c r="BD982" s="23">
        <f>IF(tblsales[[#This Row],[Invoice Value USD]]="","",tblsales[[#This Row],[Collected Amount USD]]/tblsales[[#This Row],[Invoice Value USD]])</f>
        <v>0.8053706065028251</v>
      </c>
      <c r="BE982" s="11">
        <f>IF(tblsales[[#This Row],[SalesStage]]="Won",1,0)</f>
        <v>0</v>
      </c>
      <c r="BF982" s="21" t="str">
        <f>IF(tblsales[[#This Row],[Win Flag]]=1,"Won","Lost")</f>
        <v>Lost</v>
      </c>
      <c r="BG982" s="8"/>
    </row>
    <row r="983" spans="1:59" x14ac:dyDescent="0.3">
      <c r="A983" s="10" t="s">
        <v>3214</v>
      </c>
      <c r="B983" s="9">
        <v>45978</v>
      </c>
      <c r="C983" s="10" t="s">
        <v>256</v>
      </c>
      <c r="D983" s="10" t="s">
        <v>209</v>
      </c>
      <c r="E983" s="10" t="s">
        <v>20</v>
      </c>
      <c r="F983" s="10" t="s">
        <v>35</v>
      </c>
      <c r="G983" s="10" t="s">
        <v>70</v>
      </c>
      <c r="H983" s="10" t="s">
        <v>236</v>
      </c>
      <c r="I983" s="10" t="s">
        <v>246</v>
      </c>
      <c r="J983" s="10" t="s">
        <v>136</v>
      </c>
      <c r="K983" s="10" t="s">
        <v>199</v>
      </c>
      <c r="L983" s="10" t="s">
        <v>3215</v>
      </c>
      <c r="M983" s="9">
        <v>45945</v>
      </c>
      <c r="N983" s="9">
        <v>45942</v>
      </c>
      <c r="O983" s="9">
        <v>46175</v>
      </c>
      <c r="P983" s="11">
        <v>3</v>
      </c>
      <c r="Q983" s="12">
        <v>36774862</v>
      </c>
      <c r="R983">
        <v>42695614.781999998</v>
      </c>
      <c r="S983" s="22">
        <v>0.05</v>
      </c>
      <c r="T983" s="22">
        <v>0.08</v>
      </c>
      <c r="U983" s="12">
        <v>37731008.409999996</v>
      </c>
      <c r="V983" s="24">
        <v>43805700.764009997</v>
      </c>
      <c r="W983" s="8">
        <v>25431873.170000002</v>
      </c>
      <c r="X983" s="24">
        <v>29526404.750370003</v>
      </c>
      <c r="Y983" s="22">
        <v>0.35</v>
      </c>
      <c r="Z983" s="22">
        <v>0.18</v>
      </c>
      <c r="AA983" s="8" t="s">
        <v>3216</v>
      </c>
      <c r="AB983" s="8">
        <v>27390672.710000001</v>
      </c>
      <c r="AC983" s="24">
        <v>31800571.016310003</v>
      </c>
      <c r="AD983" s="8">
        <v>21491456.510000002</v>
      </c>
      <c r="AE983" s="24">
        <v>24951581.008110002</v>
      </c>
      <c r="AF983" s="8">
        <v>90</v>
      </c>
      <c r="AG983" s="8">
        <v>27</v>
      </c>
      <c r="AH983" s="8" t="s">
        <v>347</v>
      </c>
      <c r="AI983" s="8" t="s">
        <v>354</v>
      </c>
      <c r="AJ983" s="22">
        <v>0.13</v>
      </c>
      <c r="AK983" s="8" t="s">
        <v>159</v>
      </c>
      <c r="AL983" s="22">
        <v>0.15</v>
      </c>
      <c r="AM983" s="22">
        <v>0.06</v>
      </c>
      <c r="AN983" s="8">
        <v>0</v>
      </c>
      <c r="AO983" s="8">
        <v>3675</v>
      </c>
      <c r="AP983" s="8">
        <v>7126639.8099999996</v>
      </c>
      <c r="AQ983" s="24">
        <v>8274028.81941</v>
      </c>
      <c r="AR983" s="8">
        <v>13826665.130000001</v>
      </c>
      <c r="AS983" s="37">
        <v>16052758.215930002</v>
      </c>
      <c r="AT983" s="8" t="s">
        <v>332</v>
      </c>
      <c r="AU983" s="8" t="s">
        <v>332</v>
      </c>
      <c r="AV983" s="8">
        <v>96.9</v>
      </c>
      <c r="AW983" s="8">
        <v>12</v>
      </c>
      <c r="AX983" s="8" t="s">
        <v>392</v>
      </c>
      <c r="AY983" s="8" t="s">
        <v>186</v>
      </c>
      <c r="AZ983" s="8" t="s">
        <v>357</v>
      </c>
      <c r="BA983" s="21">
        <f>IF(OR(tblsales[[#This Row],[Invoice Value USD]]="",tblsales[[#This Row],[Collected Amount USD]]=""),"",tblsales[[#This Row],[Invoice Value USD]]-tblsales[[#This Row],[Collected Amount USD]])</f>
        <v>6848990.008200001</v>
      </c>
      <c r="BB983" s="21">
        <f>IF(OR(tblsales[[#This Row],[Contract Value USD]]="",tblsales[[#This Row],[Cost Estimate USD]]=""),"",tblsales[[#This Row],[Contract Value USD]]-tblsales[[#This Row],[Cost Estimate USD]])</f>
        <v>14279296.013639994</v>
      </c>
      <c r="BC983" s="21">
        <f>IF(OR(tblsales[[#This Row],[Contract Value USD]]="",tblsales[[#This Row],[Cost Estimate USD]]=""),"",tblsales[[#This Row],[Contract Value USD]]-tblsales[[#This Row],[Cost Estimate USD]])</f>
        <v>14279296.013639994</v>
      </c>
      <c r="BD983" s="23">
        <f>IF(tblsales[[#This Row],[Invoice Value USD]]="","",tblsales[[#This Row],[Collected Amount USD]]/tblsales[[#This Row],[Invoice Value USD]])</f>
        <v>0.78462682306279141</v>
      </c>
      <c r="BE983" s="11">
        <f>IF(tblsales[[#This Row],[SalesStage]]="Won",1,0)</f>
        <v>0</v>
      </c>
      <c r="BF983" s="21" t="str">
        <f>IF(tblsales[[#This Row],[Win Flag]]=1,"Won","Lost")</f>
        <v>Lost</v>
      </c>
      <c r="BG983" s="8"/>
    </row>
    <row r="984" spans="1:59" x14ac:dyDescent="0.3">
      <c r="A984" s="10" t="s">
        <v>3217</v>
      </c>
      <c r="B984" s="9">
        <v>45977</v>
      </c>
      <c r="C984" s="10" t="s">
        <v>276</v>
      </c>
      <c r="D984" s="10" t="s">
        <v>562</v>
      </c>
      <c r="E984" s="10" t="s">
        <v>41</v>
      </c>
      <c r="F984" s="10" t="s">
        <v>363</v>
      </c>
      <c r="G984" s="10" t="s">
        <v>38</v>
      </c>
      <c r="H984" s="10" t="s">
        <v>332</v>
      </c>
      <c r="I984" s="10" t="s">
        <v>183</v>
      </c>
      <c r="J984" s="10" t="s">
        <v>130</v>
      </c>
      <c r="K984" s="10" t="s">
        <v>210</v>
      </c>
      <c r="L984" s="10" t="s">
        <v>3218</v>
      </c>
      <c r="M984" s="9">
        <v>45900</v>
      </c>
      <c r="N984" s="9">
        <v>46023</v>
      </c>
      <c r="O984" s="9">
        <v>46268</v>
      </c>
      <c r="P984" s="11">
        <v>34</v>
      </c>
      <c r="Q984" s="12">
        <v>9601312</v>
      </c>
      <c r="R984">
        <v>9601312</v>
      </c>
      <c r="S984" s="22">
        <v>0.05</v>
      </c>
      <c r="T984" s="22">
        <v>0</v>
      </c>
      <c r="U984" s="12">
        <v>9121246.4000000004</v>
      </c>
      <c r="V984" s="24">
        <v>9121246.4000000004</v>
      </c>
      <c r="W984" s="8">
        <v>7801066.5199999996</v>
      </c>
      <c r="X984" s="24">
        <v>7801066.5199999996</v>
      </c>
      <c r="Y984" s="22">
        <v>0.28999999999999998</v>
      </c>
      <c r="Z984" s="22">
        <v>0.1</v>
      </c>
      <c r="AA984" s="8" t="s">
        <v>3219</v>
      </c>
      <c r="AB984" s="8">
        <v>6749473.6299999999</v>
      </c>
      <c r="AC984" s="24">
        <v>6749473.6299999999</v>
      </c>
      <c r="AD984" s="8">
        <v>6381822.1799999997</v>
      </c>
      <c r="AE984" s="24">
        <v>6381822.1799999997</v>
      </c>
      <c r="AF984" s="8">
        <v>45</v>
      </c>
      <c r="AG984" s="8">
        <v>77</v>
      </c>
      <c r="AH984" s="8" t="s">
        <v>342</v>
      </c>
      <c r="AI984" s="8" t="s">
        <v>406</v>
      </c>
      <c r="AJ984" s="22">
        <v>0.53</v>
      </c>
      <c r="AK984" s="8" t="s">
        <v>152</v>
      </c>
      <c r="AL984" s="22">
        <v>0.15</v>
      </c>
      <c r="AM984" s="22">
        <v>0.08</v>
      </c>
      <c r="AN984" s="8">
        <v>1</v>
      </c>
      <c r="AO984" s="8">
        <v>1227</v>
      </c>
      <c r="AP984" s="8">
        <v>2074886.96</v>
      </c>
      <c r="AQ984" s="24">
        <v>2074886.96</v>
      </c>
      <c r="AR984" s="8"/>
      <c r="AS984" s="37"/>
      <c r="AT984" s="8" t="s">
        <v>343</v>
      </c>
      <c r="AU984" s="8" t="s">
        <v>386</v>
      </c>
      <c r="AV984" s="8">
        <v>59.5</v>
      </c>
      <c r="AW984" s="8">
        <v>60</v>
      </c>
      <c r="AX984" s="8" t="s">
        <v>392</v>
      </c>
      <c r="AY984" s="8" t="s">
        <v>186</v>
      </c>
      <c r="AZ984" s="8" t="s">
        <v>361</v>
      </c>
      <c r="BA984" s="21">
        <f>IF(OR(tblsales[[#This Row],[Invoice Value USD]]="",tblsales[[#This Row],[Collected Amount USD]]=""),"",tblsales[[#This Row],[Invoice Value USD]]-tblsales[[#This Row],[Collected Amount USD]])</f>
        <v>367651.45000000019</v>
      </c>
      <c r="BB984" s="21">
        <f>IF(OR(tblsales[[#This Row],[Contract Value USD]]="",tblsales[[#This Row],[Cost Estimate USD]]=""),"",tblsales[[#This Row],[Contract Value USD]]-tblsales[[#This Row],[Cost Estimate USD]])</f>
        <v>1320179.8800000008</v>
      </c>
      <c r="BC984" s="21">
        <f>IF(OR(tblsales[[#This Row],[Contract Value USD]]="",tblsales[[#This Row],[Cost Estimate USD]]=""),"",tblsales[[#This Row],[Contract Value USD]]-tblsales[[#This Row],[Cost Estimate USD]])</f>
        <v>1320179.8800000008</v>
      </c>
      <c r="BD984" s="23">
        <f>IF(tblsales[[#This Row],[Invoice Value USD]]="","",tblsales[[#This Row],[Collected Amount USD]]/tblsales[[#This Row],[Invoice Value USD]])</f>
        <v>0.94552887081951598</v>
      </c>
      <c r="BE984" s="11">
        <f>IF(tblsales[[#This Row],[SalesStage]]="Won",1,0)</f>
        <v>0</v>
      </c>
      <c r="BF984" s="21" t="str">
        <f>IF(tblsales[[#This Row],[Win Flag]]=1,"Won","Lost")</f>
        <v>Lost</v>
      </c>
      <c r="BG984" s="8"/>
    </row>
    <row r="985" spans="1:59" x14ac:dyDescent="0.3">
      <c r="A985" s="10" t="s">
        <v>3220</v>
      </c>
      <c r="B985" s="9">
        <v>46012</v>
      </c>
      <c r="C985" s="10" t="s">
        <v>234</v>
      </c>
      <c r="D985" s="10" t="s">
        <v>215</v>
      </c>
      <c r="E985" s="10" t="s">
        <v>36</v>
      </c>
      <c r="F985" s="10" t="s">
        <v>339</v>
      </c>
      <c r="G985" s="10" t="s">
        <v>33</v>
      </c>
      <c r="H985" s="10" t="s">
        <v>182</v>
      </c>
      <c r="I985" s="10" t="s">
        <v>198</v>
      </c>
      <c r="J985" s="10" t="s">
        <v>115</v>
      </c>
      <c r="K985" s="10" t="s">
        <v>184</v>
      </c>
      <c r="L985" s="10" t="s">
        <v>3221</v>
      </c>
      <c r="M985" s="9">
        <v>45946</v>
      </c>
      <c r="N985" s="9">
        <v>46357</v>
      </c>
      <c r="O985" s="9">
        <v>46080</v>
      </c>
      <c r="P985" s="11">
        <v>13</v>
      </c>
      <c r="Q985" s="12">
        <v>622867</v>
      </c>
      <c r="R985">
        <v>622867</v>
      </c>
      <c r="S985" s="22">
        <v>0.16</v>
      </c>
      <c r="T985" s="22">
        <v>0.16</v>
      </c>
      <c r="U985" s="12">
        <v>606921.6</v>
      </c>
      <c r="V985" s="24">
        <v>606921.6</v>
      </c>
      <c r="W985" s="8">
        <v>452180.89</v>
      </c>
      <c r="X985" s="24">
        <v>452180.89</v>
      </c>
      <c r="Y985" s="22">
        <v>0.05</v>
      </c>
      <c r="Z985" s="22">
        <v>0.06</v>
      </c>
      <c r="AA985" s="8" t="s">
        <v>3222</v>
      </c>
      <c r="AB985" s="8">
        <v>161459.5</v>
      </c>
      <c r="AC985" s="24">
        <v>161459.5</v>
      </c>
      <c r="AD985" s="8">
        <v>162758.64000000001</v>
      </c>
      <c r="AE985" s="24">
        <v>162758.64000000001</v>
      </c>
      <c r="AF985" s="8">
        <v>30</v>
      </c>
      <c r="AG985" s="8">
        <v>167</v>
      </c>
      <c r="AH985" s="8" t="s">
        <v>332</v>
      </c>
      <c r="AI985" s="8" t="s">
        <v>406</v>
      </c>
      <c r="AJ985" s="22">
        <v>0.56999999999999995</v>
      </c>
      <c r="AK985" s="8" t="s">
        <v>152</v>
      </c>
      <c r="AL985" s="22">
        <v>0.15</v>
      </c>
      <c r="AM985" s="22">
        <v>0.04</v>
      </c>
      <c r="AN985" s="8">
        <v>4</v>
      </c>
      <c r="AO985" s="8">
        <v>4848</v>
      </c>
      <c r="AP985" s="8">
        <v>113576.27</v>
      </c>
      <c r="AQ985" s="24">
        <v>113576.27</v>
      </c>
      <c r="AR985" s="8">
        <v>122460.97</v>
      </c>
      <c r="AS985" s="37">
        <v>122460.97</v>
      </c>
      <c r="AT985" s="8" t="s">
        <v>355</v>
      </c>
      <c r="AU985" s="8" t="s">
        <v>321</v>
      </c>
      <c r="AV985" s="8">
        <v>71.7</v>
      </c>
      <c r="AW985" s="8">
        <v>12</v>
      </c>
      <c r="AX985" s="8" t="s">
        <v>387</v>
      </c>
      <c r="AY985" s="8" t="s">
        <v>224</v>
      </c>
      <c r="AZ985" s="8" t="s">
        <v>377</v>
      </c>
      <c r="BA985" s="21">
        <f>IF(OR(tblsales[[#This Row],[Invoice Value USD]]="",tblsales[[#This Row],[Collected Amount USD]]=""),"",tblsales[[#This Row],[Invoice Value USD]]-tblsales[[#This Row],[Collected Amount USD]])</f>
        <v>-1299.140000000014</v>
      </c>
      <c r="BB985" s="21">
        <f>IF(OR(tblsales[[#This Row],[Contract Value USD]]="",tblsales[[#This Row],[Cost Estimate USD]]=""),"",tblsales[[#This Row],[Contract Value USD]]-tblsales[[#This Row],[Cost Estimate USD]])</f>
        <v>154740.70999999996</v>
      </c>
      <c r="BC985" s="21">
        <f>IF(OR(tblsales[[#This Row],[Contract Value USD]]="",tblsales[[#This Row],[Cost Estimate USD]]=""),"",tblsales[[#This Row],[Contract Value USD]]-tblsales[[#This Row],[Cost Estimate USD]])</f>
        <v>154740.70999999996</v>
      </c>
      <c r="BD985" s="23">
        <f>IF(tblsales[[#This Row],[Invoice Value USD]]="","",tblsales[[#This Row],[Collected Amount USD]]/tblsales[[#This Row],[Invoice Value USD]])</f>
        <v>1.0080462283111244</v>
      </c>
      <c r="BE985" s="11">
        <f>IF(tblsales[[#This Row],[SalesStage]]="Won",1,0)</f>
        <v>0</v>
      </c>
      <c r="BF985" s="21" t="str">
        <f>IF(tblsales[[#This Row],[Win Flag]]=1,"Won","Lost")</f>
        <v>Lost</v>
      </c>
      <c r="BG985" s="8"/>
    </row>
    <row r="986" spans="1:59" x14ac:dyDescent="0.3">
      <c r="A986" s="10" t="s">
        <v>3223</v>
      </c>
      <c r="B986" s="9">
        <v>45691</v>
      </c>
      <c r="C986" s="10" t="s">
        <v>239</v>
      </c>
      <c r="D986" s="10" t="s">
        <v>190</v>
      </c>
      <c r="E986" s="10" t="s">
        <v>52</v>
      </c>
      <c r="F986" s="10" t="s">
        <v>75</v>
      </c>
      <c r="G986" s="10" t="s">
        <v>332</v>
      </c>
      <c r="H986" s="10" t="s">
        <v>216</v>
      </c>
      <c r="I986" s="10" t="s">
        <v>198</v>
      </c>
      <c r="J986" s="10" t="s">
        <v>119</v>
      </c>
      <c r="K986" s="10" t="s">
        <v>333</v>
      </c>
      <c r="L986" s="10" t="s">
        <v>3224</v>
      </c>
      <c r="M986" s="9">
        <v>45870</v>
      </c>
      <c r="N986" s="9">
        <v>45717</v>
      </c>
      <c r="O986" s="9"/>
      <c r="P986" s="11">
        <v>57</v>
      </c>
      <c r="Q986" s="12">
        <v>49361743</v>
      </c>
      <c r="R986">
        <v>13559670.802100001</v>
      </c>
      <c r="S986" s="22">
        <v>0.28999999999999998</v>
      </c>
      <c r="T986" s="22">
        <v>0.16</v>
      </c>
      <c r="U986" s="12">
        <v>40654331.530000001</v>
      </c>
      <c r="V986" s="24">
        <v>11167744.871291</v>
      </c>
      <c r="W986" s="8">
        <v>33919816.479999997</v>
      </c>
      <c r="X986" s="24">
        <v>9317773.5870559998</v>
      </c>
      <c r="Y986" s="22">
        <v>0.11</v>
      </c>
      <c r="Z986" s="22">
        <v>0.2</v>
      </c>
      <c r="AA986" s="8" t="s">
        <v>3225</v>
      </c>
      <c r="AB986" s="8">
        <v>35430478.82</v>
      </c>
      <c r="AC986" s="24">
        <v>9732752.5318539999</v>
      </c>
      <c r="AD986" s="8">
        <v>16078860.199999999</v>
      </c>
      <c r="AE986" s="24">
        <v>4416862.8969399994</v>
      </c>
      <c r="AF986" s="8">
        <v>90</v>
      </c>
      <c r="AG986" s="8">
        <v>54</v>
      </c>
      <c r="AH986" s="8" t="s">
        <v>353</v>
      </c>
      <c r="AI986" s="8" t="s">
        <v>381</v>
      </c>
      <c r="AJ986" s="22">
        <v>0.73</v>
      </c>
      <c r="AK986" s="8" t="s">
        <v>155</v>
      </c>
      <c r="AL986" s="22">
        <v>0.1</v>
      </c>
      <c r="AM986" s="22">
        <v>0.03</v>
      </c>
      <c r="AN986" s="8">
        <v>15</v>
      </c>
      <c r="AO986" s="8"/>
      <c r="AP986" s="8">
        <v>3195560.5</v>
      </c>
      <c r="AQ986" s="24">
        <v>877820.46935000003</v>
      </c>
      <c r="AR986" s="8">
        <v>7638562.4199999999</v>
      </c>
      <c r="AS986" s="37">
        <v>2098313.0967740002</v>
      </c>
      <c r="AT986" s="8" t="s">
        <v>73</v>
      </c>
      <c r="AU986" s="8" t="s">
        <v>330</v>
      </c>
      <c r="AV986" s="8">
        <v>63.1</v>
      </c>
      <c r="AW986" s="8">
        <v>12</v>
      </c>
      <c r="AX986" s="8" t="s">
        <v>332</v>
      </c>
      <c r="AY986" s="8" t="s">
        <v>186</v>
      </c>
      <c r="AZ986" s="8" t="s">
        <v>188</v>
      </c>
      <c r="BA986" s="21">
        <f>IF(OR(tblsales[[#This Row],[Invoice Value USD]]="",tblsales[[#This Row],[Collected Amount USD]]=""),"",tblsales[[#This Row],[Invoice Value USD]]-tblsales[[#This Row],[Collected Amount USD]])</f>
        <v>5315889.6349140005</v>
      </c>
      <c r="BB986" s="21">
        <f>IF(OR(tblsales[[#This Row],[Contract Value USD]]="",tblsales[[#This Row],[Cost Estimate USD]]=""),"",tblsales[[#This Row],[Contract Value USD]]-tblsales[[#This Row],[Cost Estimate USD]])</f>
        <v>1849971.2842350006</v>
      </c>
      <c r="BC986" s="21">
        <f>IF(OR(tblsales[[#This Row],[Contract Value USD]]="",tblsales[[#This Row],[Cost Estimate USD]]=""),"",tblsales[[#This Row],[Contract Value USD]]-tblsales[[#This Row],[Cost Estimate USD]])</f>
        <v>1849971.2842350006</v>
      </c>
      <c r="BD986" s="23">
        <f>IF(tblsales[[#This Row],[Invoice Value USD]]="","",tblsales[[#This Row],[Collected Amount USD]]/tblsales[[#This Row],[Invoice Value USD]])</f>
        <v>0.45381436366374228</v>
      </c>
      <c r="BE986" s="11">
        <f>IF(tblsales[[#This Row],[SalesStage]]="Won",1,0)</f>
        <v>0</v>
      </c>
      <c r="BF986" s="21" t="str">
        <f>IF(tblsales[[#This Row],[Win Flag]]=1,"Won","Lost")</f>
        <v>Lost</v>
      </c>
      <c r="BG986" s="8"/>
    </row>
    <row r="987" spans="1:59" x14ac:dyDescent="0.3">
      <c r="A987" s="10" t="s">
        <v>3226</v>
      </c>
      <c r="B987" s="9">
        <v>45729</v>
      </c>
      <c r="C987" s="10" t="s">
        <v>269</v>
      </c>
      <c r="D987" s="10" t="s">
        <v>220</v>
      </c>
      <c r="E987" s="10" t="s">
        <v>113</v>
      </c>
      <c r="F987" s="10" t="s">
        <v>367</v>
      </c>
      <c r="G987" s="10" t="s">
        <v>38</v>
      </c>
      <c r="H987" s="10" t="s">
        <v>236</v>
      </c>
      <c r="I987" s="10" t="s">
        <v>198</v>
      </c>
      <c r="J987" s="10" t="s">
        <v>111</v>
      </c>
      <c r="K987" s="10" t="s">
        <v>184</v>
      </c>
      <c r="L987" s="10" t="s">
        <v>3227</v>
      </c>
      <c r="M987" s="9">
        <v>45703</v>
      </c>
      <c r="N987" s="9">
        <v>45775</v>
      </c>
      <c r="O987" s="9">
        <v>45843</v>
      </c>
      <c r="P987" s="11">
        <v>39</v>
      </c>
      <c r="Q987" s="12">
        <v>11115582</v>
      </c>
      <c r="R987">
        <v>2964525.7193999998</v>
      </c>
      <c r="S987" s="22">
        <v>7.0000000000000007E-2</v>
      </c>
      <c r="T987" s="22">
        <v>-0.03</v>
      </c>
      <c r="U987" s="12">
        <v>10027366.52</v>
      </c>
      <c r="V987" s="24">
        <v>2674298.6508839997</v>
      </c>
      <c r="W987" s="8">
        <v>8289036.3899999997</v>
      </c>
      <c r="X987" s="24">
        <v>2210686.0052129999</v>
      </c>
      <c r="Y987" s="22">
        <v>0.17</v>
      </c>
      <c r="Z987" s="22">
        <v>0.11</v>
      </c>
      <c r="AA987" s="8" t="s">
        <v>3228</v>
      </c>
      <c r="AB987" s="8">
        <v>6321036.6500000004</v>
      </c>
      <c r="AC987" s="24">
        <v>1685820.474555</v>
      </c>
      <c r="AD987" s="8">
        <v>5064916.3</v>
      </c>
      <c r="AE987" s="24">
        <v>1350813.1772099999</v>
      </c>
      <c r="AF987" s="8">
        <v>45</v>
      </c>
      <c r="AG987" s="8">
        <v>12</v>
      </c>
      <c r="AH987" s="8" t="s">
        <v>332</v>
      </c>
      <c r="AI987" s="8" t="s">
        <v>354</v>
      </c>
      <c r="AJ987" s="22">
        <v>0.08</v>
      </c>
      <c r="AK987" s="8" t="s">
        <v>162</v>
      </c>
      <c r="AL987" s="22">
        <v>0.1</v>
      </c>
      <c r="AM987" s="22">
        <v>0.01</v>
      </c>
      <c r="AN987" s="8">
        <v>4</v>
      </c>
      <c r="AO987" s="8">
        <v>2640</v>
      </c>
      <c r="AP987" s="8">
        <v>463955.85</v>
      </c>
      <c r="AQ987" s="24">
        <v>123737.02519499999</v>
      </c>
      <c r="AR987" s="8">
        <v>3582877.25</v>
      </c>
      <c r="AS987" s="37">
        <v>955553.36257499992</v>
      </c>
      <c r="AT987" s="8" t="s">
        <v>391</v>
      </c>
      <c r="AU987" s="8" t="s">
        <v>348</v>
      </c>
      <c r="AV987" s="8">
        <v>80.8</v>
      </c>
      <c r="AW987" s="8">
        <v>36</v>
      </c>
      <c r="AX987" s="8" t="s">
        <v>332</v>
      </c>
      <c r="AY987" s="8" t="s">
        <v>224</v>
      </c>
      <c r="AZ987" s="8" t="s">
        <v>377</v>
      </c>
      <c r="BA987" s="21">
        <f>IF(OR(tblsales[[#This Row],[Invoice Value USD]]="",tblsales[[#This Row],[Collected Amount USD]]=""),"",tblsales[[#This Row],[Invoice Value USD]]-tblsales[[#This Row],[Collected Amount USD]])</f>
        <v>335007.29734500009</v>
      </c>
      <c r="BB987" s="21">
        <f>IF(OR(tblsales[[#This Row],[Contract Value USD]]="",tblsales[[#This Row],[Cost Estimate USD]]=""),"",tblsales[[#This Row],[Contract Value USD]]-tblsales[[#This Row],[Cost Estimate USD]])</f>
        <v>463612.64567099977</v>
      </c>
      <c r="BC987" s="21">
        <f>IF(OR(tblsales[[#This Row],[Contract Value USD]]="",tblsales[[#This Row],[Cost Estimate USD]]=""),"",tblsales[[#This Row],[Contract Value USD]]-tblsales[[#This Row],[Cost Estimate USD]])</f>
        <v>463612.64567099977</v>
      </c>
      <c r="BD987" s="23">
        <f>IF(tblsales[[#This Row],[Invoice Value USD]]="","",tblsales[[#This Row],[Collected Amount USD]]/tblsales[[#This Row],[Invoice Value USD]])</f>
        <v>0.80127937559102735</v>
      </c>
      <c r="BE987" s="11">
        <f>IF(tblsales[[#This Row],[SalesStage]]="Won",1,0)</f>
        <v>0</v>
      </c>
      <c r="BF987" s="21" t="str">
        <f>IF(tblsales[[#This Row],[Win Flag]]=1,"Won","Lost")</f>
        <v>Lost</v>
      </c>
      <c r="BG987" s="8"/>
    </row>
    <row r="988" spans="1:59" x14ac:dyDescent="0.3">
      <c r="A988" s="10" t="s">
        <v>3229</v>
      </c>
      <c r="B988" s="9">
        <v>45909</v>
      </c>
      <c r="C988" s="10" t="s">
        <v>282</v>
      </c>
      <c r="D988" s="10" t="s">
        <v>180</v>
      </c>
      <c r="E988" s="10" t="s">
        <v>41</v>
      </c>
      <c r="F988" s="10" t="s">
        <v>350</v>
      </c>
      <c r="G988" s="10" t="s">
        <v>33</v>
      </c>
      <c r="H988" s="10" t="s">
        <v>212</v>
      </c>
      <c r="I988" s="10" t="s">
        <v>240</v>
      </c>
      <c r="J988" s="10" t="s">
        <v>105</v>
      </c>
      <c r="K988" s="10" t="s">
        <v>223</v>
      </c>
      <c r="L988" s="10" t="s">
        <v>3230</v>
      </c>
      <c r="M988" s="9">
        <v>45866</v>
      </c>
      <c r="N988" s="9"/>
      <c r="O988" s="9">
        <v>46082</v>
      </c>
      <c r="P988" s="11">
        <v>58</v>
      </c>
      <c r="Q988" s="12">
        <v>21355855</v>
      </c>
      <c r="R988">
        <v>24794147.655000001</v>
      </c>
      <c r="S988" s="22">
        <v>0.21</v>
      </c>
      <c r="T988" s="22">
        <v>0.17</v>
      </c>
      <c r="U988" s="12">
        <v>19739216.780000001</v>
      </c>
      <c r="V988" s="24">
        <v>22917230.681580003</v>
      </c>
      <c r="W988" s="8">
        <v>15651213.17</v>
      </c>
      <c r="X988" s="24">
        <v>18171058.490370002</v>
      </c>
      <c r="Y988" s="22">
        <v>0.19</v>
      </c>
      <c r="Z988" s="22">
        <v>0.06</v>
      </c>
      <c r="AA988" s="8" t="s">
        <v>3231</v>
      </c>
      <c r="AB988" s="8">
        <v>3607144.79</v>
      </c>
      <c r="AC988" s="24">
        <v>4187895.1011900003</v>
      </c>
      <c r="AD988" s="8">
        <v>1685230.31</v>
      </c>
      <c r="AE988" s="24">
        <v>1956552.3899100001</v>
      </c>
      <c r="AF988" s="8">
        <v>120</v>
      </c>
      <c r="AG988" s="8">
        <v>166</v>
      </c>
      <c r="AH988" s="8" t="s">
        <v>376</v>
      </c>
      <c r="AI988" s="8" t="s">
        <v>336</v>
      </c>
      <c r="AJ988" s="22">
        <v>0.56000000000000005</v>
      </c>
      <c r="AK988" s="8" t="s">
        <v>159</v>
      </c>
      <c r="AL988" s="22">
        <v>0.15</v>
      </c>
      <c r="AM988" s="22">
        <v>0.05</v>
      </c>
      <c r="AN988" s="8">
        <v>12</v>
      </c>
      <c r="AO988" s="8">
        <v>2250</v>
      </c>
      <c r="AP988" s="8">
        <v>4441083.97</v>
      </c>
      <c r="AQ988" s="24">
        <v>5156098.48917</v>
      </c>
      <c r="AR988" s="8">
        <v>8317375.7699999996</v>
      </c>
      <c r="AS988" s="37">
        <v>9656473.2689699996</v>
      </c>
      <c r="AT988" s="8" t="s">
        <v>332</v>
      </c>
      <c r="AU988" s="8" t="s">
        <v>322</v>
      </c>
      <c r="AV988" s="8">
        <v>71.2</v>
      </c>
      <c r="AW988" s="8">
        <v>24</v>
      </c>
      <c r="AX988" s="8" t="s">
        <v>387</v>
      </c>
      <c r="AY988" s="8" t="s">
        <v>224</v>
      </c>
      <c r="AZ988" s="8" t="s">
        <v>357</v>
      </c>
      <c r="BA988" s="21">
        <f>IF(OR(tblsales[[#This Row],[Invoice Value USD]]="",tblsales[[#This Row],[Collected Amount USD]]=""),"",tblsales[[#This Row],[Invoice Value USD]]-tblsales[[#This Row],[Collected Amount USD]])</f>
        <v>2231342.7112800004</v>
      </c>
      <c r="BB988" s="21">
        <f>IF(OR(tblsales[[#This Row],[Contract Value USD]]="",tblsales[[#This Row],[Cost Estimate USD]]=""),"",tblsales[[#This Row],[Contract Value USD]]-tblsales[[#This Row],[Cost Estimate USD]])</f>
        <v>4746172.1912100017</v>
      </c>
      <c r="BC988" s="21">
        <f>IF(OR(tblsales[[#This Row],[Contract Value USD]]="",tblsales[[#This Row],[Cost Estimate USD]]=""),"",tblsales[[#This Row],[Contract Value USD]]-tblsales[[#This Row],[Cost Estimate USD]])</f>
        <v>4746172.1912100017</v>
      </c>
      <c r="BD988" s="23">
        <f>IF(tblsales[[#This Row],[Invoice Value USD]]="","",tblsales[[#This Row],[Collected Amount USD]]/tblsales[[#This Row],[Invoice Value USD]])</f>
        <v>0.46719231084705087</v>
      </c>
      <c r="BE988" s="11">
        <f>IF(tblsales[[#This Row],[SalesStage]]="Won",1,0)</f>
        <v>0</v>
      </c>
      <c r="BF988" s="21" t="str">
        <f>IF(tblsales[[#This Row],[Win Flag]]=1,"Won","Lost")</f>
        <v>Lost</v>
      </c>
      <c r="BG988" s="8"/>
    </row>
    <row r="989" spans="1:59" x14ac:dyDescent="0.3">
      <c r="A989" s="10" t="s">
        <v>3232</v>
      </c>
      <c r="B989" s="9">
        <v>45812</v>
      </c>
      <c r="C989" s="10" t="s">
        <v>211</v>
      </c>
      <c r="D989" s="10" t="s">
        <v>248</v>
      </c>
      <c r="E989" s="10" t="s">
        <v>41</v>
      </c>
      <c r="F989" s="10" t="s">
        <v>350</v>
      </c>
      <c r="G989" s="10" t="s">
        <v>46</v>
      </c>
      <c r="H989" s="10" t="s">
        <v>263</v>
      </c>
      <c r="I989" s="10" t="s">
        <v>233</v>
      </c>
      <c r="J989" s="10" t="s">
        <v>105</v>
      </c>
      <c r="K989" s="10" t="s">
        <v>199</v>
      </c>
      <c r="L989" s="10" t="s">
        <v>3233</v>
      </c>
      <c r="M989" s="9">
        <v>45769</v>
      </c>
      <c r="N989" s="9">
        <v>45784</v>
      </c>
      <c r="O989" s="9">
        <v>45868</v>
      </c>
      <c r="P989" s="11">
        <v>13</v>
      </c>
      <c r="Q989" s="12">
        <v>44942154</v>
      </c>
      <c r="R989">
        <v>52177840.794</v>
      </c>
      <c r="S989" s="22">
        <v>0.21</v>
      </c>
      <c r="T989" s="22">
        <v>0.06</v>
      </c>
      <c r="U989" s="12">
        <v>37634559.759999998</v>
      </c>
      <c r="V989" s="24">
        <v>43693723.881360002</v>
      </c>
      <c r="W989" s="8">
        <v>23720179.699999999</v>
      </c>
      <c r="X989" s="24">
        <v>27539128.631700002</v>
      </c>
      <c r="Y989" s="22">
        <v>0.26</v>
      </c>
      <c r="Z989" s="22">
        <v>0.19</v>
      </c>
      <c r="AA989" s="8" t="s">
        <v>3234</v>
      </c>
      <c r="AB989" s="8">
        <v>12461176.68</v>
      </c>
      <c r="AC989" s="24">
        <v>14467426.12548</v>
      </c>
      <c r="AD989" s="8">
        <v>7074516.79</v>
      </c>
      <c r="AE989" s="24">
        <v>8213513.9931899998</v>
      </c>
      <c r="AF989" s="8">
        <v>120</v>
      </c>
      <c r="AG989" s="8">
        <v>40</v>
      </c>
      <c r="AH989" s="8" t="s">
        <v>342</v>
      </c>
      <c r="AI989" s="8" t="s">
        <v>320</v>
      </c>
      <c r="AJ989" s="22">
        <v>0.2</v>
      </c>
      <c r="AK989" s="8" t="s">
        <v>159</v>
      </c>
      <c r="AL989" s="22">
        <v>0.05</v>
      </c>
      <c r="AM989" s="22">
        <v>0.09</v>
      </c>
      <c r="AN989" s="8">
        <v>9</v>
      </c>
      <c r="AO989" s="8"/>
      <c r="AP989" s="8">
        <v>1480181.23</v>
      </c>
      <c r="AQ989" s="24">
        <v>1718490.40803</v>
      </c>
      <c r="AR989" s="8">
        <v>14328162.390000001</v>
      </c>
      <c r="AS989" s="37">
        <v>16634996.534790002</v>
      </c>
      <c r="AT989" s="8" t="s">
        <v>73</v>
      </c>
      <c r="AU989" s="8" t="s">
        <v>322</v>
      </c>
      <c r="AV989" s="8">
        <v>82</v>
      </c>
      <c r="AW989" s="8">
        <v>60</v>
      </c>
      <c r="AX989" s="8" t="s">
        <v>337</v>
      </c>
      <c r="AY989" s="8" t="s">
        <v>229</v>
      </c>
      <c r="AZ989" s="8" t="s">
        <v>332</v>
      </c>
      <c r="BA989" s="21">
        <f>IF(OR(tblsales[[#This Row],[Invoice Value USD]]="",tblsales[[#This Row],[Collected Amount USD]]=""),"",tblsales[[#This Row],[Invoice Value USD]]-tblsales[[#This Row],[Collected Amount USD]])</f>
        <v>6253912.1322900001</v>
      </c>
      <c r="BB989" s="21">
        <f>IF(OR(tblsales[[#This Row],[Contract Value USD]]="",tblsales[[#This Row],[Cost Estimate USD]]=""),"",tblsales[[#This Row],[Contract Value USD]]-tblsales[[#This Row],[Cost Estimate USD]])</f>
        <v>16154595.24966</v>
      </c>
      <c r="BC989" s="21">
        <f>IF(OR(tblsales[[#This Row],[Contract Value USD]]="",tblsales[[#This Row],[Cost Estimate USD]]=""),"",tblsales[[#This Row],[Contract Value USD]]-tblsales[[#This Row],[Cost Estimate USD]])</f>
        <v>16154595.24966</v>
      </c>
      <c r="BD989" s="23">
        <f>IF(tblsales[[#This Row],[Invoice Value USD]]="","",tblsales[[#This Row],[Collected Amount USD]]/tblsales[[#This Row],[Invoice Value USD]])</f>
        <v>0.5677246195661837</v>
      </c>
      <c r="BE989" s="11">
        <f>IF(tblsales[[#This Row],[SalesStage]]="Won",1,0)</f>
        <v>1</v>
      </c>
      <c r="BF989" s="21" t="str">
        <f>IF(tblsales[[#This Row],[Win Flag]]=1,"Won","Lost")</f>
        <v>Won</v>
      </c>
      <c r="BG989" s="8"/>
    </row>
    <row r="990" spans="1:59" x14ac:dyDescent="0.3">
      <c r="A990" s="10" t="s">
        <v>3235</v>
      </c>
      <c r="B990" s="9">
        <v>45927</v>
      </c>
      <c r="C990" s="10" t="s">
        <v>234</v>
      </c>
      <c r="D990" s="10" t="s">
        <v>215</v>
      </c>
      <c r="E990" s="10" t="s">
        <v>113</v>
      </c>
      <c r="F990" s="10" t="s">
        <v>181</v>
      </c>
      <c r="G990" s="10" t="s">
        <v>66</v>
      </c>
      <c r="H990" s="10" t="s">
        <v>216</v>
      </c>
      <c r="I990" s="10" t="s">
        <v>203</v>
      </c>
      <c r="J990" s="10" t="s">
        <v>111</v>
      </c>
      <c r="K990" s="10" t="s">
        <v>199</v>
      </c>
      <c r="L990" s="10" t="s">
        <v>3236</v>
      </c>
      <c r="M990" s="9">
        <v>45878</v>
      </c>
      <c r="N990" s="9">
        <v>45981</v>
      </c>
      <c r="O990" s="9">
        <v>46046</v>
      </c>
      <c r="P990" s="11">
        <v>10</v>
      </c>
      <c r="Q990" s="12">
        <v>30425903</v>
      </c>
      <c r="R990">
        <v>8284973.3868999993</v>
      </c>
      <c r="S990" s="22">
        <v>0.08</v>
      </c>
      <c r="T990" s="22">
        <v>-0.05</v>
      </c>
      <c r="U990" s="12">
        <v>26592239.219999999</v>
      </c>
      <c r="V990" s="24">
        <v>7241066.7396059996</v>
      </c>
      <c r="W990" s="8">
        <v>23256020.73</v>
      </c>
      <c r="X990" s="24">
        <v>6332614.4447790002</v>
      </c>
      <c r="Y990" s="22">
        <v>0.19</v>
      </c>
      <c r="Z990" s="22">
        <v>0.1</v>
      </c>
      <c r="AA990" s="8" t="s">
        <v>3237</v>
      </c>
      <c r="AB990" s="8">
        <v>2760645.92</v>
      </c>
      <c r="AC990" s="24">
        <v>751723.88401599997</v>
      </c>
      <c r="AD990" s="8">
        <v>1019583.85</v>
      </c>
      <c r="AE990" s="24">
        <v>277632.682355</v>
      </c>
      <c r="AF990" s="8">
        <v>30</v>
      </c>
      <c r="AG990" s="8">
        <v>104</v>
      </c>
      <c r="AH990" s="8" t="s">
        <v>332</v>
      </c>
      <c r="AI990" s="8" t="s">
        <v>406</v>
      </c>
      <c r="AJ990" s="22">
        <v>0.63</v>
      </c>
      <c r="AK990" s="8" t="s">
        <v>153</v>
      </c>
      <c r="AL990" s="22">
        <v>0.1</v>
      </c>
      <c r="AM990" s="22">
        <v>0.09</v>
      </c>
      <c r="AN990" s="8">
        <v>4</v>
      </c>
      <c r="AO990" s="8">
        <v>1373</v>
      </c>
      <c r="AP990" s="8">
        <v>2544490.81</v>
      </c>
      <c r="AQ990" s="24">
        <v>692864.84756299993</v>
      </c>
      <c r="AR990" s="8">
        <v>11189469.539999999</v>
      </c>
      <c r="AS990" s="37">
        <v>3046892.5557419998</v>
      </c>
      <c r="AT990" s="8" t="s">
        <v>321</v>
      </c>
      <c r="AU990" s="8" t="s">
        <v>322</v>
      </c>
      <c r="AV990" s="8">
        <v>65.5</v>
      </c>
      <c r="AW990" s="8">
        <v>24</v>
      </c>
      <c r="AX990" s="8" t="s">
        <v>323</v>
      </c>
      <c r="AY990" s="8" t="s">
        <v>229</v>
      </c>
      <c r="AZ990" s="8" t="s">
        <v>332</v>
      </c>
      <c r="BA990" s="21">
        <f>IF(OR(tblsales[[#This Row],[Invoice Value USD]]="",tblsales[[#This Row],[Collected Amount USD]]=""),"",tblsales[[#This Row],[Invoice Value USD]]-tblsales[[#This Row],[Collected Amount USD]])</f>
        <v>474091.20166099997</v>
      </c>
      <c r="BB990" s="21">
        <f>IF(OR(tblsales[[#This Row],[Contract Value USD]]="",tblsales[[#This Row],[Cost Estimate USD]]=""),"",tblsales[[#This Row],[Contract Value USD]]-tblsales[[#This Row],[Cost Estimate USD]])</f>
        <v>908452.29482699931</v>
      </c>
      <c r="BC990" s="21">
        <f>IF(OR(tblsales[[#This Row],[Contract Value USD]]="",tblsales[[#This Row],[Cost Estimate USD]]=""),"",tblsales[[#This Row],[Contract Value USD]]-tblsales[[#This Row],[Cost Estimate USD]])</f>
        <v>908452.29482699931</v>
      </c>
      <c r="BD990" s="23">
        <f>IF(tblsales[[#This Row],[Invoice Value USD]]="","",tblsales[[#This Row],[Collected Amount USD]]/tblsales[[#This Row],[Invoice Value USD]])</f>
        <v>0.36932800494747986</v>
      </c>
      <c r="BE990" s="11">
        <f>IF(tblsales[[#This Row],[SalesStage]]="Won",1,0)</f>
        <v>0</v>
      </c>
      <c r="BF990" s="21" t="str">
        <f>IF(tblsales[[#This Row],[Win Flag]]=1,"Won","Lost")</f>
        <v>Lost</v>
      </c>
      <c r="BG990" s="8"/>
    </row>
    <row r="991" spans="1:59" x14ac:dyDescent="0.3">
      <c r="A991" s="10" t="s">
        <v>3238</v>
      </c>
      <c r="B991" s="9">
        <v>46007</v>
      </c>
      <c r="C991" s="10" t="s">
        <v>282</v>
      </c>
      <c r="D991" s="10" t="s">
        <v>394</v>
      </c>
      <c r="E991" s="10" t="s">
        <v>52</v>
      </c>
      <c r="F991" s="10" t="s">
        <v>75</v>
      </c>
      <c r="G991" s="10" t="s">
        <v>332</v>
      </c>
      <c r="H991" s="10" t="s">
        <v>332</v>
      </c>
      <c r="I991" s="10" t="s">
        <v>203</v>
      </c>
      <c r="J991" s="10" t="s">
        <v>133</v>
      </c>
      <c r="K991" s="10" t="s">
        <v>210</v>
      </c>
      <c r="L991" s="10" t="s">
        <v>3239</v>
      </c>
      <c r="M991" s="9">
        <v>45955</v>
      </c>
      <c r="N991" s="9">
        <v>46007</v>
      </c>
      <c r="O991" s="9">
        <v>46043</v>
      </c>
      <c r="P991" s="11">
        <v>52</v>
      </c>
      <c r="Q991" s="12">
        <v>18727965</v>
      </c>
      <c r="R991">
        <v>21743167.365000002</v>
      </c>
      <c r="S991" s="22">
        <v>0.09</v>
      </c>
      <c r="T991" s="22">
        <v>-0.03</v>
      </c>
      <c r="U991" s="12">
        <v>16531174.710000001</v>
      </c>
      <c r="V991" s="24">
        <v>19192693.838310003</v>
      </c>
      <c r="W991" s="8">
        <v>12785929.41</v>
      </c>
      <c r="X991" s="24">
        <v>14844464.04501</v>
      </c>
      <c r="Y991" s="22">
        <v>0.21</v>
      </c>
      <c r="Z991" s="22">
        <v>0.05</v>
      </c>
      <c r="AA991" s="8" t="s">
        <v>3240</v>
      </c>
      <c r="AB991" s="8">
        <v>8787015.4199999999</v>
      </c>
      <c r="AC991" s="24">
        <v>10201724.902620001</v>
      </c>
      <c r="AD991" s="8">
        <v>3455613.18</v>
      </c>
      <c r="AE991" s="24">
        <v>4011966.9019800001</v>
      </c>
      <c r="AF991" s="8">
        <v>30</v>
      </c>
      <c r="AG991" s="8">
        <v>80</v>
      </c>
      <c r="AH991" s="8" t="s">
        <v>342</v>
      </c>
      <c r="AI991" s="8" t="s">
        <v>381</v>
      </c>
      <c r="AJ991" s="22">
        <v>0.66</v>
      </c>
      <c r="AK991" s="8" t="s">
        <v>159</v>
      </c>
      <c r="AL991" s="22">
        <v>0.15</v>
      </c>
      <c r="AM991" s="22">
        <v>0.09</v>
      </c>
      <c r="AN991" s="8">
        <v>8</v>
      </c>
      <c r="AO991" s="8">
        <v>4337</v>
      </c>
      <c r="AP991" s="8">
        <v>3571068.72</v>
      </c>
      <c r="AQ991" s="24">
        <v>4146010.7839200003</v>
      </c>
      <c r="AR991" s="8">
        <v>4964978.93</v>
      </c>
      <c r="AS991" s="37">
        <v>5764340.53773</v>
      </c>
      <c r="AT991" s="8" t="s">
        <v>343</v>
      </c>
      <c r="AU991" s="8" t="s">
        <v>322</v>
      </c>
      <c r="AV991" s="8">
        <v>83.5</v>
      </c>
      <c r="AW991" s="8">
        <v>60</v>
      </c>
      <c r="AX991" s="8" t="s">
        <v>332</v>
      </c>
      <c r="AY991" s="8" t="s">
        <v>229</v>
      </c>
      <c r="AZ991" s="8" t="s">
        <v>332</v>
      </c>
      <c r="BA991" s="21">
        <f>IF(OR(tblsales[[#This Row],[Invoice Value USD]]="",tblsales[[#This Row],[Collected Amount USD]]=""),"",tblsales[[#This Row],[Invoice Value USD]]-tblsales[[#This Row],[Collected Amount USD]])</f>
        <v>6189758.0006400011</v>
      </c>
      <c r="BB991" s="21">
        <f>IF(OR(tblsales[[#This Row],[Contract Value USD]]="",tblsales[[#This Row],[Cost Estimate USD]]=""),"",tblsales[[#This Row],[Contract Value USD]]-tblsales[[#This Row],[Cost Estimate USD]])</f>
        <v>4348229.7933000028</v>
      </c>
      <c r="BC991" s="21">
        <f>IF(OR(tblsales[[#This Row],[Contract Value USD]]="",tblsales[[#This Row],[Cost Estimate USD]]=""),"",tblsales[[#This Row],[Contract Value USD]]-tblsales[[#This Row],[Cost Estimate USD]])</f>
        <v>4348229.7933000028</v>
      </c>
      <c r="BD991" s="23">
        <f>IF(tblsales[[#This Row],[Invoice Value USD]]="","",tblsales[[#This Row],[Collected Amount USD]]/tblsales[[#This Row],[Invoice Value USD]])</f>
        <v>0.39326358437185943</v>
      </c>
      <c r="BE991" s="11">
        <f>IF(tblsales[[#This Row],[SalesStage]]="Won",1,0)</f>
        <v>0</v>
      </c>
      <c r="BF991" s="21" t="str">
        <f>IF(tblsales[[#This Row],[Win Flag]]=1,"Won","Lost")</f>
        <v>Lost</v>
      </c>
      <c r="BG991" s="8"/>
    </row>
    <row r="992" spans="1:59" x14ac:dyDescent="0.3">
      <c r="A992" s="10" t="s">
        <v>3241</v>
      </c>
      <c r="B992" s="9">
        <v>45802</v>
      </c>
      <c r="C992" s="10" t="s">
        <v>280</v>
      </c>
      <c r="D992" s="10" t="s">
        <v>180</v>
      </c>
      <c r="E992" s="10" t="s">
        <v>332</v>
      </c>
      <c r="F992" s="10" t="s">
        <v>75</v>
      </c>
      <c r="G992" s="10" t="s">
        <v>70</v>
      </c>
      <c r="H992" s="10" t="s">
        <v>182</v>
      </c>
      <c r="I992" s="10" t="s">
        <v>191</v>
      </c>
      <c r="J992" s="10" t="s">
        <v>136</v>
      </c>
      <c r="K992" s="10" t="s">
        <v>333</v>
      </c>
      <c r="L992" s="10" t="s">
        <v>3242</v>
      </c>
      <c r="M992" s="9">
        <v>45785</v>
      </c>
      <c r="N992" s="9">
        <v>45859</v>
      </c>
      <c r="O992" s="9"/>
      <c r="P992" s="11">
        <v>20</v>
      </c>
      <c r="Q992" s="12">
        <v>34988846</v>
      </c>
      <c r="R992">
        <v>40622050.206</v>
      </c>
      <c r="S992" s="22">
        <v>0.25</v>
      </c>
      <c r="T992" s="22">
        <v>0.02</v>
      </c>
      <c r="U992" s="12">
        <v>26766467.190000001</v>
      </c>
      <c r="V992" s="24">
        <v>31075868.407590002</v>
      </c>
      <c r="W992" s="8">
        <v>19060907.780000001</v>
      </c>
      <c r="X992" s="24">
        <v>22129713.932580002</v>
      </c>
      <c r="Y992" s="22">
        <v>0.22</v>
      </c>
      <c r="Z992" s="22">
        <v>0.06</v>
      </c>
      <c r="AA992" s="8" t="s">
        <v>3243</v>
      </c>
      <c r="AB992" s="8">
        <v>23878129.510000002</v>
      </c>
      <c r="AC992" s="24">
        <v>27722508.361110002</v>
      </c>
      <c r="AD992" s="8">
        <v>8700787.7599999998</v>
      </c>
      <c r="AE992" s="24">
        <v>10101614.589360001</v>
      </c>
      <c r="AF992" s="8">
        <v>45</v>
      </c>
      <c r="AG992" s="8">
        <v>73</v>
      </c>
      <c r="AH992" s="8" t="s">
        <v>342</v>
      </c>
      <c r="AI992" s="8" t="s">
        <v>320</v>
      </c>
      <c r="AJ992" s="22">
        <v>0.59</v>
      </c>
      <c r="AK992" s="8" t="s">
        <v>159</v>
      </c>
      <c r="AL992" s="22">
        <v>0.05</v>
      </c>
      <c r="AM992" s="22">
        <v>0.04</v>
      </c>
      <c r="AN992" s="8">
        <v>6</v>
      </c>
      <c r="AO992" s="8">
        <v>3084</v>
      </c>
      <c r="AP992" s="8">
        <v>2256281</v>
      </c>
      <c r="AQ992" s="24">
        <v>2619542.2409999999</v>
      </c>
      <c r="AR992" s="8">
        <v>11294387.630000001</v>
      </c>
      <c r="AS992" s="37">
        <v>13112784.038430002</v>
      </c>
      <c r="AT992" s="8" t="s">
        <v>391</v>
      </c>
      <c r="AU992" s="8" t="s">
        <v>332</v>
      </c>
      <c r="AV992" s="8"/>
      <c r="AW992" s="8">
        <v>36</v>
      </c>
      <c r="AX992" s="8" t="s">
        <v>387</v>
      </c>
      <c r="AY992" s="8" t="s">
        <v>186</v>
      </c>
      <c r="AZ992" s="8" t="s">
        <v>332</v>
      </c>
      <c r="BA992" s="21">
        <f>IF(OR(tblsales[[#This Row],[Invoice Value USD]]="",tblsales[[#This Row],[Collected Amount USD]]=""),"",tblsales[[#This Row],[Invoice Value USD]]-tblsales[[#This Row],[Collected Amount USD]])</f>
        <v>17620893.771750003</v>
      </c>
      <c r="BB992" s="21">
        <f>IF(OR(tblsales[[#This Row],[Contract Value USD]]="",tblsales[[#This Row],[Cost Estimate USD]]=""),"",tblsales[[#This Row],[Contract Value USD]]-tblsales[[#This Row],[Cost Estimate USD]])</f>
        <v>8946154.4750100002</v>
      </c>
      <c r="BC992" s="21">
        <f>IF(OR(tblsales[[#This Row],[Contract Value USD]]="",tblsales[[#This Row],[Cost Estimate USD]]=""),"",tblsales[[#This Row],[Contract Value USD]]-tblsales[[#This Row],[Cost Estimate USD]])</f>
        <v>8946154.4750100002</v>
      </c>
      <c r="BD992" s="23">
        <f>IF(tblsales[[#This Row],[Invoice Value USD]]="","",tblsales[[#This Row],[Collected Amount USD]]/tblsales[[#This Row],[Invoice Value USD]])</f>
        <v>0.36438313798223471</v>
      </c>
      <c r="BE992" s="11">
        <f>IF(tblsales[[#This Row],[SalesStage]]="Won",1,0)</f>
        <v>1</v>
      </c>
      <c r="BF992" s="21" t="str">
        <f>IF(tblsales[[#This Row],[Win Flag]]=1,"Won","Lost")</f>
        <v>Won</v>
      </c>
      <c r="BG992" s="8"/>
    </row>
    <row r="993" spans="1:59" x14ac:dyDescent="0.3">
      <c r="A993" s="10" t="s">
        <v>3244</v>
      </c>
      <c r="B993" s="9">
        <v>45971</v>
      </c>
      <c r="C993" s="10" t="s">
        <v>286</v>
      </c>
      <c r="D993" s="10" t="s">
        <v>274</v>
      </c>
      <c r="E993" s="10" t="s">
        <v>20</v>
      </c>
      <c r="F993" s="10" t="s">
        <v>31</v>
      </c>
      <c r="G993" s="10" t="s">
        <v>50</v>
      </c>
      <c r="H993" s="10" t="s">
        <v>263</v>
      </c>
      <c r="I993" s="10" t="s">
        <v>332</v>
      </c>
      <c r="J993" s="10" t="s">
        <v>136</v>
      </c>
      <c r="K993" s="10" t="s">
        <v>333</v>
      </c>
      <c r="L993" s="10" t="s">
        <v>3245</v>
      </c>
      <c r="M993" s="9">
        <v>45895</v>
      </c>
      <c r="N993" s="9">
        <v>45994</v>
      </c>
      <c r="O993" s="9">
        <v>46039</v>
      </c>
      <c r="P993" s="11">
        <v>36</v>
      </c>
      <c r="Q993" s="12">
        <v>27960198</v>
      </c>
      <c r="R993">
        <v>7613561.9153999994</v>
      </c>
      <c r="S993" s="22">
        <v>0.16</v>
      </c>
      <c r="T993" s="22">
        <v>0.15</v>
      </c>
      <c r="U993" s="12">
        <v>27009551.27</v>
      </c>
      <c r="V993" s="24">
        <v>7354700.8108209996</v>
      </c>
      <c r="W993" s="8"/>
      <c r="X993" s="24"/>
      <c r="Y993" s="22">
        <v>0.08</v>
      </c>
      <c r="Z993" s="22">
        <v>0.06</v>
      </c>
      <c r="AA993" s="8" t="s">
        <v>3246</v>
      </c>
      <c r="AB993" s="8">
        <v>13442886.08</v>
      </c>
      <c r="AC993" s="24">
        <v>3660497.879584</v>
      </c>
      <c r="AD993" s="8">
        <v>7613394.75</v>
      </c>
      <c r="AE993" s="24">
        <v>2073127.3904249999</v>
      </c>
      <c r="AF993" s="8">
        <v>45</v>
      </c>
      <c r="AG993" s="8">
        <v>79</v>
      </c>
      <c r="AH993" s="8" t="s">
        <v>342</v>
      </c>
      <c r="AI993" s="8" t="s">
        <v>354</v>
      </c>
      <c r="AJ993" s="22">
        <v>0.63</v>
      </c>
      <c r="AK993" s="8" t="s">
        <v>153</v>
      </c>
      <c r="AL993" s="22">
        <v>0.1</v>
      </c>
      <c r="AM993" s="22">
        <v>0.08</v>
      </c>
      <c r="AN993" s="8">
        <v>6</v>
      </c>
      <c r="AO993" s="8">
        <v>962</v>
      </c>
      <c r="AP993" s="8">
        <v>784393.56</v>
      </c>
      <c r="AQ993" s="24">
        <v>213590.36638799999</v>
      </c>
      <c r="AR993" s="8">
        <v>6350992.5499999998</v>
      </c>
      <c r="AS993" s="37">
        <v>1729375.2713649999</v>
      </c>
      <c r="AT993" s="8" t="s">
        <v>355</v>
      </c>
      <c r="AU993" s="8" t="s">
        <v>330</v>
      </c>
      <c r="AV993" s="8">
        <v>94</v>
      </c>
      <c r="AW993" s="8">
        <v>36</v>
      </c>
      <c r="AX993" s="8" t="s">
        <v>332</v>
      </c>
      <c r="AY993" s="8" t="s">
        <v>224</v>
      </c>
      <c r="AZ993" s="8" t="s">
        <v>332</v>
      </c>
      <c r="BA993" s="21">
        <f>IF(OR(tblsales[[#This Row],[Invoice Value USD]]="",tblsales[[#This Row],[Collected Amount USD]]=""),"",tblsales[[#This Row],[Invoice Value USD]]-tblsales[[#This Row],[Collected Amount USD]])</f>
        <v>1587370.4891590001</v>
      </c>
      <c r="BB993" s="21" t="str">
        <f>IF(OR(tblsales[[#This Row],[Contract Value USD]]="",tblsales[[#This Row],[Cost Estimate USD]]=""),"",tblsales[[#This Row],[Contract Value USD]]-tblsales[[#This Row],[Cost Estimate USD]])</f>
        <v/>
      </c>
      <c r="BC993" s="21" t="str">
        <f>IF(OR(tblsales[[#This Row],[Contract Value USD]]="",tblsales[[#This Row],[Cost Estimate USD]]=""),"",tblsales[[#This Row],[Contract Value USD]]-tblsales[[#This Row],[Cost Estimate USD]])</f>
        <v/>
      </c>
      <c r="BD993" s="23">
        <f>IF(tblsales[[#This Row],[Invoice Value USD]]="","",tblsales[[#This Row],[Collected Amount USD]]/tblsales[[#This Row],[Invoice Value USD]])</f>
        <v>0.56635120648139869</v>
      </c>
      <c r="BE993" s="11">
        <f>IF(tblsales[[#This Row],[SalesStage]]="Won",1,0)</f>
        <v>0</v>
      </c>
      <c r="BF993" s="21" t="str">
        <f>IF(tblsales[[#This Row],[Win Flag]]=1,"Won","Lost")</f>
        <v>Lost</v>
      </c>
      <c r="BG993" s="8"/>
    </row>
    <row r="994" spans="1:59" x14ac:dyDescent="0.3">
      <c r="A994" s="10" t="s">
        <v>3247</v>
      </c>
      <c r="B994" s="9">
        <v>46019</v>
      </c>
      <c r="C994" s="10" t="s">
        <v>258</v>
      </c>
      <c r="D994" s="10" t="s">
        <v>262</v>
      </c>
      <c r="E994" s="10" t="s">
        <v>113</v>
      </c>
      <c r="F994" s="10" t="s">
        <v>367</v>
      </c>
      <c r="G994" s="10" t="s">
        <v>66</v>
      </c>
      <c r="H994" s="10" t="s">
        <v>263</v>
      </c>
      <c r="I994" s="10" t="s">
        <v>183</v>
      </c>
      <c r="J994" s="10" t="s">
        <v>123</v>
      </c>
      <c r="K994" s="10" t="s">
        <v>210</v>
      </c>
      <c r="L994" s="10" t="s">
        <v>3248</v>
      </c>
      <c r="M994" s="9">
        <v>45987</v>
      </c>
      <c r="N994" s="9"/>
      <c r="O994" s="9">
        <v>46138</v>
      </c>
      <c r="P994" s="11">
        <v>43</v>
      </c>
      <c r="Q994" s="12">
        <v>37236528</v>
      </c>
      <c r="R994">
        <v>10139506.5744</v>
      </c>
      <c r="S994" s="22">
        <v>0.24</v>
      </c>
      <c r="T994" s="22">
        <v>-0.02</v>
      </c>
      <c r="U994" s="12">
        <v>27733766.050000001</v>
      </c>
      <c r="V994" s="24">
        <v>7551904.4954150002</v>
      </c>
      <c r="W994" s="8">
        <v>22769281.280000001</v>
      </c>
      <c r="X994" s="24">
        <v>6200075.2925439999</v>
      </c>
      <c r="Y994" s="22">
        <v>0.08</v>
      </c>
      <c r="Z994" s="22">
        <v>0.14000000000000001</v>
      </c>
      <c r="AA994" s="8" t="s">
        <v>3249</v>
      </c>
      <c r="AB994" s="8">
        <v>22990520.039999999</v>
      </c>
      <c r="AC994" s="24">
        <v>6260318.606891999</v>
      </c>
      <c r="AD994" s="8">
        <v>9526533.8100000005</v>
      </c>
      <c r="AE994" s="24">
        <v>2594075.156463</v>
      </c>
      <c r="AF994" s="8">
        <v>45</v>
      </c>
      <c r="AG994" s="8">
        <v>46</v>
      </c>
      <c r="AH994" s="8" t="s">
        <v>332</v>
      </c>
      <c r="AI994" s="8" t="s">
        <v>381</v>
      </c>
      <c r="AJ994" s="22">
        <v>0.25</v>
      </c>
      <c r="AK994" s="8" t="s">
        <v>153</v>
      </c>
      <c r="AL994" s="22">
        <v>0.05</v>
      </c>
      <c r="AM994" s="22">
        <v>0.09</v>
      </c>
      <c r="AN994" s="8">
        <v>5</v>
      </c>
      <c r="AO994" s="8">
        <v>1723</v>
      </c>
      <c r="AP994" s="8">
        <v>5301690.3</v>
      </c>
      <c r="AQ994" s="24">
        <v>1443650.2686899998</v>
      </c>
      <c r="AR994" s="8">
        <v>8035018.5599999996</v>
      </c>
      <c r="AS994" s="37">
        <v>2187935.5538879996</v>
      </c>
      <c r="AT994" s="8" t="s">
        <v>321</v>
      </c>
      <c r="AU994" s="8" t="s">
        <v>348</v>
      </c>
      <c r="AV994" s="8">
        <v>81.099999999999994</v>
      </c>
      <c r="AW994" s="8">
        <v>12</v>
      </c>
      <c r="AX994" s="8" t="s">
        <v>323</v>
      </c>
      <c r="AY994" s="8" t="s">
        <v>186</v>
      </c>
      <c r="AZ994" s="8" t="s">
        <v>188</v>
      </c>
      <c r="BA994" s="21">
        <f>IF(OR(tblsales[[#This Row],[Invoice Value USD]]="",tblsales[[#This Row],[Collected Amount USD]]=""),"",tblsales[[#This Row],[Invoice Value USD]]-tblsales[[#This Row],[Collected Amount USD]])</f>
        <v>3666243.450428999</v>
      </c>
      <c r="BB994" s="21">
        <f>IF(OR(tblsales[[#This Row],[Contract Value USD]]="",tblsales[[#This Row],[Cost Estimate USD]]=""),"",tblsales[[#This Row],[Contract Value USD]]-tblsales[[#This Row],[Cost Estimate USD]])</f>
        <v>1351829.2028710004</v>
      </c>
      <c r="BC994" s="21">
        <f>IF(OR(tblsales[[#This Row],[Contract Value USD]]="",tblsales[[#This Row],[Cost Estimate USD]]=""),"",tblsales[[#This Row],[Contract Value USD]]-tblsales[[#This Row],[Cost Estimate USD]])</f>
        <v>1351829.2028710004</v>
      </c>
      <c r="BD994" s="23">
        <f>IF(tblsales[[#This Row],[Invoice Value USD]]="","",tblsales[[#This Row],[Collected Amount USD]]/tblsales[[#This Row],[Invoice Value USD]])</f>
        <v>0.4143679130974543</v>
      </c>
      <c r="BE994" s="11">
        <f>IF(tblsales[[#This Row],[SalesStage]]="Won",1,0)</f>
        <v>0</v>
      </c>
      <c r="BF994" s="21" t="str">
        <f>IF(tblsales[[#This Row],[Win Flag]]=1,"Won","Lost")</f>
        <v>Lost</v>
      </c>
      <c r="BG994" s="8"/>
    </row>
    <row r="995" spans="1:59" x14ac:dyDescent="0.3">
      <c r="A995" s="10" t="s">
        <v>3250</v>
      </c>
      <c r="B995" s="9">
        <v>45788</v>
      </c>
      <c r="C995" s="10" t="s">
        <v>280</v>
      </c>
      <c r="D995" s="10" t="s">
        <v>265</v>
      </c>
      <c r="E995" s="10" t="s">
        <v>41</v>
      </c>
      <c r="F995" s="10" t="s">
        <v>363</v>
      </c>
      <c r="G995" s="10" t="s">
        <v>78</v>
      </c>
      <c r="H995" s="10" t="s">
        <v>236</v>
      </c>
      <c r="I995" s="10" t="s">
        <v>240</v>
      </c>
      <c r="J995" s="10" t="s">
        <v>105</v>
      </c>
      <c r="K995" s="10" t="s">
        <v>333</v>
      </c>
      <c r="L995" s="10" t="s">
        <v>3251</v>
      </c>
      <c r="M995" s="9">
        <v>45667</v>
      </c>
      <c r="N995" s="9"/>
      <c r="O995" s="9">
        <v>46003</v>
      </c>
      <c r="P995" s="11">
        <v>29</v>
      </c>
      <c r="Q995" s="12">
        <v>43049737</v>
      </c>
      <c r="R995">
        <v>43049737</v>
      </c>
      <c r="S995" s="22">
        <v>0.04</v>
      </c>
      <c r="T995" s="22">
        <v>0.19</v>
      </c>
      <c r="U995" s="12">
        <v>49180019.549999997</v>
      </c>
      <c r="V995" s="24">
        <v>49180019.549999997</v>
      </c>
      <c r="W995" s="8">
        <v>33765288.859999999</v>
      </c>
      <c r="X995" s="24">
        <v>33765288.859999999</v>
      </c>
      <c r="Y995" s="22">
        <v>0.37</v>
      </c>
      <c r="Z995" s="22">
        <v>0.06</v>
      </c>
      <c r="AA995" s="8" t="s">
        <v>3252</v>
      </c>
      <c r="AB995" s="8">
        <v>43508259.950000003</v>
      </c>
      <c r="AC995" s="24">
        <v>43508259.950000003</v>
      </c>
      <c r="AD995" s="8">
        <v>34075092.299999997</v>
      </c>
      <c r="AE995" s="24">
        <v>34075092.299999997</v>
      </c>
      <c r="AF995" s="8">
        <v>120</v>
      </c>
      <c r="AG995" s="8">
        <v>35</v>
      </c>
      <c r="AH995" s="8" t="s">
        <v>329</v>
      </c>
      <c r="AI995" s="8" t="s">
        <v>354</v>
      </c>
      <c r="AJ995" s="22">
        <v>0.23</v>
      </c>
      <c r="AK995" s="8" t="s">
        <v>152</v>
      </c>
      <c r="AL995" s="22">
        <v>0.1</v>
      </c>
      <c r="AM995" s="22">
        <v>0.06</v>
      </c>
      <c r="AN995" s="8">
        <v>9</v>
      </c>
      <c r="AO995" s="8">
        <v>3270</v>
      </c>
      <c r="AP995" s="8">
        <v>7878423.2199999997</v>
      </c>
      <c r="AQ995" s="24">
        <v>7878423.2199999997</v>
      </c>
      <c r="AR995" s="8">
        <v>22585728.050000001</v>
      </c>
      <c r="AS995" s="37">
        <v>22585728.050000001</v>
      </c>
      <c r="AT995" s="8" t="s">
        <v>385</v>
      </c>
      <c r="AU995" s="8" t="s">
        <v>356</v>
      </c>
      <c r="AV995" s="8">
        <v>76.8</v>
      </c>
      <c r="AW995" s="8">
        <v>60</v>
      </c>
      <c r="AX995" s="8" t="s">
        <v>323</v>
      </c>
      <c r="AY995" s="8" t="s">
        <v>206</v>
      </c>
      <c r="AZ995" s="8" t="s">
        <v>188</v>
      </c>
      <c r="BA995" s="21">
        <f>IF(OR(tblsales[[#This Row],[Invoice Value USD]]="",tblsales[[#This Row],[Collected Amount USD]]=""),"",tblsales[[#This Row],[Invoice Value USD]]-tblsales[[#This Row],[Collected Amount USD]])</f>
        <v>9433167.650000006</v>
      </c>
      <c r="BB995" s="21">
        <f>IF(OR(tblsales[[#This Row],[Contract Value USD]]="",tblsales[[#This Row],[Cost Estimate USD]]=""),"",tblsales[[#This Row],[Contract Value USD]]-tblsales[[#This Row],[Cost Estimate USD]])</f>
        <v>15414730.689999998</v>
      </c>
      <c r="BC995" s="21">
        <f>IF(OR(tblsales[[#This Row],[Contract Value USD]]="",tblsales[[#This Row],[Cost Estimate USD]]=""),"",tblsales[[#This Row],[Contract Value USD]]-tblsales[[#This Row],[Cost Estimate USD]])</f>
        <v>15414730.689999998</v>
      </c>
      <c r="BD995" s="23">
        <f>IF(tblsales[[#This Row],[Invoice Value USD]]="","",tblsales[[#This Row],[Collected Amount USD]]/tblsales[[#This Row],[Invoice Value USD]])</f>
        <v>0.78318674061337623</v>
      </c>
      <c r="BE995" s="11">
        <f>IF(tblsales[[#This Row],[SalesStage]]="Won",1,0)</f>
        <v>0</v>
      </c>
      <c r="BF995" s="21" t="str">
        <f>IF(tblsales[[#This Row],[Win Flag]]=1,"Won","Lost")</f>
        <v>Lost</v>
      </c>
      <c r="BG995" s="8"/>
    </row>
    <row r="996" spans="1:59" x14ac:dyDescent="0.3">
      <c r="A996" s="10" t="s">
        <v>3253</v>
      </c>
      <c r="B996" s="9">
        <v>45954</v>
      </c>
      <c r="C996" s="10" t="s">
        <v>276</v>
      </c>
      <c r="D996" s="10" t="s">
        <v>281</v>
      </c>
      <c r="E996" s="10" t="s">
        <v>36</v>
      </c>
      <c r="F996" s="10" t="s">
        <v>339</v>
      </c>
      <c r="G996" s="10" t="s">
        <v>73</v>
      </c>
      <c r="H996" s="10" t="s">
        <v>236</v>
      </c>
      <c r="I996" s="10" t="s">
        <v>183</v>
      </c>
      <c r="J996" s="10" t="s">
        <v>115</v>
      </c>
      <c r="K996" s="10" t="s">
        <v>333</v>
      </c>
      <c r="L996" s="10" t="s">
        <v>3254</v>
      </c>
      <c r="M996" s="9">
        <v>45878</v>
      </c>
      <c r="N996" s="9">
        <v>45959</v>
      </c>
      <c r="O996" s="9">
        <v>45984</v>
      </c>
      <c r="P996" s="11">
        <v>20</v>
      </c>
      <c r="Q996" s="12">
        <v>47982730</v>
      </c>
      <c r="R996">
        <v>47982730</v>
      </c>
      <c r="S996" s="22">
        <v>0.32</v>
      </c>
      <c r="T996" s="22">
        <v>0.04</v>
      </c>
      <c r="U996" s="12">
        <v>33933386.659999996</v>
      </c>
      <c r="V996" s="24">
        <v>33933386.659999996</v>
      </c>
      <c r="W996" s="8">
        <v>23814006.609999999</v>
      </c>
      <c r="X996" s="24">
        <v>23814006.609999999</v>
      </c>
      <c r="Y996" s="22">
        <v>0.1</v>
      </c>
      <c r="Z996" s="22">
        <v>0.14000000000000001</v>
      </c>
      <c r="AA996" s="8" t="s">
        <v>3255</v>
      </c>
      <c r="AB996" s="8">
        <v>21210761.530000001</v>
      </c>
      <c r="AC996" s="24">
        <v>21210761.530000001</v>
      </c>
      <c r="AD996" s="8">
        <v>23161472.030000001</v>
      </c>
      <c r="AE996" s="24">
        <v>23161472.030000001</v>
      </c>
      <c r="AF996" s="8">
        <v>45</v>
      </c>
      <c r="AG996" s="8">
        <v>165</v>
      </c>
      <c r="AH996" s="8" t="s">
        <v>347</v>
      </c>
      <c r="AI996" s="8" t="s">
        <v>320</v>
      </c>
      <c r="AJ996" s="22">
        <v>0.66</v>
      </c>
      <c r="AK996" s="8" t="s">
        <v>152</v>
      </c>
      <c r="AL996" s="22">
        <v>0.05</v>
      </c>
      <c r="AM996" s="22">
        <v>0.02</v>
      </c>
      <c r="AN996" s="8">
        <v>1</v>
      </c>
      <c r="AO996" s="8">
        <v>3905</v>
      </c>
      <c r="AP996" s="8">
        <v>1016827.03</v>
      </c>
      <c r="AQ996" s="24">
        <v>1016827.03</v>
      </c>
      <c r="AR996" s="8">
        <v>5165886.43</v>
      </c>
      <c r="AS996" s="37">
        <v>5165886.43</v>
      </c>
      <c r="AT996" s="8" t="s">
        <v>355</v>
      </c>
      <c r="AU996" s="8" t="s">
        <v>386</v>
      </c>
      <c r="AV996" s="8"/>
      <c r="AW996" s="8">
        <v>24</v>
      </c>
      <c r="AX996" s="8" t="s">
        <v>337</v>
      </c>
      <c r="AY996" s="8" t="s">
        <v>192</v>
      </c>
      <c r="AZ996" s="8" t="s">
        <v>377</v>
      </c>
      <c r="BA996" s="21">
        <f>IF(OR(tblsales[[#This Row],[Invoice Value USD]]="",tblsales[[#This Row],[Collected Amount USD]]=""),"",tblsales[[#This Row],[Invoice Value USD]]-tblsales[[#This Row],[Collected Amount USD]])</f>
        <v>-1950710.5</v>
      </c>
      <c r="BB996" s="21">
        <f>IF(OR(tblsales[[#This Row],[Contract Value USD]]="",tblsales[[#This Row],[Cost Estimate USD]]=""),"",tblsales[[#This Row],[Contract Value USD]]-tblsales[[#This Row],[Cost Estimate USD]])</f>
        <v>10119380.049999997</v>
      </c>
      <c r="BC996" s="21">
        <f>IF(OR(tblsales[[#This Row],[Contract Value USD]]="",tblsales[[#This Row],[Cost Estimate USD]]=""),"",tblsales[[#This Row],[Contract Value USD]]-tblsales[[#This Row],[Cost Estimate USD]])</f>
        <v>10119380.049999997</v>
      </c>
      <c r="BD996" s="23">
        <f>IF(tblsales[[#This Row],[Invoice Value USD]]="","",tblsales[[#This Row],[Collected Amount USD]]/tblsales[[#This Row],[Invoice Value USD]])</f>
        <v>1.0919679615105267</v>
      </c>
      <c r="BE996" s="11">
        <f>IF(tblsales[[#This Row],[SalesStage]]="Won",1,0)</f>
        <v>1</v>
      </c>
      <c r="BF996" s="21" t="str">
        <f>IF(tblsales[[#This Row],[Win Flag]]=1,"Won","Lost")</f>
        <v>Won</v>
      </c>
      <c r="BG996" s="8"/>
    </row>
    <row r="997" spans="1:59" x14ac:dyDescent="0.3">
      <c r="A997" s="10" t="s">
        <v>3256</v>
      </c>
      <c r="B997" s="9">
        <v>45663</v>
      </c>
      <c r="C997" s="10" t="s">
        <v>284</v>
      </c>
      <c r="D997" s="10" t="s">
        <v>245</v>
      </c>
      <c r="E997" s="10" t="s">
        <v>332</v>
      </c>
      <c r="F997" s="10" t="s">
        <v>196</v>
      </c>
      <c r="G997" s="10" t="s">
        <v>46</v>
      </c>
      <c r="H997" s="10" t="s">
        <v>182</v>
      </c>
      <c r="I997" s="10" t="s">
        <v>213</v>
      </c>
      <c r="J997" s="10" t="s">
        <v>136</v>
      </c>
      <c r="K997" s="10" t="s">
        <v>333</v>
      </c>
      <c r="L997" s="10" t="s">
        <v>3257</v>
      </c>
      <c r="M997" s="9">
        <v>45594</v>
      </c>
      <c r="N997" s="9">
        <v>45780</v>
      </c>
      <c r="O997" s="9"/>
      <c r="P997" s="11">
        <v>30</v>
      </c>
      <c r="Q997" s="12">
        <v>19806394</v>
      </c>
      <c r="R997">
        <v>5393281.0861999998</v>
      </c>
      <c r="S997" s="22">
        <v>0.23</v>
      </c>
      <c r="T997" s="22">
        <v>0.13</v>
      </c>
      <c r="U997" s="12">
        <v>17233543.420000002</v>
      </c>
      <c r="V997" s="24">
        <v>4692693.8732660003</v>
      </c>
      <c r="W997" s="8">
        <v>12604218.24</v>
      </c>
      <c r="X997" s="24">
        <v>3432128.6267519998</v>
      </c>
      <c r="Y997" s="22">
        <v>0.38</v>
      </c>
      <c r="Z997" s="22">
        <v>7.0000000000000007E-2</v>
      </c>
      <c r="AA997" s="8"/>
      <c r="AB997" s="8">
        <v>7374927.1299999999</v>
      </c>
      <c r="AC997" s="24">
        <v>2008192.657499</v>
      </c>
      <c r="AD997" s="8">
        <v>5623266.4900000002</v>
      </c>
      <c r="AE997" s="24">
        <v>1531215.4652269999</v>
      </c>
      <c r="AF997" s="8">
        <v>45</v>
      </c>
      <c r="AG997" s="8">
        <v>62</v>
      </c>
      <c r="AH997" s="8" t="s">
        <v>332</v>
      </c>
      <c r="AI997" s="8" t="s">
        <v>320</v>
      </c>
      <c r="AJ997" s="22">
        <v>0.96</v>
      </c>
      <c r="AK997" s="8" t="s">
        <v>153</v>
      </c>
      <c r="AL997" s="22">
        <v>0.05</v>
      </c>
      <c r="AM997" s="22">
        <v>0.01</v>
      </c>
      <c r="AN997" s="8">
        <v>4</v>
      </c>
      <c r="AO997" s="8">
        <v>4483</v>
      </c>
      <c r="AP997" s="8">
        <v>574748.01</v>
      </c>
      <c r="AQ997" s="24">
        <v>156503.88312300001</v>
      </c>
      <c r="AR997" s="8">
        <v>8381730.9500000002</v>
      </c>
      <c r="AS997" s="37">
        <v>2282345.3376850002</v>
      </c>
      <c r="AT997" s="8" t="s">
        <v>391</v>
      </c>
      <c r="AU997" s="8" t="s">
        <v>332</v>
      </c>
      <c r="AV997" s="8"/>
      <c r="AW997" s="8">
        <v>12</v>
      </c>
      <c r="AX997" s="8" t="s">
        <v>332</v>
      </c>
      <c r="AY997" s="8" t="s">
        <v>224</v>
      </c>
      <c r="AZ997" s="8" t="s">
        <v>357</v>
      </c>
      <c r="BA997" s="21">
        <f>IF(OR(tblsales[[#This Row],[Invoice Value USD]]="",tblsales[[#This Row],[Collected Amount USD]]=""),"",tblsales[[#This Row],[Invoice Value USD]]-tblsales[[#This Row],[Collected Amount USD]])</f>
        <v>476977.19227200001</v>
      </c>
      <c r="BB997" s="21">
        <f>IF(OR(tblsales[[#This Row],[Contract Value USD]]="",tblsales[[#This Row],[Cost Estimate USD]]=""),"",tblsales[[#This Row],[Contract Value USD]]-tblsales[[#This Row],[Cost Estimate USD]])</f>
        <v>1260565.2465140005</v>
      </c>
      <c r="BC997" s="21">
        <f>IF(OR(tblsales[[#This Row],[Contract Value USD]]="",tblsales[[#This Row],[Cost Estimate USD]]=""),"",tblsales[[#This Row],[Contract Value USD]]-tblsales[[#This Row],[Cost Estimate USD]])</f>
        <v>1260565.2465140005</v>
      </c>
      <c r="BD997" s="23">
        <f>IF(tblsales[[#This Row],[Invoice Value USD]]="","",tblsales[[#This Row],[Collected Amount USD]]/tblsales[[#This Row],[Invoice Value USD]])</f>
        <v>0.76248434606566751</v>
      </c>
      <c r="BE997" s="11">
        <f>IF(tblsales[[#This Row],[SalesStage]]="Won",1,0)</f>
        <v>1</v>
      </c>
      <c r="BF997" s="21" t="str">
        <f>IF(tblsales[[#This Row],[Win Flag]]=1,"Won","Lost")</f>
        <v>Won</v>
      </c>
      <c r="BG997" s="8"/>
    </row>
    <row r="998" spans="1:59" x14ac:dyDescent="0.3">
      <c r="A998" s="10" t="s">
        <v>3258</v>
      </c>
      <c r="B998" s="9">
        <v>45766</v>
      </c>
      <c r="C998" s="10" t="s">
        <v>195</v>
      </c>
      <c r="D998" s="10" t="s">
        <v>332</v>
      </c>
      <c r="E998" s="10" t="s">
        <v>20</v>
      </c>
      <c r="F998" s="10" t="s">
        <v>196</v>
      </c>
      <c r="G998" s="10" t="s">
        <v>80</v>
      </c>
      <c r="H998" s="10" t="s">
        <v>182</v>
      </c>
      <c r="I998" s="10" t="s">
        <v>198</v>
      </c>
      <c r="J998" s="10" t="s">
        <v>136</v>
      </c>
      <c r="K998" s="10" t="s">
        <v>333</v>
      </c>
      <c r="L998" s="10" t="s">
        <v>3259</v>
      </c>
      <c r="M998" s="9">
        <v>45873</v>
      </c>
      <c r="N998" s="9"/>
      <c r="O998" s="9"/>
      <c r="P998" s="11">
        <v>16</v>
      </c>
      <c r="Q998" s="12">
        <v>3376586</v>
      </c>
      <c r="R998">
        <v>919444.36780000001</v>
      </c>
      <c r="S998" s="22">
        <v>0.14000000000000001</v>
      </c>
      <c r="T998" s="22">
        <v>-0.03</v>
      </c>
      <c r="U998" s="12">
        <v>2816748.04</v>
      </c>
      <c r="V998" s="24">
        <v>767000.49129199993</v>
      </c>
      <c r="W998" s="8">
        <v>2441873.9</v>
      </c>
      <c r="X998" s="24">
        <v>664922.26296999992</v>
      </c>
      <c r="Y998" s="22">
        <v>0.25</v>
      </c>
      <c r="Z998" s="22">
        <v>0.17</v>
      </c>
      <c r="AA998" s="8" t="s">
        <v>3260</v>
      </c>
      <c r="AB998" s="8">
        <v>1287078.93</v>
      </c>
      <c r="AC998" s="24">
        <v>350471.59263899998</v>
      </c>
      <c r="AD998" s="8">
        <v>960201.85</v>
      </c>
      <c r="AE998" s="24">
        <v>261462.96375499998</v>
      </c>
      <c r="AF998" s="8">
        <v>60</v>
      </c>
      <c r="AG998" s="8">
        <v>31</v>
      </c>
      <c r="AH998" s="8" t="s">
        <v>332</v>
      </c>
      <c r="AI998" s="8" t="s">
        <v>455</v>
      </c>
      <c r="AJ998" s="22">
        <v>0.35</v>
      </c>
      <c r="AK998" s="8" t="s">
        <v>153</v>
      </c>
      <c r="AL998" s="22">
        <v>0.05</v>
      </c>
      <c r="AM998" s="22">
        <v>0.09</v>
      </c>
      <c r="AN998" s="8">
        <v>0</v>
      </c>
      <c r="AO998" s="8">
        <v>2093</v>
      </c>
      <c r="AP998" s="8">
        <v>207240.05</v>
      </c>
      <c r="AQ998" s="24">
        <v>56431.465614999994</v>
      </c>
      <c r="AR998" s="8">
        <v>644021.57999999996</v>
      </c>
      <c r="AS998" s="37">
        <v>175367.07623399998</v>
      </c>
      <c r="AT998" s="8" t="s">
        <v>332</v>
      </c>
      <c r="AU998" s="8" t="s">
        <v>386</v>
      </c>
      <c r="AV998" s="8">
        <v>69.3</v>
      </c>
      <c r="AW998" s="8">
        <v>24</v>
      </c>
      <c r="AX998" s="8" t="s">
        <v>392</v>
      </c>
      <c r="AY998" s="8" t="s">
        <v>192</v>
      </c>
      <c r="AZ998" s="8" t="s">
        <v>377</v>
      </c>
      <c r="BA998" s="21">
        <f>IF(OR(tblsales[[#This Row],[Invoice Value USD]]="",tblsales[[#This Row],[Collected Amount USD]]=""),"",tblsales[[#This Row],[Invoice Value USD]]-tblsales[[#This Row],[Collected Amount USD]])</f>
        <v>89008.628884000005</v>
      </c>
      <c r="BB998" s="21">
        <f>IF(OR(tblsales[[#This Row],[Contract Value USD]]="",tblsales[[#This Row],[Cost Estimate USD]]=""),"",tblsales[[#This Row],[Contract Value USD]]-tblsales[[#This Row],[Cost Estimate USD]])</f>
        <v>102078.22832200001</v>
      </c>
      <c r="BC998" s="21">
        <f>IF(OR(tblsales[[#This Row],[Contract Value USD]]="",tblsales[[#This Row],[Cost Estimate USD]]=""),"",tblsales[[#This Row],[Contract Value USD]]-tblsales[[#This Row],[Cost Estimate USD]])</f>
        <v>102078.22832200001</v>
      </c>
      <c r="BD998" s="23">
        <f>IF(tblsales[[#This Row],[Invoice Value USD]]="","",tblsales[[#This Row],[Collected Amount USD]]/tblsales[[#This Row],[Invoice Value USD]])</f>
        <v>0.74603183038665699</v>
      </c>
      <c r="BE998" s="11">
        <f>IF(tblsales[[#This Row],[SalesStage]]="Won",1,0)</f>
        <v>0</v>
      </c>
      <c r="BF998" s="21" t="str">
        <f>IF(tblsales[[#This Row],[Win Flag]]=1,"Won","Lost")</f>
        <v>Lost</v>
      </c>
      <c r="BG998" s="8"/>
    </row>
    <row r="999" spans="1:59" x14ac:dyDescent="0.3">
      <c r="A999" s="10" t="s">
        <v>3261</v>
      </c>
      <c r="B999" s="9">
        <v>45730</v>
      </c>
      <c r="C999" s="10" t="s">
        <v>237</v>
      </c>
      <c r="D999" s="10" t="s">
        <v>562</v>
      </c>
      <c r="E999" s="10" t="s">
        <v>20</v>
      </c>
      <c r="F999" s="10" t="s">
        <v>31</v>
      </c>
      <c r="G999" s="10" t="s">
        <v>80</v>
      </c>
      <c r="H999" s="10" t="s">
        <v>236</v>
      </c>
      <c r="I999" s="10" t="s">
        <v>332</v>
      </c>
      <c r="J999" s="10" t="s">
        <v>136</v>
      </c>
      <c r="K999" s="10" t="s">
        <v>199</v>
      </c>
      <c r="L999" s="10" t="s">
        <v>3262</v>
      </c>
      <c r="M999" s="9">
        <v>45646</v>
      </c>
      <c r="N999" s="9">
        <v>45771</v>
      </c>
      <c r="O999" s="9">
        <v>45804</v>
      </c>
      <c r="P999" s="11">
        <v>21</v>
      </c>
      <c r="Q999" s="12">
        <v>16219351</v>
      </c>
      <c r="R999">
        <v>4416529.2773000002</v>
      </c>
      <c r="S999" s="22">
        <v>0.28999999999999998</v>
      </c>
      <c r="T999" s="22">
        <v>0.03</v>
      </c>
      <c r="U999" s="12">
        <v>11861211.390000001</v>
      </c>
      <c r="V999" s="24">
        <v>3229807.8614969999</v>
      </c>
      <c r="W999" s="8">
        <v>9344961.4700000007</v>
      </c>
      <c r="X999" s="24">
        <v>2544633.008281</v>
      </c>
      <c r="Y999" s="22">
        <v>0.12</v>
      </c>
      <c r="Z999" s="22">
        <v>0.08</v>
      </c>
      <c r="AA999" s="8"/>
      <c r="AB999" s="8">
        <v>1998454.71</v>
      </c>
      <c r="AC999" s="24">
        <v>544179.21753299993</v>
      </c>
      <c r="AD999" s="8">
        <v>1128150.3500000001</v>
      </c>
      <c r="AE999" s="24">
        <v>307195.34030500002</v>
      </c>
      <c r="AF999" s="8">
        <v>30</v>
      </c>
      <c r="AG999" s="8">
        <v>112</v>
      </c>
      <c r="AH999" s="8" t="s">
        <v>353</v>
      </c>
      <c r="AI999" s="8" t="s">
        <v>336</v>
      </c>
      <c r="AJ999" s="22">
        <v>0.21</v>
      </c>
      <c r="AK999" s="8" t="s">
        <v>153</v>
      </c>
      <c r="AL999" s="22">
        <v>0.1</v>
      </c>
      <c r="AM999" s="22">
        <v>7.0000000000000007E-2</v>
      </c>
      <c r="AN999" s="8">
        <v>11</v>
      </c>
      <c r="AO999" s="8">
        <v>2786</v>
      </c>
      <c r="AP999" s="8">
        <v>459100.62</v>
      </c>
      <c r="AQ999" s="24">
        <v>125013.09882599999</v>
      </c>
      <c r="AR999" s="8">
        <v>4330013.6399999997</v>
      </c>
      <c r="AS999" s="37">
        <v>1179062.7141719998</v>
      </c>
      <c r="AT999" s="8" t="s">
        <v>385</v>
      </c>
      <c r="AU999" s="8" t="s">
        <v>386</v>
      </c>
      <c r="AV999" s="8">
        <v>60.8</v>
      </c>
      <c r="AW999" s="8">
        <v>24</v>
      </c>
      <c r="AX999" s="8" t="s">
        <v>387</v>
      </c>
      <c r="AY999" s="8" t="s">
        <v>186</v>
      </c>
      <c r="AZ999" s="8" t="s">
        <v>357</v>
      </c>
      <c r="BA999" s="21">
        <f>IF(OR(tblsales[[#This Row],[Invoice Value USD]]="",tblsales[[#This Row],[Collected Amount USD]]=""),"",tblsales[[#This Row],[Invoice Value USD]]-tblsales[[#This Row],[Collected Amount USD]])</f>
        <v>236983.87722799991</v>
      </c>
      <c r="BB999" s="21">
        <f>IF(OR(tblsales[[#This Row],[Contract Value USD]]="",tblsales[[#This Row],[Cost Estimate USD]]=""),"",tblsales[[#This Row],[Contract Value USD]]-tblsales[[#This Row],[Cost Estimate USD]])</f>
        <v>685174.8532159999</v>
      </c>
      <c r="BC999" s="21">
        <f>IF(OR(tblsales[[#This Row],[Contract Value USD]]="",tblsales[[#This Row],[Cost Estimate USD]]=""),"",tblsales[[#This Row],[Contract Value USD]]-tblsales[[#This Row],[Cost Estimate USD]])</f>
        <v>685174.8532159999</v>
      </c>
      <c r="BD999" s="23">
        <f>IF(tblsales[[#This Row],[Invoice Value USD]]="","",tblsales[[#This Row],[Collected Amount USD]]/tblsales[[#This Row],[Invoice Value USD]])</f>
        <v>0.56451134186573593</v>
      </c>
      <c r="BE999" s="11">
        <f>IF(tblsales[[#This Row],[SalesStage]]="Won",1,0)</f>
        <v>0</v>
      </c>
      <c r="BF999" s="21" t="str">
        <f>IF(tblsales[[#This Row],[Win Flag]]=1,"Won","Lost")</f>
        <v>Lost</v>
      </c>
      <c r="BG999" s="8"/>
    </row>
    <row r="1000" spans="1:59" x14ac:dyDescent="0.3">
      <c r="A1000" s="10" t="s">
        <v>3263</v>
      </c>
      <c r="B1000" s="9">
        <v>45698</v>
      </c>
      <c r="C1000" s="10" t="s">
        <v>247</v>
      </c>
      <c r="D1000" s="10" t="s">
        <v>190</v>
      </c>
      <c r="E1000" s="10" t="s">
        <v>113</v>
      </c>
      <c r="F1000" s="10" t="s">
        <v>367</v>
      </c>
      <c r="G1000" s="10" t="s">
        <v>23</v>
      </c>
      <c r="H1000" s="10" t="s">
        <v>236</v>
      </c>
      <c r="I1000" s="10" t="s">
        <v>332</v>
      </c>
      <c r="J1000" s="10" t="s">
        <v>111</v>
      </c>
      <c r="K1000" s="10" t="s">
        <v>204</v>
      </c>
      <c r="L1000" s="10" t="s">
        <v>3264</v>
      </c>
      <c r="M1000" s="9">
        <v>45921</v>
      </c>
      <c r="N1000" s="9">
        <v>45788</v>
      </c>
      <c r="O1000" s="9">
        <v>46048</v>
      </c>
      <c r="P1000" s="11">
        <v>26</v>
      </c>
      <c r="Q1000" s="12">
        <v>44731656</v>
      </c>
      <c r="R1000">
        <v>12180429.9288</v>
      </c>
      <c r="S1000" s="22">
        <v>0.02</v>
      </c>
      <c r="T1000" s="22">
        <v>0.14000000000000001</v>
      </c>
      <c r="U1000" s="12">
        <v>49974206.079999998</v>
      </c>
      <c r="V1000" s="24">
        <v>13607976.315583998</v>
      </c>
      <c r="W1000" s="8">
        <v>42854471.030000001</v>
      </c>
      <c r="X1000" s="24">
        <v>11669272.461469</v>
      </c>
      <c r="Y1000" s="22">
        <v>0.31</v>
      </c>
      <c r="Z1000" s="22">
        <v>0.11</v>
      </c>
      <c r="AA1000" s="8" t="s">
        <v>3265</v>
      </c>
      <c r="AB1000" s="8">
        <v>36643304.859999999</v>
      </c>
      <c r="AC1000" s="24">
        <v>9977971.9133780003</v>
      </c>
      <c r="AD1000" s="8">
        <v>19083612.940000001</v>
      </c>
      <c r="AE1000" s="24">
        <v>5196467.8035620004</v>
      </c>
      <c r="AF1000" s="8">
        <v>30</v>
      </c>
      <c r="AG1000" s="8">
        <v>146</v>
      </c>
      <c r="AH1000" s="8" t="s">
        <v>329</v>
      </c>
      <c r="AI1000" s="8" t="s">
        <v>226</v>
      </c>
      <c r="AJ1000" s="22">
        <v>0.67</v>
      </c>
      <c r="AK1000" s="8" t="s">
        <v>153</v>
      </c>
      <c r="AL1000" s="22">
        <v>0.1</v>
      </c>
      <c r="AM1000" s="22">
        <v>0.08</v>
      </c>
      <c r="AN1000" s="8">
        <v>14</v>
      </c>
      <c r="AO1000" s="8">
        <v>1380</v>
      </c>
      <c r="AP1000" s="8"/>
      <c r="AQ1000" s="24"/>
      <c r="AR1000" s="8">
        <v>5809614.1299999999</v>
      </c>
      <c r="AS1000" s="37">
        <v>1581957.9275989998</v>
      </c>
      <c r="AT1000" s="8" t="s">
        <v>355</v>
      </c>
      <c r="AU1000" s="8" t="s">
        <v>321</v>
      </c>
      <c r="AV1000" s="8">
        <v>84.2</v>
      </c>
      <c r="AW1000" s="8">
        <v>60</v>
      </c>
      <c r="AX1000" s="8" t="s">
        <v>387</v>
      </c>
      <c r="AY1000" s="8" t="s">
        <v>192</v>
      </c>
      <c r="AZ1000" s="8" t="s">
        <v>332</v>
      </c>
      <c r="BA1000" s="21">
        <f>IF(OR(tblsales[[#This Row],[Invoice Value USD]]="",tblsales[[#This Row],[Collected Amount USD]]=""),"",tblsales[[#This Row],[Invoice Value USD]]-tblsales[[#This Row],[Collected Amount USD]])</f>
        <v>4781504.1098159999</v>
      </c>
      <c r="BB1000" s="21">
        <f>IF(OR(tblsales[[#This Row],[Contract Value USD]]="",tblsales[[#This Row],[Cost Estimate USD]]=""),"",tblsales[[#This Row],[Contract Value USD]]-tblsales[[#This Row],[Cost Estimate USD]])</f>
        <v>1938703.8541149981</v>
      </c>
      <c r="BC1000" s="21">
        <f>IF(OR(tblsales[[#This Row],[Contract Value USD]]="",tblsales[[#This Row],[Cost Estimate USD]]=""),"",tblsales[[#This Row],[Contract Value USD]]-tblsales[[#This Row],[Cost Estimate USD]])</f>
        <v>1938703.8541149981</v>
      </c>
      <c r="BD1000" s="23">
        <f>IF(tblsales[[#This Row],[Invoice Value USD]]="","",tblsales[[#This Row],[Collected Amount USD]]/tblsales[[#This Row],[Invoice Value USD]])</f>
        <v>0.52079398986830361</v>
      </c>
      <c r="BE1000" s="11">
        <f>IF(tblsales[[#This Row],[SalesStage]]="Won",1,0)</f>
        <v>0</v>
      </c>
      <c r="BF1000" s="21" t="str">
        <f>IF(tblsales[[#This Row],[Win Flag]]=1,"Won","Lost")</f>
        <v>Lost</v>
      </c>
      <c r="BG1000" s="8"/>
    </row>
    <row r="1001" spans="1:59" x14ac:dyDescent="0.3">
      <c r="A1001" s="10" t="s">
        <v>3266</v>
      </c>
      <c r="B1001" s="9">
        <v>46068</v>
      </c>
      <c r="C1001" s="10" t="s">
        <v>273</v>
      </c>
      <c r="D1001" s="10" t="s">
        <v>274</v>
      </c>
      <c r="E1001" s="10" t="s">
        <v>332</v>
      </c>
      <c r="F1001" s="10" t="s">
        <v>19</v>
      </c>
      <c r="G1001" s="10" t="s">
        <v>62</v>
      </c>
      <c r="H1001" s="10" t="s">
        <v>182</v>
      </c>
      <c r="I1001" s="10" t="s">
        <v>183</v>
      </c>
      <c r="J1001" s="10" t="s">
        <v>130</v>
      </c>
      <c r="K1001" s="10" t="s">
        <v>204</v>
      </c>
      <c r="L1001" s="10" t="s">
        <v>3267</v>
      </c>
      <c r="M1001" s="9">
        <v>45989</v>
      </c>
      <c r="N1001" s="9"/>
      <c r="O1001" s="9"/>
      <c r="P1001" s="11">
        <v>19</v>
      </c>
      <c r="Q1001" s="12">
        <v>46333952</v>
      </c>
      <c r="R1001">
        <v>53793718.272</v>
      </c>
      <c r="S1001" s="22">
        <v>0.23</v>
      </c>
      <c r="T1001" s="22">
        <v>0.11</v>
      </c>
      <c r="U1001" s="12">
        <v>39601628.770000003</v>
      </c>
      <c r="V1001" s="24">
        <v>45977491.001970008</v>
      </c>
      <c r="W1001" s="8">
        <v>34425237.670000002</v>
      </c>
      <c r="X1001" s="24">
        <v>39967700.934870005</v>
      </c>
      <c r="Y1001" s="22">
        <v>7.0000000000000007E-2</v>
      </c>
      <c r="Z1001" s="22">
        <v>7.0000000000000007E-2</v>
      </c>
      <c r="AA1001" s="8" t="s">
        <v>3268</v>
      </c>
      <c r="AB1001" s="8">
        <v>5346094.47</v>
      </c>
      <c r="AC1001" s="24">
        <v>6206815.6796699995</v>
      </c>
      <c r="AD1001" s="8">
        <v>1737156.59</v>
      </c>
      <c r="AE1001" s="24">
        <v>2016838.8009900001</v>
      </c>
      <c r="AF1001" s="8">
        <v>45</v>
      </c>
      <c r="AG1001" s="8">
        <v>29</v>
      </c>
      <c r="AH1001" s="8" t="s">
        <v>332</v>
      </c>
      <c r="AI1001" s="8" t="s">
        <v>406</v>
      </c>
      <c r="AJ1001" s="22">
        <v>0.85</v>
      </c>
      <c r="AK1001" s="8" t="s">
        <v>159</v>
      </c>
      <c r="AL1001" s="22">
        <v>0.1</v>
      </c>
      <c r="AM1001" s="22">
        <v>0.08</v>
      </c>
      <c r="AN1001" s="8">
        <v>9</v>
      </c>
      <c r="AO1001" s="8">
        <v>2825</v>
      </c>
      <c r="AP1001" s="8"/>
      <c r="AQ1001" s="24"/>
      <c r="AR1001" s="8"/>
      <c r="AS1001" s="37"/>
      <c r="AT1001" s="8" t="s">
        <v>321</v>
      </c>
      <c r="AU1001" s="8" t="s">
        <v>348</v>
      </c>
      <c r="AV1001" s="8">
        <v>92</v>
      </c>
      <c r="AW1001" s="8">
        <v>48</v>
      </c>
      <c r="AX1001" s="8" t="s">
        <v>332</v>
      </c>
      <c r="AY1001" s="8" t="s">
        <v>229</v>
      </c>
      <c r="AZ1001" s="8" t="s">
        <v>324</v>
      </c>
      <c r="BA1001" s="21">
        <f>IF(OR(tblsales[[#This Row],[Invoice Value USD]]="",tblsales[[#This Row],[Collected Amount USD]]=""),"",tblsales[[#This Row],[Invoice Value USD]]-tblsales[[#This Row],[Collected Amount USD]])</f>
        <v>4189976.8786799992</v>
      </c>
      <c r="BB1001" s="21">
        <f>IF(OR(tblsales[[#This Row],[Contract Value USD]]="",tblsales[[#This Row],[Cost Estimate USD]]=""),"",tblsales[[#This Row],[Contract Value USD]]-tblsales[[#This Row],[Cost Estimate USD]])</f>
        <v>6009790.0671000034</v>
      </c>
      <c r="BC1001" s="21">
        <f>IF(OR(tblsales[[#This Row],[Contract Value USD]]="",tblsales[[#This Row],[Cost Estimate USD]]=""),"",tblsales[[#This Row],[Contract Value USD]]-tblsales[[#This Row],[Cost Estimate USD]])</f>
        <v>6009790.0671000034</v>
      </c>
      <c r="BD1001" s="23">
        <f>IF(tblsales[[#This Row],[Invoice Value USD]]="","",tblsales[[#This Row],[Collected Amount USD]]/tblsales[[#This Row],[Invoice Value USD]])</f>
        <v>0.3249393739201919</v>
      </c>
      <c r="BE1001" s="11">
        <f>IF(tblsales[[#This Row],[SalesStage]]="Won",1,0)</f>
        <v>0</v>
      </c>
      <c r="BF1001" s="21" t="str">
        <f>IF(tblsales[[#This Row],[Win Flag]]=1,"Won","Lost")</f>
        <v>Lost</v>
      </c>
      <c r="BG1001" s="8"/>
    </row>
    <row r="1002" spans="1:59" x14ac:dyDescent="0.3">
      <c r="A1002" s="10" t="s">
        <v>3269</v>
      </c>
      <c r="B1002" s="9">
        <v>46018</v>
      </c>
      <c r="C1002" s="10" t="s">
        <v>241</v>
      </c>
      <c r="D1002" s="10" t="s">
        <v>180</v>
      </c>
      <c r="E1002" s="10" t="s">
        <v>41</v>
      </c>
      <c r="F1002" s="10" t="s">
        <v>228</v>
      </c>
      <c r="G1002" s="10" t="s">
        <v>38</v>
      </c>
      <c r="H1002" s="10" t="s">
        <v>263</v>
      </c>
      <c r="I1002" s="10" t="s">
        <v>191</v>
      </c>
      <c r="J1002" s="10" t="s">
        <v>105</v>
      </c>
      <c r="K1002" s="10" t="s">
        <v>221</v>
      </c>
      <c r="L1002" s="10" t="s">
        <v>3270</v>
      </c>
      <c r="M1002" s="9">
        <v>45929</v>
      </c>
      <c r="N1002" s="9"/>
      <c r="O1002" s="9">
        <v>46058</v>
      </c>
      <c r="P1002" s="11">
        <v>32</v>
      </c>
      <c r="Q1002" s="12">
        <v>34881958</v>
      </c>
      <c r="R1002">
        <v>9498357.1634</v>
      </c>
      <c r="S1002" s="22">
        <v>0.26</v>
      </c>
      <c r="T1002" s="22">
        <v>0.17</v>
      </c>
      <c r="U1002" s="12">
        <v>30200799.239999998</v>
      </c>
      <c r="V1002" s="24">
        <v>8223677.6330519989</v>
      </c>
      <c r="W1002" s="8"/>
      <c r="X1002" s="24"/>
      <c r="Y1002" s="22">
        <v>0.17</v>
      </c>
      <c r="Z1002" s="22">
        <v>0.16</v>
      </c>
      <c r="AA1002" s="8" t="s">
        <v>3271</v>
      </c>
      <c r="AB1002" s="8">
        <v>25005893.460000001</v>
      </c>
      <c r="AC1002" s="24">
        <v>6809104.7891579997</v>
      </c>
      <c r="AD1002" s="8">
        <v>14431632.57</v>
      </c>
      <c r="AE1002" s="24">
        <v>3929733.5488109998</v>
      </c>
      <c r="AF1002" s="8">
        <v>120</v>
      </c>
      <c r="AG1002" s="8">
        <v>173</v>
      </c>
      <c r="AH1002" s="8" t="s">
        <v>342</v>
      </c>
      <c r="AI1002" s="8" t="s">
        <v>336</v>
      </c>
      <c r="AJ1002" s="22">
        <v>0.09</v>
      </c>
      <c r="AK1002" s="8" t="s">
        <v>153</v>
      </c>
      <c r="AL1002" s="22">
        <v>0.05</v>
      </c>
      <c r="AM1002" s="22">
        <v>0.08</v>
      </c>
      <c r="AN1002" s="8">
        <v>9</v>
      </c>
      <c r="AO1002" s="8">
        <v>924</v>
      </c>
      <c r="AP1002" s="8">
        <v>4543398.3600000003</v>
      </c>
      <c r="AQ1002" s="24">
        <v>1237167.3734280001</v>
      </c>
      <c r="AR1002" s="8">
        <v>13043669.15</v>
      </c>
      <c r="AS1002" s="37">
        <v>3551791.1095449999</v>
      </c>
      <c r="AT1002" s="8" t="s">
        <v>73</v>
      </c>
      <c r="AU1002" s="8" t="s">
        <v>356</v>
      </c>
      <c r="AV1002" s="8">
        <v>50.6</v>
      </c>
      <c r="AW1002" s="8">
        <v>60</v>
      </c>
      <c r="AX1002" s="8" t="s">
        <v>392</v>
      </c>
      <c r="AY1002" s="8" t="s">
        <v>192</v>
      </c>
      <c r="AZ1002" s="8" t="s">
        <v>188</v>
      </c>
      <c r="BA1002" s="21">
        <f>IF(OR(tblsales[[#This Row],[Invoice Value USD]]="",tblsales[[#This Row],[Collected Amount USD]]=""),"",tblsales[[#This Row],[Invoice Value USD]]-tblsales[[#This Row],[Collected Amount USD]])</f>
        <v>2879371.2403469998</v>
      </c>
      <c r="BB1002" s="21" t="str">
        <f>IF(OR(tblsales[[#This Row],[Contract Value USD]]="",tblsales[[#This Row],[Cost Estimate USD]]=""),"",tblsales[[#This Row],[Contract Value USD]]-tblsales[[#This Row],[Cost Estimate USD]])</f>
        <v/>
      </c>
      <c r="BC1002" s="21" t="str">
        <f>IF(OR(tblsales[[#This Row],[Contract Value USD]]="",tblsales[[#This Row],[Cost Estimate USD]]=""),"",tblsales[[#This Row],[Contract Value USD]]-tblsales[[#This Row],[Cost Estimate USD]])</f>
        <v/>
      </c>
      <c r="BD1002" s="23">
        <f>IF(tblsales[[#This Row],[Invoice Value USD]]="","",tblsales[[#This Row],[Collected Amount USD]]/tblsales[[#This Row],[Invoice Value USD]])</f>
        <v>0.57712925127371151</v>
      </c>
      <c r="BE1002" s="11">
        <f>IF(tblsales[[#This Row],[SalesStage]]="Won",1,0)</f>
        <v>0</v>
      </c>
      <c r="BF1002" s="21" t="str">
        <f>IF(tblsales[[#This Row],[Win Flag]]=1,"Won","Lost")</f>
        <v>Lost</v>
      </c>
      <c r="BG1002" s="8"/>
    </row>
  </sheetData>
  <phoneticPr fontId="1" type="noConversion"/>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E0462-49EA-4141-B7BE-E33CEC37A553}">
  <dimension ref="A1:Y53"/>
  <sheetViews>
    <sheetView showGridLines="0" workbookViewId="0">
      <selection activeCell="F9" sqref="F9"/>
    </sheetView>
  </sheetViews>
  <sheetFormatPr defaultRowHeight="14.4" x14ac:dyDescent="0.3"/>
  <cols>
    <col min="1" max="1" width="11" bestFit="1" customWidth="1"/>
    <col min="2" max="2" width="19.88671875" bestFit="1" customWidth="1"/>
    <col min="3" max="3" width="15.88671875" bestFit="1" customWidth="1"/>
    <col min="4" max="4" width="10.44140625" bestFit="1" customWidth="1"/>
    <col min="5" max="5" width="11" bestFit="1" customWidth="1"/>
    <col min="6" max="6" width="14.5546875" bestFit="1" customWidth="1"/>
    <col min="7" max="7" width="14.21875" bestFit="1" customWidth="1"/>
    <col min="8" max="8" width="16.88671875" bestFit="1" customWidth="1"/>
    <col min="9" max="9" width="14.44140625" bestFit="1" customWidth="1"/>
    <col min="10" max="10" width="11.109375" bestFit="1" customWidth="1"/>
    <col min="11" max="11" width="17.33203125" bestFit="1" customWidth="1"/>
    <col min="12" max="12" width="9.21875" bestFit="1" customWidth="1"/>
    <col min="13" max="13" width="12.21875" bestFit="1" customWidth="1"/>
    <col min="14" max="14" width="15.33203125" bestFit="1" customWidth="1"/>
    <col min="15" max="15" width="18.21875" bestFit="1" customWidth="1"/>
    <col min="16" max="16" width="9.33203125" bestFit="1" customWidth="1"/>
    <col min="17" max="17" width="10.88671875" bestFit="1" customWidth="1"/>
    <col min="18" max="18" width="18.109375" bestFit="1" customWidth="1"/>
    <col min="19" max="19" width="9.6640625" bestFit="1" customWidth="1"/>
    <col min="20" max="20" width="17.6640625" bestFit="1" customWidth="1"/>
    <col min="21" max="21" width="16.44140625" bestFit="1" customWidth="1"/>
    <col min="22" max="22" width="18.6640625" bestFit="1" customWidth="1"/>
    <col min="23" max="23" width="3.33203125" customWidth="1"/>
    <col min="24" max="24" width="21.44140625" customWidth="1"/>
    <col min="25" max="25" width="15.5546875" customWidth="1"/>
    <col min="26" max="26" width="15" customWidth="1"/>
  </cols>
  <sheetData>
    <row r="1" spans="1:25" ht="39" customHeight="1" x14ac:dyDescent="0.3"/>
    <row r="2" spans="1:25" x14ac:dyDescent="0.3">
      <c r="A2" s="8" t="s">
        <v>164</v>
      </c>
      <c r="B2" s="8" t="s">
        <v>165</v>
      </c>
      <c r="C2" s="8" t="s">
        <v>166</v>
      </c>
      <c r="D2" s="8" t="s">
        <v>4</v>
      </c>
      <c r="E2" s="8" t="s">
        <v>3</v>
      </c>
      <c r="F2" s="8" t="s">
        <v>167</v>
      </c>
      <c r="G2" s="8" t="s">
        <v>168</v>
      </c>
      <c r="H2" s="8" t="s">
        <v>169</v>
      </c>
      <c r="I2" s="8" t="s">
        <v>170</v>
      </c>
      <c r="J2" s="8" t="s">
        <v>171</v>
      </c>
      <c r="K2" s="8" t="s">
        <v>172</v>
      </c>
      <c r="L2" s="8" t="s">
        <v>173</v>
      </c>
      <c r="M2" s="8" t="s">
        <v>174</v>
      </c>
      <c r="N2" s="8" t="s">
        <v>175</v>
      </c>
      <c r="O2" s="8" t="s">
        <v>176</v>
      </c>
      <c r="P2" s="8" t="s">
        <v>177</v>
      </c>
      <c r="Q2" s="8" t="s">
        <v>178</v>
      </c>
      <c r="R2" s="8" t="s">
        <v>15</v>
      </c>
      <c r="S2" t="s">
        <v>5802</v>
      </c>
      <c r="T2" s="8" t="s">
        <v>5718</v>
      </c>
      <c r="U2" s="8" t="s">
        <v>5719</v>
      </c>
      <c r="V2" s="8" t="s">
        <v>5720</v>
      </c>
      <c r="W2" s="8"/>
    </row>
    <row r="3" spans="1:25" x14ac:dyDescent="0.3">
      <c r="A3" s="8" t="s">
        <v>179</v>
      </c>
      <c r="B3" s="8" t="s">
        <v>180</v>
      </c>
      <c r="C3" s="8" t="s">
        <v>16</v>
      </c>
      <c r="D3" s="8" t="s">
        <v>113</v>
      </c>
      <c r="E3" s="8" t="s">
        <v>181</v>
      </c>
      <c r="F3" s="8" t="s">
        <v>182</v>
      </c>
      <c r="G3" s="8" t="s">
        <v>183</v>
      </c>
      <c r="H3" s="8" t="s">
        <v>184</v>
      </c>
      <c r="I3" s="8" t="s">
        <v>185</v>
      </c>
      <c r="J3" s="9">
        <v>45848</v>
      </c>
      <c r="K3" s="9">
        <v>46618</v>
      </c>
      <c r="L3" s="8">
        <v>30307278</v>
      </c>
      <c r="M3" s="8">
        <v>9826274</v>
      </c>
      <c r="N3" s="8">
        <v>16191074</v>
      </c>
      <c r="O3" s="8" t="s">
        <v>186</v>
      </c>
      <c r="P3" s="8" t="s">
        <v>187</v>
      </c>
      <c r="Q3" s="8" t="s">
        <v>332</v>
      </c>
      <c r="R3" s="8" t="s">
        <v>188</v>
      </c>
      <c r="S3">
        <v>6364800</v>
      </c>
      <c r="T3" s="8">
        <f>IF(OR(tblproject[[#This Row],[Budget]]="",tblproject[[#This Row],[ActualCost]]=""),"",tblproject[[#This Row],[Budget]]-tblproject[[#This Row],[ActualCost]])</f>
        <v>20481004</v>
      </c>
      <c r="U3" s="8">
        <f>IF(OR(tblproject[[#This Row],[ActualCost]]="",tblproject[[#This Row],[Budget]]=""),"",IFERROR(tblproject[[#This Row],[ActualCost]]/tblproject[[#This Row],[Budget]],0))</f>
        <v>0.32422159456220384</v>
      </c>
      <c r="V3" s="8" t="str">
        <f>IF(OR(tblproject[[#This Row],[ActualCost]]="",tblproject[[#This Row],[Budget]]=""),"",IF(tblproject[[#This Row],[ActualCost]]&gt;tblproject[[#This Row],[Budget]],"Over Budget","Within Budget"))</f>
        <v>Within Budget</v>
      </c>
      <c r="W3" s="8"/>
    </row>
    <row r="4" spans="1:25" x14ac:dyDescent="0.3">
      <c r="A4" s="8" t="s">
        <v>189</v>
      </c>
      <c r="B4" s="8" t="s">
        <v>190</v>
      </c>
      <c r="C4" s="8" t="s">
        <v>66</v>
      </c>
      <c r="D4" s="8" t="s">
        <v>113</v>
      </c>
      <c r="E4" s="8" t="s">
        <v>332</v>
      </c>
      <c r="F4" s="8" t="s">
        <v>182</v>
      </c>
      <c r="G4" s="8" t="s">
        <v>191</v>
      </c>
      <c r="H4" s="8" t="s">
        <v>184</v>
      </c>
      <c r="I4" s="8" t="s">
        <v>332</v>
      </c>
      <c r="J4" s="9">
        <v>45871</v>
      </c>
      <c r="K4" s="9">
        <v>46067</v>
      </c>
      <c r="L4" s="8">
        <v>99751876</v>
      </c>
      <c r="M4" s="8">
        <v>39045806</v>
      </c>
      <c r="N4" s="8">
        <v>32044169</v>
      </c>
      <c r="O4" s="8" t="s">
        <v>192</v>
      </c>
      <c r="P4" s="8" t="s">
        <v>193</v>
      </c>
      <c r="Q4" s="8" t="s">
        <v>194</v>
      </c>
      <c r="R4" s="8" t="s">
        <v>188</v>
      </c>
      <c r="S4">
        <v>-7001637</v>
      </c>
      <c r="T4" s="8">
        <f>IF(OR(tblproject[[#This Row],[Budget]]="",tblproject[[#This Row],[ActualCost]]=""),"",tblproject[[#This Row],[Budget]]-tblproject[[#This Row],[ActualCost]])</f>
        <v>60706070</v>
      </c>
      <c r="U4" s="8">
        <f>IF(OR(tblproject[[#This Row],[ActualCost]]="",tblproject[[#This Row],[Budget]]=""),"",IFERROR(tblproject[[#This Row],[ActualCost]]/tblproject[[#This Row],[Budget]],0))</f>
        <v>0.39142929001154825</v>
      </c>
      <c r="V4" s="8" t="str">
        <f>IF(OR(tblproject[[#This Row],[ActualCost]]="",tblproject[[#This Row],[Budget]]=""),"",IF(tblproject[[#This Row],[ActualCost]]&gt;tblproject[[#This Row],[Budget]],"Over Budget","Within Budget"))</f>
        <v>Within Budget</v>
      </c>
      <c r="W4" s="8"/>
      <c r="X4" t="s">
        <v>5736</v>
      </c>
      <c r="Y4">
        <f>COUNTA(tblproject[ProjectID])</f>
        <v>51</v>
      </c>
    </row>
    <row r="5" spans="1:25" x14ac:dyDescent="0.3">
      <c r="A5" s="8" t="s">
        <v>195</v>
      </c>
      <c r="B5" s="8" t="s">
        <v>180</v>
      </c>
      <c r="C5" s="8" t="s">
        <v>66</v>
      </c>
      <c r="D5" s="8" t="s">
        <v>41</v>
      </c>
      <c r="E5" s="8" t="s">
        <v>196</v>
      </c>
      <c r="F5" s="8" t="s">
        <v>197</v>
      </c>
      <c r="G5" s="8" t="s">
        <v>198</v>
      </c>
      <c r="H5" s="8" t="s">
        <v>199</v>
      </c>
      <c r="I5" s="8" t="s">
        <v>200</v>
      </c>
      <c r="J5" s="9">
        <v>45775</v>
      </c>
      <c r="K5" s="9">
        <v>46349</v>
      </c>
      <c r="L5" s="8">
        <v>53401528</v>
      </c>
      <c r="M5" s="8"/>
      <c r="N5" s="8">
        <v>61960599</v>
      </c>
      <c r="O5" s="8" t="s">
        <v>192</v>
      </c>
      <c r="P5" s="8" t="s">
        <v>332</v>
      </c>
      <c r="Q5" s="8" t="s">
        <v>187</v>
      </c>
      <c r="R5" s="8" t="s">
        <v>3272</v>
      </c>
      <c r="T5" s="8" t="str">
        <f>IF(OR(tblproject[[#This Row],[Budget]]="",tblproject[[#This Row],[ActualCost]]=""),"",tblproject[[#This Row],[Budget]]-tblproject[[#This Row],[ActualCost]])</f>
        <v/>
      </c>
      <c r="U5" s="8" t="str">
        <f>IF(OR(tblproject[[#This Row],[ActualCost]]="",tblproject[[#This Row],[Budget]]=""),"",IFERROR(tblproject[[#This Row],[ActualCost]]/tblproject[[#This Row],[Budget]],0))</f>
        <v/>
      </c>
      <c r="V5" s="8" t="str">
        <f>IF(OR(tblproject[[#This Row],[ActualCost]]="",tblproject[[#This Row],[Budget]]=""),"",IF(tblproject[[#This Row],[ActualCost]]&gt;tblproject[[#This Row],[Budget]],"Over Budget","Within Budget"))</f>
        <v/>
      </c>
      <c r="W5" s="8"/>
      <c r="X5" t="s">
        <v>5759</v>
      </c>
      <c r="Y5" s="35">
        <f>SUM(tblproject[Budget])</f>
        <v>2967230917</v>
      </c>
    </row>
    <row r="6" spans="1:25" x14ac:dyDescent="0.3">
      <c r="A6" s="8" t="s">
        <v>201</v>
      </c>
      <c r="B6" s="8" t="s">
        <v>202</v>
      </c>
      <c r="C6" s="8" t="s">
        <v>78</v>
      </c>
      <c r="D6" s="8" t="s">
        <v>3273</v>
      </c>
      <c r="E6" s="8" t="s">
        <v>35</v>
      </c>
      <c r="F6" s="8" t="s">
        <v>182</v>
      </c>
      <c r="G6" s="8" t="s">
        <v>203</v>
      </c>
      <c r="H6" s="8" t="s">
        <v>204</v>
      </c>
      <c r="I6" s="8" t="s">
        <v>205</v>
      </c>
      <c r="J6" s="9">
        <v>45772</v>
      </c>
      <c r="K6" s="9">
        <v>46160</v>
      </c>
      <c r="L6" s="8">
        <v>19625715</v>
      </c>
      <c r="M6" s="8">
        <v>58756861</v>
      </c>
      <c r="N6" s="8">
        <v>109953280</v>
      </c>
      <c r="O6" s="8" t="s">
        <v>206</v>
      </c>
      <c r="P6" s="8" t="s">
        <v>3274</v>
      </c>
      <c r="Q6" s="8" t="s">
        <v>194</v>
      </c>
      <c r="R6" s="8" t="s">
        <v>207</v>
      </c>
      <c r="S6">
        <v>51196419</v>
      </c>
      <c r="T6" s="8">
        <f>IF(OR(tblproject[[#This Row],[Budget]]="",tblproject[[#This Row],[ActualCost]]=""),"",tblproject[[#This Row],[Budget]]-tblproject[[#This Row],[ActualCost]])</f>
        <v>-39131146</v>
      </c>
      <c r="U6" s="8">
        <f>IF(OR(tblproject[[#This Row],[ActualCost]]="",tblproject[[#This Row],[Budget]]=""),"",IFERROR(tblproject[[#This Row],[ActualCost]]/tblproject[[#This Row],[Budget]],0))</f>
        <v>2.9938711022757643</v>
      </c>
      <c r="V6" s="8" t="str">
        <f>IF(OR(tblproject[[#This Row],[ActualCost]]="",tblproject[[#This Row],[Budget]]=""),"",IF(tblproject[[#This Row],[ActualCost]]&gt;tblproject[[#This Row],[Budget]],"Over Budget","Within Budget"))</f>
        <v>Over Budget</v>
      </c>
      <c r="W6" s="8"/>
      <c r="X6" t="s">
        <v>5737</v>
      </c>
      <c r="Y6">
        <f>COUNTIF(tblproject[ProjectStatus],"Active")</f>
        <v>19</v>
      </c>
    </row>
    <row r="7" spans="1:25" x14ac:dyDescent="0.3">
      <c r="A7" s="8" t="s">
        <v>208</v>
      </c>
      <c r="B7" s="8" t="s">
        <v>209</v>
      </c>
      <c r="C7" s="8" t="s">
        <v>78</v>
      </c>
      <c r="D7" s="8" t="s">
        <v>113</v>
      </c>
      <c r="E7" s="8" t="s">
        <v>35</v>
      </c>
      <c r="F7" s="8" t="s">
        <v>236</v>
      </c>
      <c r="G7" s="8" t="s">
        <v>183</v>
      </c>
      <c r="H7" s="8" t="s">
        <v>210</v>
      </c>
      <c r="I7" s="8" t="s">
        <v>332</v>
      </c>
      <c r="J7" s="9">
        <v>45811</v>
      </c>
      <c r="K7" s="9">
        <v>45696</v>
      </c>
      <c r="L7" s="8">
        <v>82318427</v>
      </c>
      <c r="M7" s="8">
        <v>19272004</v>
      </c>
      <c r="N7" s="8">
        <v>64610409</v>
      </c>
      <c r="O7" s="8" t="s">
        <v>186</v>
      </c>
      <c r="P7" s="8" t="s">
        <v>187</v>
      </c>
      <c r="Q7" s="8" t="s">
        <v>194</v>
      </c>
      <c r="R7" s="8" t="s">
        <v>207</v>
      </c>
      <c r="S7">
        <v>45338405</v>
      </c>
      <c r="T7" s="8">
        <f>IF(OR(tblproject[[#This Row],[Budget]]="",tblproject[[#This Row],[ActualCost]]=""),"",tblproject[[#This Row],[Budget]]-tblproject[[#This Row],[ActualCost]])</f>
        <v>63046423</v>
      </c>
      <c r="U7" s="8">
        <f>IF(OR(tblproject[[#This Row],[ActualCost]]="",tblproject[[#This Row],[Budget]]=""),"",IFERROR(tblproject[[#This Row],[ActualCost]]/tblproject[[#This Row],[Budget]],0))</f>
        <v>0.23411530932193347</v>
      </c>
      <c r="V7" s="8" t="str">
        <f>IF(OR(tblproject[[#This Row],[ActualCost]]="",tblproject[[#This Row],[Budget]]=""),"",IF(tblproject[[#This Row],[ActualCost]]&gt;tblproject[[#This Row],[Budget]],"Over Budget","Within Budget"))</f>
        <v>Within Budget</v>
      </c>
      <c r="W7" s="8"/>
      <c r="X7" t="s">
        <v>5738</v>
      </c>
      <c r="Y7" s="35">
        <f>SUM(M3:M53)</f>
        <v>2453617746</v>
      </c>
    </row>
    <row r="8" spans="1:25" x14ac:dyDescent="0.3">
      <c r="A8" s="8" t="s">
        <v>211</v>
      </c>
      <c r="B8" s="8" t="s">
        <v>190</v>
      </c>
      <c r="C8" s="8" t="s">
        <v>46</v>
      </c>
      <c r="D8" s="8" t="s">
        <v>20</v>
      </c>
      <c r="E8" s="8" t="s">
        <v>35</v>
      </c>
      <c r="F8" s="8" t="s">
        <v>212</v>
      </c>
      <c r="G8" s="8" t="s">
        <v>213</v>
      </c>
      <c r="H8" s="8" t="s">
        <v>199</v>
      </c>
      <c r="I8" s="8" t="s">
        <v>185</v>
      </c>
      <c r="J8" s="9">
        <v>45742</v>
      </c>
      <c r="K8" s="9">
        <v>46547</v>
      </c>
      <c r="L8" s="8">
        <v>16698289</v>
      </c>
      <c r="M8" s="8"/>
      <c r="N8" s="8">
        <v>13944659</v>
      </c>
      <c r="O8" s="8" t="s">
        <v>206</v>
      </c>
      <c r="P8" s="8" t="s">
        <v>193</v>
      </c>
      <c r="Q8" s="8" t="s">
        <v>187</v>
      </c>
      <c r="R8" s="8" t="s">
        <v>3272</v>
      </c>
      <c r="T8" s="8" t="str">
        <f>IF(OR(tblproject[[#This Row],[Budget]]="",tblproject[[#This Row],[ActualCost]]=""),"",tblproject[[#This Row],[Budget]]-tblproject[[#This Row],[ActualCost]])</f>
        <v/>
      </c>
      <c r="U8" s="8" t="str">
        <f>IF(OR(tblproject[[#This Row],[ActualCost]]="",tblproject[[#This Row],[Budget]]=""),"",IFERROR(tblproject[[#This Row],[ActualCost]]/tblproject[[#This Row],[Budget]],0))</f>
        <v/>
      </c>
      <c r="V8" s="8" t="str">
        <f>IF(OR(tblproject[[#This Row],[ActualCost]]="",tblproject[[#This Row],[Budget]]=""),"",IF(tblproject[[#This Row],[ActualCost]]&gt;tblproject[[#This Row],[Budget]],"Over Budget","Within Budget"))</f>
        <v/>
      </c>
      <c r="W8" s="8"/>
      <c r="X8" t="s">
        <v>5740</v>
      </c>
      <c r="Y8">
        <f>COUNTIF(tblproject[ProjectStatus],"Completed")</f>
        <v>18</v>
      </c>
    </row>
    <row r="9" spans="1:25" x14ac:dyDescent="0.3">
      <c r="A9" s="8" t="s">
        <v>214</v>
      </c>
      <c r="B9" s="8" t="s">
        <v>215</v>
      </c>
      <c r="C9" s="8" t="s">
        <v>73</v>
      </c>
      <c r="D9" s="8" t="s">
        <v>41</v>
      </c>
      <c r="E9" s="8" t="s">
        <v>196</v>
      </c>
      <c r="F9" s="8" t="s">
        <v>216</v>
      </c>
      <c r="G9" s="8" t="s">
        <v>203</v>
      </c>
      <c r="H9" s="8" t="s">
        <v>199</v>
      </c>
      <c r="I9" s="8" t="s">
        <v>185</v>
      </c>
      <c r="J9" s="9">
        <v>46021</v>
      </c>
      <c r="K9" s="9">
        <v>46294</v>
      </c>
      <c r="L9" s="8">
        <v>66008291</v>
      </c>
      <c r="M9" s="8">
        <v>36178763</v>
      </c>
      <c r="N9" s="8">
        <v>78205491</v>
      </c>
      <c r="O9" s="8" t="s">
        <v>192</v>
      </c>
      <c r="P9" s="8" t="s">
        <v>332</v>
      </c>
      <c r="Q9" s="8" t="s">
        <v>332</v>
      </c>
      <c r="R9" s="8" t="s">
        <v>188</v>
      </c>
      <c r="S9">
        <v>42026728</v>
      </c>
      <c r="T9" s="8">
        <f>IF(OR(tblproject[[#This Row],[Budget]]="",tblproject[[#This Row],[ActualCost]]=""),"",tblproject[[#This Row],[Budget]]-tblproject[[#This Row],[ActualCost]])</f>
        <v>29829528</v>
      </c>
      <c r="U9" s="8">
        <f>IF(OR(tblproject[[#This Row],[ActualCost]]="",tblproject[[#This Row],[Budget]]=""),"",IFERROR(tblproject[[#This Row],[ActualCost]]/tblproject[[#This Row],[Budget]],0))</f>
        <v>0.54809422349686343</v>
      </c>
      <c r="V9" s="8" t="str">
        <f>IF(OR(tblproject[[#This Row],[ActualCost]]="",tblproject[[#This Row],[Budget]]=""),"",IF(tblproject[[#This Row],[ActualCost]]&gt;tblproject[[#This Row],[Budget]],"Over Budget","Within Budget"))</f>
        <v>Within Budget</v>
      </c>
      <c r="W9" s="8"/>
      <c r="X9" t="s">
        <v>5772</v>
      </c>
      <c r="Y9" s="34">
        <f>SUM(tblproject[Budget])-SUM(tblproject[ActualCost])</f>
        <v>513613171</v>
      </c>
    </row>
    <row r="10" spans="1:25" x14ac:dyDescent="0.3">
      <c r="A10" s="8" t="s">
        <v>217</v>
      </c>
      <c r="B10" s="8" t="s">
        <v>180</v>
      </c>
      <c r="C10" s="8" t="s">
        <v>23</v>
      </c>
      <c r="D10" s="8" t="s">
        <v>113</v>
      </c>
      <c r="E10" s="8" t="s">
        <v>332</v>
      </c>
      <c r="F10" s="8" t="s">
        <v>216</v>
      </c>
      <c r="G10" s="8" t="s">
        <v>240</v>
      </c>
      <c r="H10" s="8" t="s">
        <v>184</v>
      </c>
      <c r="I10" s="8" t="s">
        <v>200</v>
      </c>
      <c r="J10" s="9">
        <v>45761</v>
      </c>
      <c r="K10" s="9">
        <v>46112</v>
      </c>
      <c r="L10" s="8">
        <v>55051201</v>
      </c>
      <c r="M10" s="8">
        <v>10022395</v>
      </c>
      <c r="N10" s="8">
        <v>97541178</v>
      </c>
      <c r="O10" s="8" t="s">
        <v>186</v>
      </c>
      <c r="P10" s="8" t="s">
        <v>3274</v>
      </c>
      <c r="Q10" s="8" t="s">
        <v>193</v>
      </c>
      <c r="R10" s="8" t="s">
        <v>218</v>
      </c>
      <c r="S10">
        <v>87518783</v>
      </c>
      <c r="T10" s="8">
        <f>IF(OR(tblproject[[#This Row],[Budget]]="",tblproject[[#This Row],[ActualCost]]=""),"",tblproject[[#This Row],[Budget]]-tblproject[[#This Row],[ActualCost]])</f>
        <v>45028806</v>
      </c>
      <c r="U10" s="8">
        <f>IF(OR(tblproject[[#This Row],[ActualCost]]="",tblproject[[#This Row],[Budget]]=""),"",IFERROR(tblproject[[#This Row],[ActualCost]]/tblproject[[#This Row],[Budget]],0))</f>
        <v>0.18205588284985827</v>
      </c>
      <c r="V10" s="8" t="str">
        <f>IF(OR(tblproject[[#This Row],[ActualCost]]="",tblproject[[#This Row],[Budget]]=""),"",IF(tblproject[[#This Row],[ActualCost]]&gt;tblproject[[#This Row],[Budget]],"Over Budget","Within Budget"))</f>
        <v>Within Budget</v>
      </c>
      <c r="W10" s="8"/>
      <c r="X10" t="s">
        <v>5741</v>
      </c>
      <c r="Y10" s="35">
        <f>SUM(tblproject[ContractValue])</f>
        <v>3197038139</v>
      </c>
    </row>
    <row r="11" spans="1:25" x14ac:dyDescent="0.3">
      <c r="A11" s="8" t="s">
        <v>219</v>
      </c>
      <c r="B11" s="8" t="s">
        <v>220</v>
      </c>
      <c r="C11" s="8" t="s">
        <v>66</v>
      </c>
      <c r="D11" s="8" t="s">
        <v>36</v>
      </c>
      <c r="E11" s="8" t="s">
        <v>332</v>
      </c>
      <c r="F11" s="8" t="s">
        <v>332</v>
      </c>
      <c r="G11" s="8" t="s">
        <v>183</v>
      </c>
      <c r="H11" s="8" t="s">
        <v>221</v>
      </c>
      <c r="I11" s="8" t="s">
        <v>185</v>
      </c>
      <c r="J11" s="9">
        <v>45744</v>
      </c>
      <c r="K11" s="9">
        <v>46138</v>
      </c>
      <c r="L11" s="8">
        <v>93064720</v>
      </c>
      <c r="M11" s="8">
        <v>39429337</v>
      </c>
      <c r="N11" s="8">
        <v>85205497</v>
      </c>
      <c r="O11" s="8" t="s">
        <v>206</v>
      </c>
      <c r="P11" s="8" t="s">
        <v>187</v>
      </c>
      <c r="Q11" s="8" t="s">
        <v>187</v>
      </c>
      <c r="R11" s="8" t="s">
        <v>3272</v>
      </c>
      <c r="S11">
        <v>45776160</v>
      </c>
      <c r="T11" s="8">
        <f>IF(OR(tblproject[[#This Row],[Budget]]="",tblproject[[#This Row],[ActualCost]]=""),"",tblproject[[#This Row],[Budget]]-tblproject[[#This Row],[ActualCost]])</f>
        <v>53635383</v>
      </c>
      <c r="U11" s="8">
        <f>IF(OR(tblproject[[#This Row],[ActualCost]]="",tblproject[[#This Row],[Budget]]=""),"",IFERROR(tblproject[[#This Row],[ActualCost]]/tblproject[[#This Row],[Budget]],0))</f>
        <v>0.42367652317655929</v>
      </c>
      <c r="V11" s="8" t="str">
        <f>IF(OR(tblproject[[#This Row],[ActualCost]]="",tblproject[[#This Row],[Budget]]=""),"",IF(tblproject[[#This Row],[ActualCost]]&gt;tblproject[[#This Row],[Budget]],"Over Budget","Within Budget"))</f>
        <v>Within Budget</v>
      </c>
      <c r="W11" s="8"/>
      <c r="X11" t="s">
        <v>5687</v>
      </c>
      <c r="Y11" s="34">
        <f>SUM(tblproject[ContractValue])-SUM(tblproject[ActualCost])</f>
        <v>743420393</v>
      </c>
    </row>
    <row r="12" spans="1:25" x14ac:dyDescent="0.3">
      <c r="A12" s="8" t="s">
        <v>222</v>
      </c>
      <c r="B12" s="8" t="s">
        <v>190</v>
      </c>
      <c r="C12" s="8" t="s">
        <v>66</v>
      </c>
      <c r="D12" s="8" t="s">
        <v>36</v>
      </c>
      <c r="E12" s="8" t="s">
        <v>31</v>
      </c>
      <c r="F12" s="8" t="s">
        <v>236</v>
      </c>
      <c r="G12" s="8" t="s">
        <v>198</v>
      </c>
      <c r="H12" s="8" t="s">
        <v>223</v>
      </c>
      <c r="I12" s="8" t="s">
        <v>205</v>
      </c>
      <c r="J12" s="9">
        <v>45905</v>
      </c>
      <c r="K12" s="9">
        <v>45956</v>
      </c>
      <c r="L12" s="8">
        <v>83584398</v>
      </c>
      <c r="M12" s="8">
        <v>55976999</v>
      </c>
      <c r="N12" s="8">
        <v>49003796</v>
      </c>
      <c r="O12" s="8" t="s">
        <v>224</v>
      </c>
      <c r="P12" s="8" t="s">
        <v>332</v>
      </c>
      <c r="Q12" s="8" t="s">
        <v>187</v>
      </c>
      <c r="R12" s="8" t="s">
        <v>3272</v>
      </c>
      <c r="S12">
        <v>-6973203</v>
      </c>
      <c r="T12" s="8">
        <f>IF(OR(tblproject[[#This Row],[Budget]]="",tblproject[[#This Row],[ActualCost]]=""),"",tblproject[[#This Row],[Budget]]-tblproject[[#This Row],[ActualCost]])</f>
        <v>27607399</v>
      </c>
      <c r="U12" s="8">
        <f>IF(OR(tblproject[[#This Row],[ActualCost]]="",tblproject[[#This Row],[Budget]]=""),"",IFERROR(tblproject[[#This Row],[ActualCost]]/tblproject[[#This Row],[Budget]],0))</f>
        <v>0.66970631289346605</v>
      </c>
      <c r="V12" s="8" t="str">
        <f>IF(OR(tblproject[[#This Row],[ActualCost]]="",tblproject[[#This Row],[Budget]]=""),"",IF(tblproject[[#This Row],[ActualCost]]&gt;tblproject[[#This Row],[Budget]],"Over Budget","Within Budget"))</f>
        <v>Within Budget</v>
      </c>
      <c r="W12" s="8"/>
      <c r="X12" t="s">
        <v>5688</v>
      </c>
    </row>
    <row r="13" spans="1:25" x14ac:dyDescent="0.3">
      <c r="A13" s="8" t="s">
        <v>225</v>
      </c>
      <c r="B13" s="8" t="s">
        <v>180</v>
      </c>
      <c r="C13" s="8" t="s">
        <v>16</v>
      </c>
      <c r="D13" s="8" t="s">
        <v>113</v>
      </c>
      <c r="E13" s="8" t="s">
        <v>332</v>
      </c>
      <c r="F13" s="8" t="s">
        <v>212</v>
      </c>
      <c r="G13" s="8" t="s">
        <v>191</v>
      </c>
      <c r="H13" s="8" t="s">
        <v>221</v>
      </c>
      <c r="I13" s="8" t="s">
        <v>226</v>
      </c>
      <c r="J13" s="9">
        <v>45997</v>
      </c>
      <c r="K13" s="9">
        <v>46090</v>
      </c>
      <c r="L13" s="8">
        <v>55729135</v>
      </c>
      <c r="M13" s="8">
        <v>78448259</v>
      </c>
      <c r="N13" s="8">
        <v>87899314</v>
      </c>
      <c r="O13" s="8" t="s">
        <v>206</v>
      </c>
      <c r="P13" s="8" t="s">
        <v>194</v>
      </c>
      <c r="Q13" s="8" t="s">
        <v>187</v>
      </c>
      <c r="R13" s="8" t="s">
        <v>3272</v>
      </c>
      <c r="S13">
        <v>9451055</v>
      </c>
      <c r="T13" s="8">
        <f>IF(OR(tblproject[[#This Row],[Budget]]="",tblproject[[#This Row],[ActualCost]]=""),"",tblproject[[#This Row],[Budget]]-tblproject[[#This Row],[ActualCost]])</f>
        <v>-22719124</v>
      </c>
      <c r="U13" s="8">
        <f>IF(OR(tblproject[[#This Row],[ActualCost]]="",tblproject[[#This Row],[Budget]]=""),"",IFERROR(tblproject[[#This Row],[ActualCost]]/tblproject[[#This Row],[Budget]],0))</f>
        <v>1.4076704940781872</v>
      </c>
      <c r="V13" s="8" t="str">
        <f>IF(OR(tblproject[[#This Row],[ActualCost]]="",tblproject[[#This Row],[Budget]]=""),"",IF(tblproject[[#This Row],[ActualCost]]&gt;tblproject[[#This Row],[Budget]],"Over Budget","Within Budget"))</f>
        <v>Over Budget</v>
      </c>
      <c r="W13" s="8"/>
      <c r="X13" t="s">
        <v>5742</v>
      </c>
      <c r="Y13" s="34">
        <f>SUM(tblproject[ContractValue])/COUNTA(tblproject[ProjectID])</f>
        <v>62687022.333333336</v>
      </c>
    </row>
    <row r="14" spans="1:25" x14ac:dyDescent="0.3">
      <c r="A14" s="8" t="s">
        <v>227</v>
      </c>
      <c r="B14" s="8" t="s">
        <v>202</v>
      </c>
      <c r="C14" s="8" t="s">
        <v>33</v>
      </c>
      <c r="D14" s="8" t="s">
        <v>36</v>
      </c>
      <c r="E14" s="8" t="s">
        <v>228</v>
      </c>
      <c r="F14" s="8" t="s">
        <v>212</v>
      </c>
      <c r="G14" s="8" t="s">
        <v>183</v>
      </c>
      <c r="H14" s="8" t="s">
        <v>210</v>
      </c>
      <c r="I14" s="8" t="s">
        <v>205</v>
      </c>
      <c r="J14" s="9">
        <v>45805</v>
      </c>
      <c r="K14" s="9">
        <v>46191</v>
      </c>
      <c r="L14" s="8">
        <v>66998703</v>
      </c>
      <c r="M14" s="8">
        <v>13565876</v>
      </c>
      <c r="N14" s="8">
        <v>39793501</v>
      </c>
      <c r="O14" s="8" t="s">
        <v>229</v>
      </c>
      <c r="P14" s="8" t="s">
        <v>194</v>
      </c>
      <c r="Q14" s="8" t="s">
        <v>193</v>
      </c>
      <c r="R14" s="8" t="s">
        <v>207</v>
      </c>
      <c r="S14">
        <v>26227625</v>
      </c>
      <c r="T14" s="8">
        <f>IF(OR(tblproject[[#This Row],[Budget]]="",tblproject[[#This Row],[ActualCost]]=""),"",tblproject[[#This Row],[Budget]]-tblproject[[#This Row],[ActualCost]])</f>
        <v>53432827</v>
      </c>
      <c r="U14" s="8">
        <f>IF(OR(tblproject[[#This Row],[ActualCost]]="",tblproject[[#This Row],[Budget]]=""),"",IFERROR(tblproject[[#This Row],[ActualCost]]/tblproject[[#This Row],[Budget]],0))</f>
        <v>0.20247968083800069</v>
      </c>
      <c r="V14" s="8" t="str">
        <f>IF(OR(tblproject[[#This Row],[ActualCost]]="",tblproject[[#This Row],[Budget]]=""),"",IF(tblproject[[#This Row],[ActualCost]]&gt;tblproject[[#This Row],[Budget]],"Over Budget","Within Budget"))</f>
        <v>Within Budget</v>
      </c>
      <c r="W14" s="8"/>
      <c r="X14" t="s">
        <v>5743</v>
      </c>
      <c r="Y14" s="4" t="e">
        <f>AVERAGE(#REF!)</f>
        <v>#REF!</v>
      </c>
    </row>
    <row r="15" spans="1:25" x14ac:dyDescent="0.3">
      <c r="A15" s="8" t="s">
        <v>230</v>
      </c>
      <c r="B15" s="8" t="s">
        <v>562</v>
      </c>
      <c r="C15" s="8" t="s">
        <v>16</v>
      </c>
      <c r="D15" s="8" t="s">
        <v>20</v>
      </c>
      <c r="E15" s="8" t="s">
        <v>196</v>
      </c>
      <c r="F15" s="8" t="s">
        <v>236</v>
      </c>
      <c r="G15" s="8" t="s">
        <v>183</v>
      </c>
      <c r="H15" s="8" t="s">
        <v>184</v>
      </c>
      <c r="I15" s="8" t="s">
        <v>226</v>
      </c>
      <c r="J15" s="9">
        <v>45745</v>
      </c>
      <c r="K15" s="9">
        <v>46266</v>
      </c>
      <c r="L15" s="8">
        <v>32675618</v>
      </c>
      <c r="M15" s="8"/>
      <c r="N15" s="8">
        <v>24372448</v>
      </c>
      <c r="O15" s="8" t="s">
        <v>229</v>
      </c>
      <c r="P15" s="8" t="s">
        <v>193</v>
      </c>
      <c r="Q15" s="8" t="s">
        <v>187</v>
      </c>
      <c r="R15" s="8" t="s">
        <v>207</v>
      </c>
      <c r="T15" s="8" t="str">
        <f>IF(OR(tblproject[[#This Row],[Budget]]="",tblproject[[#This Row],[ActualCost]]=""),"",tblproject[[#This Row],[Budget]]-tblproject[[#This Row],[ActualCost]])</f>
        <v/>
      </c>
      <c r="U15" s="8" t="str">
        <f>IF(OR(tblproject[[#This Row],[ActualCost]]="",tblproject[[#This Row],[Budget]]=""),"",IFERROR(tblproject[[#This Row],[ActualCost]]/tblproject[[#This Row],[Budget]],0))</f>
        <v/>
      </c>
      <c r="V15" s="8" t="str">
        <f>IF(OR(tblproject[[#This Row],[ActualCost]]="",tblproject[[#This Row],[Budget]]=""),"",IF(tblproject[[#This Row],[ActualCost]]&gt;tblproject[[#This Row],[Budget]],"Over Budget","Within Budget"))</f>
        <v/>
      </c>
      <c r="W15" s="8"/>
      <c r="X15" t="s">
        <v>5739</v>
      </c>
      <c r="Y15">
        <f ca="1">COUNTIFS(tblproject[PlannedEndDate],"&lt;"&amp;TODAY(),tblproject[ProjectStatus],"&lt;&gt;Completed")</f>
        <v>16</v>
      </c>
    </row>
    <row r="16" spans="1:25" x14ac:dyDescent="0.3">
      <c r="A16" s="8" t="s">
        <v>231</v>
      </c>
      <c r="B16" s="8" t="s">
        <v>232</v>
      </c>
      <c r="C16" s="8" t="s">
        <v>66</v>
      </c>
      <c r="D16" s="8" t="s">
        <v>20</v>
      </c>
      <c r="E16" s="8" t="s">
        <v>181</v>
      </c>
      <c r="F16" s="8" t="s">
        <v>216</v>
      </c>
      <c r="G16" s="8" t="s">
        <v>233</v>
      </c>
      <c r="H16" s="8" t="s">
        <v>221</v>
      </c>
      <c r="I16" s="8" t="s">
        <v>205</v>
      </c>
      <c r="J16" s="9">
        <v>45774</v>
      </c>
      <c r="K16" s="9">
        <v>45956</v>
      </c>
      <c r="L16" s="8">
        <v>54193625</v>
      </c>
      <c r="M16" s="8"/>
      <c r="N16" s="8">
        <v>33772870</v>
      </c>
      <c r="O16" s="8" t="s">
        <v>186</v>
      </c>
      <c r="P16" s="8" t="s">
        <v>187</v>
      </c>
      <c r="Q16" s="8" t="s">
        <v>194</v>
      </c>
      <c r="R16" s="8" t="s">
        <v>207</v>
      </c>
      <c r="T16" s="8" t="str">
        <f>IF(OR(tblproject[[#This Row],[Budget]]="",tblproject[[#This Row],[ActualCost]]=""),"",tblproject[[#This Row],[Budget]]-tblproject[[#This Row],[ActualCost]])</f>
        <v/>
      </c>
      <c r="U16" s="8" t="str">
        <f>IF(OR(tblproject[[#This Row],[ActualCost]]="",tblproject[[#This Row],[Budget]]=""),"",IFERROR(tblproject[[#This Row],[ActualCost]]/tblproject[[#This Row],[Budget]],0))</f>
        <v/>
      </c>
      <c r="V16" s="8" t="str">
        <f>IF(OR(tblproject[[#This Row],[ActualCost]]="",tblproject[[#This Row],[Budget]]=""),"",IF(tblproject[[#This Row],[ActualCost]]&gt;tblproject[[#This Row],[Budget]],"Over Budget","Within Budget"))</f>
        <v/>
      </c>
      <c r="W16" s="8"/>
      <c r="X16" t="s">
        <v>5773</v>
      </c>
      <c r="Y16" s="15">
        <f>SUM(M3:M53)/SUM(tblproject[Budget])</f>
        <v>0.82690488695794351</v>
      </c>
    </row>
    <row r="17" spans="1:25" x14ac:dyDescent="0.3">
      <c r="A17" s="8" t="s">
        <v>234</v>
      </c>
      <c r="B17" s="8" t="s">
        <v>180</v>
      </c>
      <c r="C17" s="8" t="s">
        <v>62</v>
      </c>
      <c r="D17" s="8" t="s">
        <v>36</v>
      </c>
      <c r="E17" s="8" t="s">
        <v>332</v>
      </c>
      <c r="F17" s="8" t="s">
        <v>212</v>
      </c>
      <c r="G17" s="8" t="s">
        <v>203</v>
      </c>
      <c r="H17" s="8" t="s">
        <v>199</v>
      </c>
      <c r="I17" s="8" t="s">
        <v>200</v>
      </c>
      <c r="J17" s="9">
        <v>45794</v>
      </c>
      <c r="K17" s="9">
        <v>46095</v>
      </c>
      <c r="L17" s="8">
        <v>80954158</v>
      </c>
      <c r="M17" s="8">
        <v>49234397</v>
      </c>
      <c r="N17" s="8">
        <v>29991665</v>
      </c>
      <c r="O17" s="8" t="s">
        <v>206</v>
      </c>
      <c r="P17" s="8" t="s">
        <v>187</v>
      </c>
      <c r="Q17" s="8" t="s">
        <v>187</v>
      </c>
      <c r="R17" s="8" t="s">
        <v>207</v>
      </c>
      <c r="S17">
        <v>-19242732</v>
      </c>
      <c r="T17" s="8">
        <f>IF(OR(tblproject[[#This Row],[Budget]]="",tblproject[[#This Row],[ActualCost]]=""),"",tblproject[[#This Row],[Budget]]-tblproject[[#This Row],[ActualCost]])</f>
        <v>31719761</v>
      </c>
      <c r="U17" s="8">
        <f>IF(OR(tblproject[[#This Row],[ActualCost]]="",tblproject[[#This Row],[Budget]]=""),"",IFERROR(tblproject[[#This Row],[ActualCost]]/tblproject[[#This Row],[Budget]],0))</f>
        <v>0.6081762594578527</v>
      </c>
      <c r="V17" s="8" t="str">
        <f>IF(OR(tblproject[[#This Row],[ActualCost]]="",tblproject[[#This Row],[Budget]]=""),"",IF(tblproject[[#This Row],[ActualCost]]&gt;tblproject[[#This Row],[Budget]],"Over Budget","Within Budget"))</f>
        <v>Within Budget</v>
      </c>
      <c r="W17" s="8"/>
      <c r="X17" t="s">
        <v>5801</v>
      </c>
      <c r="Y17">
        <f>COUNTIF(tblproject[Over_Budget_Flag],"Over Budget")</f>
        <v>19</v>
      </c>
    </row>
    <row r="18" spans="1:25" x14ac:dyDescent="0.3">
      <c r="A18" s="8" t="s">
        <v>235</v>
      </c>
      <c r="B18" s="8" t="s">
        <v>209</v>
      </c>
      <c r="C18" s="8" t="s">
        <v>70</v>
      </c>
      <c r="D18" s="8" t="s">
        <v>52</v>
      </c>
      <c r="E18" s="8" t="s">
        <v>196</v>
      </c>
      <c r="F18" s="8" t="s">
        <v>236</v>
      </c>
      <c r="G18" s="8" t="s">
        <v>183</v>
      </c>
      <c r="H18" s="8" t="s">
        <v>221</v>
      </c>
      <c r="I18" s="8" t="s">
        <v>200</v>
      </c>
      <c r="J18" s="9">
        <v>45869</v>
      </c>
      <c r="K18" s="9">
        <v>46674</v>
      </c>
      <c r="L18" s="8">
        <v>71042603</v>
      </c>
      <c r="M18" s="8">
        <v>86651321</v>
      </c>
      <c r="N18" s="8">
        <v>21805092</v>
      </c>
      <c r="O18" s="8" t="s">
        <v>229</v>
      </c>
      <c r="P18" s="8" t="s">
        <v>187</v>
      </c>
      <c r="Q18" s="8" t="s">
        <v>332</v>
      </c>
      <c r="R18" s="8" t="s">
        <v>3272</v>
      </c>
      <c r="S18">
        <v>-64846229</v>
      </c>
      <c r="T18" s="8">
        <f>IF(OR(tblproject[[#This Row],[Budget]]="",tblproject[[#This Row],[ActualCost]]=""),"",tblproject[[#This Row],[Budget]]-tblproject[[#This Row],[ActualCost]])</f>
        <v>-15608718</v>
      </c>
      <c r="U18" s="8">
        <f>IF(OR(tblproject[[#This Row],[ActualCost]]="",tblproject[[#This Row],[Budget]]=""),"",IFERROR(tblproject[[#This Row],[ActualCost]]/tblproject[[#This Row],[Budget]],0))</f>
        <v>1.2197092637498095</v>
      </c>
      <c r="V18" s="8" t="str">
        <f>IF(OR(tblproject[[#This Row],[ActualCost]]="",tblproject[[#This Row],[Budget]]=""),"",IF(tblproject[[#This Row],[ActualCost]]&gt;tblproject[[#This Row],[Budget]],"Over Budget","Within Budget"))</f>
        <v>Over Budget</v>
      </c>
      <c r="W18" s="8"/>
    </row>
    <row r="19" spans="1:25" x14ac:dyDescent="0.3">
      <c r="A19" s="8" t="s">
        <v>237</v>
      </c>
      <c r="B19" s="8" t="s">
        <v>238</v>
      </c>
      <c r="C19" s="8" t="s">
        <v>23</v>
      </c>
      <c r="D19" s="8" t="s">
        <v>20</v>
      </c>
      <c r="E19" s="8" t="s">
        <v>31</v>
      </c>
      <c r="F19" s="8" t="s">
        <v>182</v>
      </c>
      <c r="G19" s="8" t="s">
        <v>233</v>
      </c>
      <c r="H19" s="8" t="s">
        <v>221</v>
      </c>
      <c r="I19" s="8" t="s">
        <v>200</v>
      </c>
      <c r="J19" s="9">
        <v>45812</v>
      </c>
      <c r="K19" s="9">
        <v>45698</v>
      </c>
      <c r="L19" s="8">
        <v>87638787</v>
      </c>
      <c r="M19" s="8">
        <v>60508789</v>
      </c>
      <c r="N19" s="8">
        <v>47403247</v>
      </c>
      <c r="O19" s="8" t="s">
        <v>206</v>
      </c>
      <c r="P19" s="8" t="s">
        <v>193</v>
      </c>
      <c r="Q19" s="8" t="s">
        <v>193</v>
      </c>
      <c r="R19" s="8" t="s">
        <v>188</v>
      </c>
      <c r="S19">
        <v>-13105542</v>
      </c>
      <c r="T19" s="8">
        <f>IF(OR(tblproject[[#This Row],[Budget]]="",tblproject[[#This Row],[ActualCost]]=""),"",tblproject[[#This Row],[Budget]]-tblproject[[#This Row],[ActualCost]])</f>
        <v>27129998</v>
      </c>
      <c r="U19" s="8">
        <f>IF(OR(tblproject[[#This Row],[ActualCost]]="",tblproject[[#This Row],[Budget]]=""),"",IFERROR(tblproject[[#This Row],[ActualCost]]/tblproject[[#This Row],[Budget]],0))</f>
        <v>0.69043389429842295</v>
      </c>
      <c r="V19" s="8" t="str">
        <f>IF(OR(tblproject[[#This Row],[ActualCost]]="",tblproject[[#This Row],[Budget]]=""),"",IF(tblproject[[#This Row],[ActualCost]]&gt;tblproject[[#This Row],[Budget]],"Over Budget","Within Budget"))</f>
        <v>Within Budget</v>
      </c>
      <c r="W19" s="8"/>
    </row>
    <row r="20" spans="1:25" x14ac:dyDescent="0.3">
      <c r="A20" s="8" t="s">
        <v>239</v>
      </c>
      <c r="B20" s="8" t="s">
        <v>180</v>
      </c>
      <c r="C20" s="8" t="s">
        <v>70</v>
      </c>
      <c r="D20" s="8" t="s">
        <v>113</v>
      </c>
      <c r="E20" s="8" t="s">
        <v>31</v>
      </c>
      <c r="F20" s="8" t="s">
        <v>332</v>
      </c>
      <c r="G20" s="8" t="s">
        <v>240</v>
      </c>
      <c r="H20" s="8" t="s">
        <v>204</v>
      </c>
      <c r="I20" s="8" t="s">
        <v>200</v>
      </c>
      <c r="J20" s="9">
        <v>45772</v>
      </c>
      <c r="K20" s="9">
        <v>46557</v>
      </c>
      <c r="L20" s="8">
        <v>79526423</v>
      </c>
      <c r="M20" s="8">
        <v>61652813</v>
      </c>
      <c r="N20" s="8">
        <v>80889710</v>
      </c>
      <c r="O20" s="8" t="s">
        <v>192</v>
      </c>
      <c r="P20" s="8" t="s">
        <v>187</v>
      </c>
      <c r="Q20" s="8" t="s">
        <v>332</v>
      </c>
      <c r="R20" s="8" t="s">
        <v>218</v>
      </c>
      <c r="S20">
        <v>19236897</v>
      </c>
      <c r="T20" s="8">
        <f>IF(OR(tblproject[[#This Row],[Budget]]="",tblproject[[#This Row],[ActualCost]]=""),"",tblproject[[#This Row],[Budget]]-tblproject[[#This Row],[ActualCost]])</f>
        <v>17873610</v>
      </c>
      <c r="U20" s="8">
        <f>IF(OR(tblproject[[#This Row],[ActualCost]]="",tblproject[[#This Row],[Budget]]=""),"",IFERROR(tblproject[[#This Row],[ActualCost]]/tblproject[[#This Row],[Budget]],0))</f>
        <v>0.77524941615945686</v>
      </c>
      <c r="V20" s="8" t="str">
        <f>IF(OR(tblproject[[#This Row],[ActualCost]]="",tblproject[[#This Row],[Budget]]=""),"",IF(tblproject[[#This Row],[ActualCost]]&gt;tblproject[[#This Row],[Budget]],"Over Budget","Within Budget"))</f>
        <v>Within Budget</v>
      </c>
      <c r="W20" s="8"/>
    </row>
    <row r="21" spans="1:25" x14ac:dyDescent="0.3">
      <c r="A21" s="8" t="s">
        <v>241</v>
      </c>
      <c r="B21" s="8" t="s">
        <v>242</v>
      </c>
      <c r="C21" s="8" t="s">
        <v>73</v>
      </c>
      <c r="D21" s="8" t="s">
        <v>3273</v>
      </c>
      <c r="E21" s="8" t="s">
        <v>196</v>
      </c>
      <c r="F21" s="8" t="s">
        <v>216</v>
      </c>
      <c r="G21" s="8" t="s">
        <v>191</v>
      </c>
      <c r="H21" s="8" t="s">
        <v>221</v>
      </c>
      <c r="I21" s="8" t="s">
        <v>200</v>
      </c>
      <c r="J21" s="9">
        <v>45683</v>
      </c>
      <c r="K21" s="9">
        <v>46035</v>
      </c>
      <c r="L21" s="8">
        <v>5682741</v>
      </c>
      <c r="M21" s="8">
        <v>79522379</v>
      </c>
      <c r="N21" s="8">
        <v>71821766</v>
      </c>
      <c r="O21" s="8" t="s">
        <v>224</v>
      </c>
      <c r="P21" s="8" t="s">
        <v>194</v>
      </c>
      <c r="Q21" s="8" t="s">
        <v>194</v>
      </c>
      <c r="R21" s="8" t="s">
        <v>3272</v>
      </c>
      <c r="S21">
        <v>-7700613</v>
      </c>
      <c r="T21" s="8">
        <f>IF(OR(tblproject[[#This Row],[Budget]]="",tblproject[[#This Row],[ActualCost]]=""),"",tblproject[[#This Row],[Budget]]-tblproject[[#This Row],[ActualCost]])</f>
        <v>-73839638</v>
      </c>
      <c r="U21" s="8">
        <f>IF(OR(tblproject[[#This Row],[ActualCost]]="",tblproject[[#This Row],[Budget]]=""),"",IFERROR(tblproject[[#This Row],[ActualCost]]/tblproject[[#This Row],[Budget]],0))</f>
        <v>13.993665908757762</v>
      </c>
      <c r="V21" s="8" t="str">
        <f>IF(OR(tblproject[[#This Row],[ActualCost]]="",tblproject[[#This Row],[Budget]]=""),"",IF(tblproject[[#This Row],[ActualCost]]&gt;tblproject[[#This Row],[Budget]],"Over Budget","Within Budget"))</f>
        <v>Over Budget</v>
      </c>
      <c r="W21" s="8"/>
    </row>
    <row r="22" spans="1:25" x14ac:dyDescent="0.3">
      <c r="A22" s="8" t="s">
        <v>243</v>
      </c>
      <c r="B22" s="8" t="s">
        <v>202</v>
      </c>
      <c r="C22" s="8" t="s">
        <v>73</v>
      </c>
      <c r="D22" s="8" t="s">
        <v>36</v>
      </c>
      <c r="E22" s="8" t="s">
        <v>75</v>
      </c>
      <c r="F22" s="8" t="s">
        <v>216</v>
      </c>
      <c r="G22" s="8" t="s">
        <v>213</v>
      </c>
      <c r="H22" s="8" t="s">
        <v>221</v>
      </c>
      <c r="I22" s="8" t="s">
        <v>200</v>
      </c>
      <c r="J22" s="9">
        <v>45976</v>
      </c>
      <c r="K22" s="9">
        <v>45885</v>
      </c>
      <c r="L22" s="8">
        <v>68093622</v>
      </c>
      <c r="M22" s="8">
        <v>74773039</v>
      </c>
      <c r="N22" s="8">
        <v>101778834</v>
      </c>
      <c r="O22" s="8" t="s">
        <v>192</v>
      </c>
      <c r="P22" s="8" t="s">
        <v>187</v>
      </c>
      <c r="Q22" s="8" t="s">
        <v>332</v>
      </c>
      <c r="R22" s="8" t="s">
        <v>218</v>
      </c>
      <c r="S22">
        <v>27005795</v>
      </c>
      <c r="T22" s="8">
        <f>IF(OR(tblproject[[#This Row],[Budget]]="",tblproject[[#This Row],[ActualCost]]=""),"",tblproject[[#This Row],[Budget]]-tblproject[[#This Row],[ActualCost]])</f>
        <v>-6679417</v>
      </c>
      <c r="U22" s="8">
        <f>IF(OR(tblproject[[#This Row],[ActualCost]]="",tblproject[[#This Row],[Budget]]=""),"",IFERROR(tblproject[[#This Row],[ActualCost]]/tblproject[[#This Row],[Budget]],0))</f>
        <v>1.0980916685559772</v>
      </c>
      <c r="V22" s="8" t="str">
        <f>IF(OR(tblproject[[#This Row],[ActualCost]]="",tblproject[[#This Row],[Budget]]=""),"",IF(tblproject[[#This Row],[ActualCost]]&gt;tblproject[[#This Row],[Budget]],"Over Budget","Within Budget"))</f>
        <v>Over Budget</v>
      </c>
      <c r="W22" s="8"/>
    </row>
    <row r="23" spans="1:25" x14ac:dyDescent="0.3">
      <c r="A23" s="8" t="s">
        <v>244</v>
      </c>
      <c r="B23" s="8" t="s">
        <v>245</v>
      </c>
      <c r="C23" s="8" t="s">
        <v>78</v>
      </c>
      <c r="D23" s="8" t="s">
        <v>20</v>
      </c>
      <c r="E23" s="8" t="s">
        <v>181</v>
      </c>
      <c r="F23" s="8" t="s">
        <v>182</v>
      </c>
      <c r="G23" s="8" t="s">
        <v>246</v>
      </c>
      <c r="H23" s="8" t="s">
        <v>210</v>
      </c>
      <c r="I23" s="8" t="s">
        <v>226</v>
      </c>
      <c r="J23" s="9">
        <v>46036</v>
      </c>
      <c r="K23" s="9">
        <v>45858</v>
      </c>
      <c r="L23" s="8">
        <v>92515875</v>
      </c>
      <c r="M23" s="8">
        <v>85956335</v>
      </c>
      <c r="N23" s="8">
        <v>84437486</v>
      </c>
      <c r="O23" s="8" t="s">
        <v>229</v>
      </c>
      <c r="P23" s="8" t="s">
        <v>194</v>
      </c>
      <c r="Q23" s="8" t="s">
        <v>187</v>
      </c>
      <c r="R23" s="8" t="s">
        <v>188</v>
      </c>
      <c r="S23">
        <v>-1518849</v>
      </c>
      <c r="T23" s="8">
        <f>IF(OR(tblproject[[#This Row],[Budget]]="",tblproject[[#This Row],[ActualCost]]=""),"",tblproject[[#This Row],[Budget]]-tblproject[[#This Row],[ActualCost]])</f>
        <v>6559540</v>
      </c>
      <c r="U23" s="8">
        <f>IF(OR(tblproject[[#This Row],[ActualCost]]="",tblproject[[#This Row],[Budget]]=""),"",IFERROR(tblproject[[#This Row],[ActualCost]]/tblproject[[#This Row],[Budget]],0))</f>
        <v>0.92909822233211325</v>
      </c>
      <c r="V23" s="8" t="str">
        <f>IF(OR(tblproject[[#This Row],[ActualCost]]="",tblproject[[#This Row],[Budget]]=""),"",IF(tblproject[[#This Row],[ActualCost]]&gt;tblproject[[#This Row],[Budget]],"Over Budget","Within Budget"))</f>
        <v>Within Budget</v>
      </c>
      <c r="W23" s="8"/>
    </row>
    <row r="24" spans="1:25" x14ac:dyDescent="0.3">
      <c r="A24" s="8" t="s">
        <v>247</v>
      </c>
      <c r="B24" s="8" t="s">
        <v>248</v>
      </c>
      <c r="C24" s="8" t="s">
        <v>73</v>
      </c>
      <c r="D24" s="8" t="s">
        <v>20</v>
      </c>
      <c r="E24" s="8" t="s">
        <v>31</v>
      </c>
      <c r="F24" s="8" t="s">
        <v>263</v>
      </c>
      <c r="G24" s="8" t="s">
        <v>240</v>
      </c>
      <c r="H24" s="8" t="s">
        <v>221</v>
      </c>
      <c r="I24" s="8" t="s">
        <v>185</v>
      </c>
      <c r="J24" s="9">
        <v>46004</v>
      </c>
      <c r="K24" s="9">
        <v>46335</v>
      </c>
      <c r="L24" s="8">
        <v>79072932</v>
      </c>
      <c r="M24" s="8">
        <v>87299418</v>
      </c>
      <c r="N24" s="8">
        <v>54109310</v>
      </c>
      <c r="O24" s="8" t="s">
        <v>192</v>
      </c>
      <c r="P24" s="8" t="s">
        <v>3274</v>
      </c>
      <c r="Q24" s="8" t="s">
        <v>332</v>
      </c>
      <c r="R24" s="8" t="s">
        <v>218</v>
      </c>
      <c r="S24">
        <v>-33190108</v>
      </c>
      <c r="T24" s="8">
        <f>IF(OR(tblproject[[#This Row],[Budget]]="",tblproject[[#This Row],[ActualCost]]=""),"",tblproject[[#This Row],[Budget]]-tblproject[[#This Row],[ActualCost]])</f>
        <v>-8226486</v>
      </c>
      <c r="U24" s="8">
        <f>IF(OR(tblproject[[#This Row],[ActualCost]]="",tblproject[[#This Row],[Budget]]=""),"",IFERROR(tblproject[[#This Row],[ActualCost]]/tblproject[[#This Row],[Budget]],0))</f>
        <v>1.1040366885598727</v>
      </c>
      <c r="V24" s="8" t="str">
        <f>IF(OR(tblproject[[#This Row],[ActualCost]]="",tblproject[[#This Row],[Budget]]=""),"",IF(tblproject[[#This Row],[ActualCost]]&gt;tblproject[[#This Row],[Budget]],"Over Budget","Within Budget"))</f>
        <v>Over Budget</v>
      </c>
      <c r="W24" s="8"/>
    </row>
    <row r="25" spans="1:25" x14ac:dyDescent="0.3">
      <c r="A25" s="8" t="s">
        <v>249</v>
      </c>
      <c r="B25" s="8" t="s">
        <v>250</v>
      </c>
      <c r="C25" s="8" t="s">
        <v>57</v>
      </c>
      <c r="D25" s="8" t="s">
        <v>41</v>
      </c>
      <c r="E25" s="8" t="s">
        <v>181</v>
      </c>
      <c r="F25" s="8" t="s">
        <v>236</v>
      </c>
      <c r="G25" s="8" t="s">
        <v>191</v>
      </c>
      <c r="H25" s="8" t="s">
        <v>221</v>
      </c>
      <c r="I25" s="8" t="s">
        <v>185</v>
      </c>
      <c r="J25" s="9">
        <v>45854</v>
      </c>
      <c r="K25" s="9">
        <v>46471</v>
      </c>
      <c r="L25" s="8">
        <v>98795598</v>
      </c>
      <c r="M25" s="8">
        <v>61191870</v>
      </c>
      <c r="N25" s="8">
        <v>111696631</v>
      </c>
      <c r="O25" s="8" t="s">
        <v>229</v>
      </c>
      <c r="P25" s="8" t="s">
        <v>194</v>
      </c>
      <c r="Q25" s="8" t="s">
        <v>332</v>
      </c>
      <c r="R25" s="8" t="s">
        <v>207</v>
      </c>
      <c r="S25">
        <v>50504761</v>
      </c>
      <c r="T25" s="8">
        <f>IF(OR(tblproject[[#This Row],[Budget]]="",tblproject[[#This Row],[ActualCost]]=""),"",tblproject[[#This Row],[Budget]]-tblproject[[#This Row],[ActualCost]])</f>
        <v>37603728</v>
      </c>
      <c r="U25" s="8">
        <f>IF(OR(tblproject[[#This Row],[ActualCost]]="",tblproject[[#This Row],[Budget]]=""),"",IFERROR(tblproject[[#This Row],[ActualCost]]/tblproject[[#This Row],[Budget]],0))</f>
        <v>0.61937850712741271</v>
      </c>
      <c r="V25" s="8" t="str">
        <f>IF(OR(tblproject[[#This Row],[ActualCost]]="",tblproject[[#This Row],[Budget]]=""),"",IF(tblproject[[#This Row],[ActualCost]]&gt;tblproject[[#This Row],[Budget]],"Over Budget","Within Budget"))</f>
        <v>Within Budget</v>
      </c>
      <c r="W25" s="8"/>
    </row>
    <row r="26" spans="1:25" x14ac:dyDescent="0.3">
      <c r="A26" s="8" t="s">
        <v>251</v>
      </c>
      <c r="B26" s="8" t="s">
        <v>245</v>
      </c>
      <c r="C26" s="8" t="s">
        <v>46</v>
      </c>
      <c r="D26" s="8" t="s">
        <v>113</v>
      </c>
      <c r="E26" s="8" t="s">
        <v>228</v>
      </c>
      <c r="F26" s="8" t="s">
        <v>216</v>
      </c>
      <c r="G26" s="8" t="s">
        <v>233</v>
      </c>
      <c r="H26" s="8" t="s">
        <v>184</v>
      </c>
      <c r="I26" s="8" t="s">
        <v>185</v>
      </c>
      <c r="J26" s="9">
        <v>46267</v>
      </c>
      <c r="K26" s="9">
        <v>46178</v>
      </c>
      <c r="L26" s="8">
        <v>2000221</v>
      </c>
      <c r="M26" s="8">
        <v>87793581</v>
      </c>
      <c r="N26" s="8">
        <v>75613003</v>
      </c>
      <c r="O26" s="8" t="s">
        <v>186</v>
      </c>
      <c r="P26" s="8" t="s">
        <v>187</v>
      </c>
      <c r="Q26" s="8" t="s">
        <v>194</v>
      </c>
      <c r="R26" s="8" t="s">
        <v>218</v>
      </c>
      <c r="S26">
        <v>-12180578</v>
      </c>
      <c r="T26" s="8">
        <f>IF(OR(tblproject[[#This Row],[Budget]]="",tblproject[[#This Row],[ActualCost]]=""),"",tblproject[[#This Row],[Budget]]-tblproject[[#This Row],[ActualCost]])</f>
        <v>-85793360</v>
      </c>
      <c r="U26" s="8">
        <f>IF(OR(tblproject[[#This Row],[ActualCost]]="",tblproject[[#This Row],[Budget]]=""),"",IFERROR(tblproject[[#This Row],[ActualCost]]/tblproject[[#This Row],[Budget]],0))</f>
        <v>43.891940440581315</v>
      </c>
      <c r="V26" s="8" t="str">
        <f>IF(OR(tblproject[[#This Row],[ActualCost]]="",tblproject[[#This Row],[Budget]]=""),"",IF(tblproject[[#This Row],[ActualCost]]&gt;tblproject[[#This Row],[Budget]],"Over Budget","Within Budget"))</f>
        <v>Over Budget</v>
      </c>
      <c r="W26" s="8"/>
    </row>
    <row r="27" spans="1:25" x14ac:dyDescent="0.3">
      <c r="A27" s="8" t="s">
        <v>252</v>
      </c>
      <c r="B27" s="8" t="s">
        <v>253</v>
      </c>
      <c r="C27" s="8" t="s">
        <v>23</v>
      </c>
      <c r="D27" s="8" t="s">
        <v>41</v>
      </c>
      <c r="E27" s="8" t="s">
        <v>228</v>
      </c>
      <c r="F27" s="8" t="s">
        <v>197</v>
      </c>
      <c r="G27" s="8" t="s">
        <v>191</v>
      </c>
      <c r="H27" s="8" t="s">
        <v>199</v>
      </c>
      <c r="I27" s="8" t="s">
        <v>200</v>
      </c>
      <c r="J27" s="9">
        <v>45903</v>
      </c>
      <c r="K27" s="9">
        <v>46639</v>
      </c>
      <c r="L27" s="8">
        <v>80660664</v>
      </c>
      <c r="M27" s="8"/>
      <c r="N27" s="8">
        <v>67343800</v>
      </c>
      <c r="O27" s="8" t="s">
        <v>229</v>
      </c>
      <c r="P27" s="8" t="s">
        <v>187</v>
      </c>
      <c r="Q27" s="8" t="s">
        <v>332</v>
      </c>
      <c r="R27" s="8" t="s">
        <v>207</v>
      </c>
      <c r="T27" s="8" t="str">
        <f>IF(OR(tblproject[[#This Row],[Budget]]="",tblproject[[#This Row],[ActualCost]]=""),"",tblproject[[#This Row],[Budget]]-tblproject[[#This Row],[ActualCost]])</f>
        <v/>
      </c>
      <c r="U27" s="8" t="str">
        <f>IF(OR(tblproject[[#This Row],[ActualCost]]="",tblproject[[#This Row],[Budget]]=""),"",IFERROR(tblproject[[#This Row],[ActualCost]]/tblproject[[#This Row],[Budget]],0))</f>
        <v/>
      </c>
      <c r="V27" s="8" t="str">
        <f>IF(OR(tblproject[[#This Row],[ActualCost]]="",tblproject[[#This Row],[Budget]]=""),"",IF(tblproject[[#This Row],[ActualCost]]&gt;tblproject[[#This Row],[Budget]],"Over Budget","Within Budget"))</f>
        <v/>
      </c>
      <c r="W27" s="8"/>
    </row>
    <row r="28" spans="1:25" x14ac:dyDescent="0.3">
      <c r="A28" s="8" t="s">
        <v>254</v>
      </c>
      <c r="B28" s="8" t="s">
        <v>255</v>
      </c>
      <c r="C28" s="8" t="s">
        <v>28</v>
      </c>
      <c r="D28" s="8" t="s">
        <v>52</v>
      </c>
      <c r="E28" s="8" t="s">
        <v>228</v>
      </c>
      <c r="F28" s="8" t="s">
        <v>332</v>
      </c>
      <c r="G28" s="8" t="s">
        <v>203</v>
      </c>
      <c r="H28" s="8" t="s">
        <v>221</v>
      </c>
      <c r="I28" s="8" t="s">
        <v>205</v>
      </c>
      <c r="J28" s="9">
        <v>45791</v>
      </c>
      <c r="K28" s="9">
        <v>46717</v>
      </c>
      <c r="L28" s="8">
        <v>74624237</v>
      </c>
      <c r="M28" s="8">
        <v>17996470</v>
      </c>
      <c r="N28" s="8">
        <v>75894759</v>
      </c>
      <c r="O28" s="8" t="s">
        <v>192</v>
      </c>
      <c r="P28" s="8" t="s">
        <v>194</v>
      </c>
      <c r="Q28" s="8" t="s">
        <v>194</v>
      </c>
      <c r="R28" s="8" t="s">
        <v>218</v>
      </c>
      <c r="S28">
        <v>57898289</v>
      </c>
      <c r="T28" s="8">
        <f>IF(OR(tblproject[[#This Row],[Budget]]="",tblproject[[#This Row],[ActualCost]]=""),"",tblproject[[#This Row],[Budget]]-tblproject[[#This Row],[ActualCost]])</f>
        <v>56627767</v>
      </c>
      <c r="U28" s="8">
        <f>IF(OR(tblproject[[#This Row],[ActualCost]]="",tblproject[[#This Row],[Budget]]=""),"",IFERROR(tblproject[[#This Row],[ActualCost]]/tblproject[[#This Row],[Budget]],0))</f>
        <v>0.24116119271008427</v>
      </c>
      <c r="V28" s="8" t="str">
        <f>IF(OR(tblproject[[#This Row],[ActualCost]]="",tblproject[[#This Row],[Budget]]=""),"",IF(tblproject[[#This Row],[ActualCost]]&gt;tblproject[[#This Row],[Budget]],"Over Budget","Within Budget"))</f>
        <v>Within Budget</v>
      </c>
      <c r="W28" s="8"/>
    </row>
    <row r="29" spans="1:25" x14ac:dyDescent="0.3">
      <c r="A29" s="8" t="s">
        <v>256</v>
      </c>
      <c r="B29" s="8" t="s">
        <v>232</v>
      </c>
      <c r="C29" s="8" t="s">
        <v>50</v>
      </c>
      <c r="D29" s="8" t="s">
        <v>20</v>
      </c>
      <c r="E29" s="8" t="s">
        <v>31</v>
      </c>
      <c r="F29" s="8" t="s">
        <v>332</v>
      </c>
      <c r="G29" s="8" t="s">
        <v>233</v>
      </c>
      <c r="H29" s="8" t="s">
        <v>204</v>
      </c>
      <c r="I29" s="8" t="s">
        <v>185</v>
      </c>
      <c r="J29" s="9">
        <v>45900</v>
      </c>
      <c r="K29" s="9">
        <v>46384</v>
      </c>
      <c r="L29" s="8">
        <v>53917728</v>
      </c>
      <c r="M29" s="8">
        <v>24984607</v>
      </c>
      <c r="N29" s="8">
        <v>114592394</v>
      </c>
      <c r="O29" s="8" t="s">
        <v>229</v>
      </c>
      <c r="P29" s="8" t="s">
        <v>193</v>
      </c>
      <c r="Q29" s="8" t="s">
        <v>332</v>
      </c>
      <c r="R29" s="8" t="s">
        <v>3272</v>
      </c>
      <c r="S29">
        <v>89607787</v>
      </c>
      <c r="T29" s="8">
        <f>IF(OR(tblproject[[#This Row],[Budget]]="",tblproject[[#This Row],[ActualCost]]=""),"",tblproject[[#This Row],[Budget]]-tblproject[[#This Row],[ActualCost]])</f>
        <v>28933121</v>
      </c>
      <c r="U29" s="8">
        <f>IF(OR(tblproject[[#This Row],[ActualCost]]="",tblproject[[#This Row],[Budget]]=""),"",IFERROR(tblproject[[#This Row],[ActualCost]]/tblproject[[#This Row],[Budget]],0))</f>
        <v>0.46338389852035311</v>
      </c>
      <c r="V29" s="8" t="str">
        <f>IF(OR(tblproject[[#This Row],[ActualCost]]="",tblproject[[#This Row],[Budget]]=""),"",IF(tblproject[[#This Row],[ActualCost]]&gt;tblproject[[#This Row],[Budget]],"Over Budget","Within Budget"))</f>
        <v>Within Budget</v>
      </c>
      <c r="W29" s="8"/>
    </row>
    <row r="30" spans="1:25" x14ac:dyDescent="0.3">
      <c r="A30" s="8" t="s">
        <v>257</v>
      </c>
      <c r="B30" s="8" t="s">
        <v>232</v>
      </c>
      <c r="C30" s="8" t="s">
        <v>57</v>
      </c>
      <c r="D30" s="8" t="s">
        <v>332</v>
      </c>
      <c r="E30" s="8" t="s">
        <v>181</v>
      </c>
      <c r="F30" s="8" t="s">
        <v>216</v>
      </c>
      <c r="G30" s="8" t="s">
        <v>183</v>
      </c>
      <c r="H30" s="8" t="s">
        <v>199</v>
      </c>
      <c r="I30" s="8" t="s">
        <v>200</v>
      </c>
      <c r="J30" s="9">
        <v>45995</v>
      </c>
      <c r="K30" s="9">
        <v>45834</v>
      </c>
      <c r="L30" s="8">
        <v>25631272</v>
      </c>
      <c r="M30" s="8">
        <v>80768212</v>
      </c>
      <c r="N30" s="8">
        <v>11026578</v>
      </c>
      <c r="O30" s="8" t="s">
        <v>229</v>
      </c>
      <c r="P30" s="8" t="s">
        <v>3274</v>
      </c>
      <c r="Q30" s="8" t="s">
        <v>187</v>
      </c>
      <c r="R30" s="8" t="s">
        <v>188</v>
      </c>
      <c r="S30">
        <v>-69741634</v>
      </c>
      <c r="T30" s="8">
        <f>IF(OR(tblproject[[#This Row],[Budget]]="",tblproject[[#This Row],[ActualCost]]=""),"",tblproject[[#This Row],[Budget]]-tblproject[[#This Row],[ActualCost]])</f>
        <v>-55136940</v>
      </c>
      <c r="U30" s="8">
        <f>IF(OR(tblproject[[#This Row],[ActualCost]]="",tblproject[[#This Row],[Budget]]=""),"",IFERROR(tblproject[[#This Row],[ActualCost]]/tblproject[[#This Row],[Budget]],0))</f>
        <v>3.1511589436528942</v>
      </c>
      <c r="V30" s="8" t="str">
        <f>IF(OR(tblproject[[#This Row],[ActualCost]]="",tblproject[[#This Row],[Budget]]=""),"",IF(tblproject[[#This Row],[ActualCost]]&gt;tblproject[[#This Row],[Budget]],"Over Budget","Within Budget"))</f>
        <v>Over Budget</v>
      </c>
      <c r="W30" s="8"/>
    </row>
    <row r="31" spans="1:25" x14ac:dyDescent="0.3">
      <c r="A31" s="8" t="s">
        <v>258</v>
      </c>
      <c r="B31" s="8" t="s">
        <v>242</v>
      </c>
      <c r="C31" s="8" t="s">
        <v>80</v>
      </c>
      <c r="D31" s="8" t="s">
        <v>20</v>
      </c>
      <c r="E31" s="8" t="s">
        <v>35</v>
      </c>
      <c r="F31" s="8" t="s">
        <v>182</v>
      </c>
      <c r="G31" s="8" t="s">
        <v>183</v>
      </c>
      <c r="H31" s="8" t="s">
        <v>204</v>
      </c>
      <c r="I31" s="8" t="s">
        <v>185</v>
      </c>
      <c r="J31" s="9">
        <v>45971</v>
      </c>
      <c r="K31" s="9">
        <v>45865</v>
      </c>
      <c r="L31" s="8">
        <v>3967215</v>
      </c>
      <c r="M31" s="8">
        <v>43609887</v>
      </c>
      <c r="N31" s="8">
        <v>40860707</v>
      </c>
      <c r="O31" s="8" t="s">
        <v>229</v>
      </c>
      <c r="P31" s="8" t="s">
        <v>194</v>
      </c>
      <c r="Q31" s="8" t="s">
        <v>193</v>
      </c>
      <c r="R31" s="8" t="s">
        <v>218</v>
      </c>
      <c r="S31">
        <v>-2749180</v>
      </c>
      <c r="T31" s="8">
        <f>IF(OR(tblproject[[#This Row],[Budget]]="",tblproject[[#This Row],[ActualCost]]=""),"",tblproject[[#This Row],[Budget]]-tblproject[[#This Row],[ActualCost]])</f>
        <v>-39642672</v>
      </c>
      <c r="U31" s="8">
        <f>IF(OR(tblproject[[#This Row],[ActualCost]]="",tblproject[[#This Row],[Budget]]=""),"",IFERROR(tblproject[[#This Row],[ActualCost]]/tblproject[[#This Row],[Budget]],0))</f>
        <v>10.992569598572299</v>
      </c>
      <c r="V31" s="8" t="str">
        <f>IF(OR(tblproject[[#This Row],[ActualCost]]="",tblproject[[#This Row],[Budget]]=""),"",IF(tblproject[[#This Row],[ActualCost]]&gt;tblproject[[#This Row],[Budget]],"Over Budget","Within Budget"))</f>
        <v>Over Budget</v>
      </c>
      <c r="W31" s="8"/>
    </row>
    <row r="32" spans="1:25" x14ac:dyDescent="0.3">
      <c r="A32" s="8" t="s">
        <v>260</v>
      </c>
      <c r="B32" s="8" t="s">
        <v>248</v>
      </c>
      <c r="C32" s="8" t="s">
        <v>78</v>
      </c>
      <c r="D32" s="8" t="s">
        <v>20</v>
      </c>
      <c r="E32" s="8" t="s">
        <v>75</v>
      </c>
      <c r="F32" s="8" t="s">
        <v>197</v>
      </c>
      <c r="G32" s="8" t="s">
        <v>240</v>
      </c>
      <c r="H32" s="8" t="s">
        <v>210</v>
      </c>
      <c r="I32" s="8" t="s">
        <v>185</v>
      </c>
      <c r="J32" s="9">
        <v>45869</v>
      </c>
      <c r="K32" s="9">
        <v>46513</v>
      </c>
      <c r="L32" s="8">
        <v>63760279</v>
      </c>
      <c r="M32" s="8">
        <v>81493279</v>
      </c>
      <c r="N32" s="8">
        <v>113468565</v>
      </c>
      <c r="O32" s="8" t="s">
        <v>192</v>
      </c>
      <c r="P32" s="8" t="s">
        <v>187</v>
      </c>
      <c r="Q32" s="8" t="s">
        <v>332</v>
      </c>
      <c r="R32" s="8" t="s">
        <v>207</v>
      </c>
      <c r="S32">
        <v>31975286</v>
      </c>
      <c r="T32" s="8">
        <f>IF(OR(tblproject[[#This Row],[Budget]]="",tblproject[[#This Row],[ActualCost]]=""),"",tblproject[[#This Row],[Budget]]-tblproject[[#This Row],[ActualCost]])</f>
        <v>-17733000</v>
      </c>
      <c r="U32" s="8">
        <f>IF(OR(tblproject[[#This Row],[ActualCost]]="",tblproject[[#This Row],[Budget]]=""),"",IFERROR(tblproject[[#This Row],[ActualCost]]/tblproject[[#This Row],[Budget]],0))</f>
        <v>1.2781198620539287</v>
      </c>
      <c r="V32" s="8" t="str">
        <f>IF(OR(tblproject[[#This Row],[ActualCost]]="",tblproject[[#This Row],[Budget]]=""),"",IF(tblproject[[#This Row],[ActualCost]]&gt;tblproject[[#This Row],[Budget]],"Over Budget","Within Budget"))</f>
        <v>Over Budget</v>
      </c>
      <c r="W32" s="8"/>
    </row>
    <row r="33" spans="1:23" x14ac:dyDescent="0.3">
      <c r="A33" s="8" t="s">
        <v>261</v>
      </c>
      <c r="B33" s="8" t="s">
        <v>262</v>
      </c>
      <c r="C33" s="8" t="s">
        <v>332</v>
      </c>
      <c r="D33" s="8" t="s">
        <v>36</v>
      </c>
      <c r="E33" s="8" t="s">
        <v>75</v>
      </c>
      <c r="F33" s="8" t="s">
        <v>263</v>
      </c>
      <c r="G33" s="8" t="s">
        <v>183</v>
      </c>
      <c r="H33" s="8" t="s">
        <v>184</v>
      </c>
      <c r="I33" s="8" t="s">
        <v>185</v>
      </c>
      <c r="J33" s="9">
        <v>45932</v>
      </c>
      <c r="K33" s="9">
        <v>46478</v>
      </c>
      <c r="L33" s="8">
        <v>63564826</v>
      </c>
      <c r="M33" s="8">
        <v>90131288</v>
      </c>
      <c r="N33" s="8">
        <v>6838667</v>
      </c>
      <c r="O33" s="8" t="s">
        <v>192</v>
      </c>
      <c r="P33" s="8" t="s">
        <v>194</v>
      </c>
      <c r="Q33" s="8" t="s">
        <v>194</v>
      </c>
      <c r="R33" s="8" t="s">
        <v>3272</v>
      </c>
      <c r="S33">
        <v>-83292621</v>
      </c>
      <c r="T33" s="8">
        <f>IF(OR(tblproject[[#This Row],[Budget]]="",tblproject[[#This Row],[ActualCost]]=""),"",tblproject[[#This Row],[Budget]]-tblproject[[#This Row],[ActualCost]])</f>
        <v>-26566462</v>
      </c>
      <c r="U33" s="8">
        <f>IF(OR(tblproject[[#This Row],[ActualCost]]="",tblproject[[#This Row],[Budget]]=""),"",IFERROR(tblproject[[#This Row],[ActualCost]]/tblproject[[#This Row],[Budget]],0))</f>
        <v>1.417942810069204</v>
      </c>
      <c r="V33" s="8" t="str">
        <f>IF(OR(tblproject[[#This Row],[ActualCost]]="",tblproject[[#This Row],[Budget]]=""),"",IF(tblproject[[#This Row],[ActualCost]]&gt;tblproject[[#This Row],[Budget]],"Over Budget","Within Budget"))</f>
        <v>Over Budget</v>
      </c>
      <c r="W33" s="8"/>
    </row>
    <row r="34" spans="1:23" x14ac:dyDescent="0.3">
      <c r="A34" s="8" t="s">
        <v>264</v>
      </c>
      <c r="B34" s="8" t="s">
        <v>265</v>
      </c>
      <c r="C34" s="8" t="s">
        <v>33</v>
      </c>
      <c r="D34" s="8" t="s">
        <v>52</v>
      </c>
      <c r="E34" s="8" t="s">
        <v>75</v>
      </c>
      <c r="F34" s="8" t="s">
        <v>182</v>
      </c>
      <c r="G34" s="8" t="s">
        <v>240</v>
      </c>
      <c r="H34" s="8" t="s">
        <v>210</v>
      </c>
      <c r="I34" s="8" t="s">
        <v>200</v>
      </c>
      <c r="J34" s="9">
        <v>45919</v>
      </c>
      <c r="K34" s="9">
        <v>45948</v>
      </c>
      <c r="L34" s="8">
        <v>46625088</v>
      </c>
      <c r="M34" s="8">
        <v>19326039</v>
      </c>
      <c r="N34" s="8">
        <v>4573468</v>
      </c>
      <c r="O34" s="8" t="s">
        <v>206</v>
      </c>
      <c r="P34" s="8" t="s">
        <v>193</v>
      </c>
      <c r="Q34" s="8" t="s">
        <v>193</v>
      </c>
      <c r="R34" s="8" t="s">
        <v>218</v>
      </c>
      <c r="S34">
        <v>-14752571</v>
      </c>
      <c r="T34" s="8">
        <f>IF(OR(tblproject[[#This Row],[Budget]]="",tblproject[[#This Row],[ActualCost]]=""),"",tblproject[[#This Row],[Budget]]-tblproject[[#This Row],[ActualCost]])</f>
        <v>27299049</v>
      </c>
      <c r="U34" s="8">
        <f>IF(OR(tblproject[[#This Row],[ActualCost]]="",tblproject[[#This Row],[Budget]]=""),"",IFERROR(tblproject[[#This Row],[ActualCost]]/tblproject[[#This Row],[Budget]],0))</f>
        <v>0.4144987136539024</v>
      </c>
      <c r="V34" s="8" t="str">
        <f>IF(OR(tblproject[[#This Row],[ActualCost]]="",tblproject[[#This Row],[Budget]]=""),"",IF(tblproject[[#This Row],[ActualCost]]&gt;tblproject[[#This Row],[Budget]],"Over Budget","Within Budget"))</f>
        <v>Within Budget</v>
      </c>
      <c r="W34" s="8"/>
    </row>
    <row r="35" spans="1:23" x14ac:dyDescent="0.3">
      <c r="A35" s="8" t="s">
        <v>266</v>
      </c>
      <c r="B35" s="8" t="s">
        <v>180</v>
      </c>
      <c r="C35" s="8" t="s">
        <v>66</v>
      </c>
      <c r="D35" s="8" t="s">
        <v>52</v>
      </c>
      <c r="E35" s="8" t="s">
        <v>228</v>
      </c>
      <c r="F35" s="8" t="s">
        <v>236</v>
      </c>
      <c r="G35" s="8" t="s">
        <v>203</v>
      </c>
      <c r="H35" s="8" t="s">
        <v>223</v>
      </c>
      <c r="I35" s="8" t="s">
        <v>185</v>
      </c>
      <c r="J35" s="9">
        <v>45733</v>
      </c>
      <c r="K35" s="9">
        <v>45982</v>
      </c>
      <c r="L35" s="8">
        <v>35104683</v>
      </c>
      <c r="M35" s="8">
        <v>87199641</v>
      </c>
      <c r="N35" s="8">
        <v>110711386</v>
      </c>
      <c r="O35" s="8" t="s">
        <v>192</v>
      </c>
      <c r="P35" s="8" t="s">
        <v>332</v>
      </c>
      <c r="Q35" s="8" t="s">
        <v>187</v>
      </c>
      <c r="R35" s="8" t="s">
        <v>3272</v>
      </c>
      <c r="S35">
        <v>23511745</v>
      </c>
      <c r="T35" s="8">
        <f>IF(OR(tblproject[[#This Row],[Budget]]="",tblproject[[#This Row],[ActualCost]]=""),"",tblproject[[#This Row],[Budget]]-tblproject[[#This Row],[ActualCost]])</f>
        <v>-52094958</v>
      </c>
      <c r="U35" s="8">
        <f>IF(OR(tblproject[[#This Row],[ActualCost]]="",tblproject[[#This Row],[Budget]]=""),"",IFERROR(tblproject[[#This Row],[ActualCost]]/tblproject[[#This Row],[Budget]],0))</f>
        <v>2.4839888455907722</v>
      </c>
      <c r="V35" s="8" t="str">
        <f>IF(OR(tblproject[[#This Row],[ActualCost]]="",tblproject[[#This Row],[Budget]]=""),"",IF(tblproject[[#This Row],[ActualCost]]&gt;tblproject[[#This Row],[Budget]],"Over Budget","Within Budget"))</f>
        <v>Over Budget</v>
      </c>
      <c r="W35" s="8"/>
    </row>
    <row r="36" spans="1:23" x14ac:dyDescent="0.3">
      <c r="A36" s="8" t="s">
        <v>267</v>
      </c>
      <c r="B36" s="8" t="s">
        <v>238</v>
      </c>
      <c r="C36" s="8" t="s">
        <v>62</v>
      </c>
      <c r="D36" s="8" t="s">
        <v>332</v>
      </c>
      <c r="E36" s="8" t="s">
        <v>228</v>
      </c>
      <c r="F36" s="8" t="s">
        <v>197</v>
      </c>
      <c r="G36" s="8" t="s">
        <v>240</v>
      </c>
      <c r="H36" s="8" t="s">
        <v>204</v>
      </c>
      <c r="I36" s="8" t="s">
        <v>200</v>
      </c>
      <c r="J36" s="9">
        <v>45826</v>
      </c>
      <c r="K36" s="9">
        <v>45878</v>
      </c>
      <c r="L36" s="8">
        <v>52775341</v>
      </c>
      <c r="M36" s="8">
        <v>96557719</v>
      </c>
      <c r="N36" s="8">
        <v>82935651</v>
      </c>
      <c r="O36" s="8" t="s">
        <v>206</v>
      </c>
      <c r="P36" s="8" t="s">
        <v>194</v>
      </c>
      <c r="Q36" s="8" t="s">
        <v>332</v>
      </c>
      <c r="R36" s="8" t="s">
        <v>188</v>
      </c>
      <c r="S36">
        <v>-13622068</v>
      </c>
      <c r="T36" s="8">
        <f>IF(OR(tblproject[[#This Row],[Budget]]="",tblproject[[#This Row],[ActualCost]]=""),"",tblproject[[#This Row],[Budget]]-tblproject[[#This Row],[ActualCost]])</f>
        <v>-43782378</v>
      </c>
      <c r="U36" s="8">
        <f>IF(OR(tblproject[[#This Row],[ActualCost]]="",tblproject[[#This Row],[Budget]]=""),"",IFERROR(tblproject[[#This Row],[ActualCost]]/tblproject[[#This Row],[Budget]],0))</f>
        <v>1.8295991493451458</v>
      </c>
      <c r="V36" s="8" t="str">
        <f>IF(OR(tblproject[[#This Row],[ActualCost]]="",tblproject[[#This Row],[Budget]]=""),"",IF(tblproject[[#This Row],[ActualCost]]&gt;tblproject[[#This Row],[Budget]],"Over Budget","Within Budget"))</f>
        <v>Over Budget</v>
      </c>
      <c r="W36" s="8"/>
    </row>
    <row r="37" spans="1:23" x14ac:dyDescent="0.3">
      <c r="A37" s="8" t="s">
        <v>268</v>
      </c>
      <c r="B37" s="8" t="s">
        <v>250</v>
      </c>
      <c r="C37" s="8" t="s">
        <v>16</v>
      </c>
      <c r="D37" s="8" t="s">
        <v>3273</v>
      </c>
      <c r="E37" s="8" t="s">
        <v>181</v>
      </c>
      <c r="F37" s="8" t="s">
        <v>216</v>
      </c>
      <c r="G37" s="8" t="s">
        <v>191</v>
      </c>
      <c r="H37" s="8" t="s">
        <v>221</v>
      </c>
      <c r="I37" s="8" t="s">
        <v>200</v>
      </c>
      <c r="J37" s="9">
        <v>45919</v>
      </c>
      <c r="K37" s="9">
        <v>46188</v>
      </c>
      <c r="L37" s="8">
        <v>20982789</v>
      </c>
      <c r="M37" s="8"/>
      <c r="N37" s="8">
        <v>98487303</v>
      </c>
      <c r="O37" s="8" t="s">
        <v>224</v>
      </c>
      <c r="P37" s="8" t="s">
        <v>187</v>
      </c>
      <c r="Q37" s="8" t="s">
        <v>193</v>
      </c>
      <c r="R37" s="8" t="s">
        <v>188</v>
      </c>
      <c r="T37" s="8" t="str">
        <f>IF(OR(tblproject[[#This Row],[Budget]]="",tblproject[[#This Row],[ActualCost]]=""),"",tblproject[[#This Row],[Budget]]-tblproject[[#This Row],[ActualCost]])</f>
        <v/>
      </c>
      <c r="U37" s="8" t="str">
        <f>IF(OR(tblproject[[#This Row],[ActualCost]]="",tblproject[[#This Row],[Budget]]=""),"",IFERROR(tblproject[[#This Row],[ActualCost]]/tblproject[[#This Row],[Budget]],0))</f>
        <v/>
      </c>
      <c r="V37" s="8" t="str">
        <f>IF(OR(tblproject[[#This Row],[ActualCost]]="",tblproject[[#This Row],[Budget]]=""),"",IF(tblproject[[#This Row],[ActualCost]]&gt;tblproject[[#This Row],[Budget]],"Over Budget","Within Budget"))</f>
        <v/>
      </c>
      <c r="W37" s="8"/>
    </row>
    <row r="38" spans="1:23" x14ac:dyDescent="0.3">
      <c r="A38" s="8" t="s">
        <v>269</v>
      </c>
      <c r="B38" s="8" t="s">
        <v>220</v>
      </c>
      <c r="C38" s="8" t="s">
        <v>50</v>
      </c>
      <c r="D38" s="8" t="s">
        <v>41</v>
      </c>
      <c r="E38" s="8" t="s">
        <v>196</v>
      </c>
      <c r="F38" s="8" t="s">
        <v>216</v>
      </c>
      <c r="G38" s="8" t="s">
        <v>240</v>
      </c>
      <c r="H38" s="8" t="s">
        <v>210</v>
      </c>
      <c r="I38" s="8" t="s">
        <v>185</v>
      </c>
      <c r="J38" s="9">
        <v>45914</v>
      </c>
      <c r="K38" s="9">
        <v>46350</v>
      </c>
      <c r="L38" s="8">
        <v>61273772</v>
      </c>
      <c r="M38" s="8"/>
      <c r="N38" s="8">
        <v>89042047</v>
      </c>
      <c r="O38" s="8" t="s">
        <v>206</v>
      </c>
      <c r="P38" s="8" t="s">
        <v>187</v>
      </c>
      <c r="Q38" s="8" t="s">
        <v>332</v>
      </c>
      <c r="R38" s="8" t="s">
        <v>3272</v>
      </c>
      <c r="T38" s="8" t="str">
        <f>IF(OR(tblproject[[#This Row],[Budget]]="",tblproject[[#This Row],[ActualCost]]=""),"",tblproject[[#This Row],[Budget]]-tblproject[[#This Row],[ActualCost]])</f>
        <v/>
      </c>
      <c r="U38" s="8" t="str">
        <f>IF(OR(tblproject[[#This Row],[ActualCost]]="",tblproject[[#This Row],[Budget]]=""),"",IFERROR(tblproject[[#This Row],[ActualCost]]/tblproject[[#This Row],[Budget]],0))</f>
        <v/>
      </c>
      <c r="V38" s="8" t="str">
        <f>IF(OR(tblproject[[#This Row],[ActualCost]]="",tblproject[[#This Row],[Budget]]=""),"",IF(tblproject[[#This Row],[ActualCost]]&gt;tblproject[[#This Row],[Budget]],"Over Budget","Within Budget"))</f>
        <v/>
      </c>
      <c r="W38" s="8"/>
    </row>
    <row r="39" spans="1:23" x14ac:dyDescent="0.3">
      <c r="A39" s="8" t="s">
        <v>270</v>
      </c>
      <c r="B39" s="8" t="s">
        <v>262</v>
      </c>
      <c r="C39" s="8" t="s">
        <v>33</v>
      </c>
      <c r="D39" s="8" t="s">
        <v>332</v>
      </c>
      <c r="E39" s="8" t="s">
        <v>332</v>
      </c>
      <c r="F39" s="8" t="s">
        <v>182</v>
      </c>
      <c r="G39" s="8" t="s">
        <v>203</v>
      </c>
      <c r="H39" s="8" t="s">
        <v>184</v>
      </c>
      <c r="I39" s="8" t="s">
        <v>226</v>
      </c>
      <c r="J39" s="9">
        <v>45783</v>
      </c>
      <c r="K39" s="9">
        <v>46315</v>
      </c>
      <c r="L39" s="8">
        <v>88662805</v>
      </c>
      <c r="M39" s="8">
        <v>88926885</v>
      </c>
      <c r="N39" s="8">
        <v>57268586</v>
      </c>
      <c r="O39" s="8" t="s">
        <v>186</v>
      </c>
      <c r="P39" s="8" t="s">
        <v>3274</v>
      </c>
      <c r="Q39" s="8" t="s">
        <v>332</v>
      </c>
      <c r="R39" s="8" t="s">
        <v>3272</v>
      </c>
      <c r="S39">
        <v>-31658299</v>
      </c>
      <c r="T39" s="8">
        <f>IF(OR(tblproject[[#This Row],[Budget]]="",tblproject[[#This Row],[ActualCost]]=""),"",tblproject[[#This Row],[Budget]]-tblproject[[#This Row],[ActualCost]])</f>
        <v>-264080</v>
      </c>
      <c r="U39" s="8">
        <f>IF(OR(tblproject[[#This Row],[ActualCost]]="",tblproject[[#This Row],[Budget]]=""),"",IFERROR(tblproject[[#This Row],[ActualCost]]/tblproject[[#This Row],[Budget]],0))</f>
        <v>1.0029784755851114</v>
      </c>
      <c r="V39" s="8" t="str">
        <f>IF(OR(tblproject[[#This Row],[ActualCost]]="",tblproject[[#This Row],[Budget]]=""),"",IF(tblproject[[#This Row],[ActualCost]]&gt;tblproject[[#This Row],[Budget]],"Over Budget","Within Budget"))</f>
        <v>Over Budget</v>
      </c>
      <c r="W39" s="8"/>
    </row>
    <row r="40" spans="1:23" x14ac:dyDescent="0.3">
      <c r="A40" s="8" t="s">
        <v>271</v>
      </c>
      <c r="B40" s="8" t="s">
        <v>245</v>
      </c>
      <c r="C40" s="8" t="s">
        <v>80</v>
      </c>
      <c r="D40" s="8" t="s">
        <v>113</v>
      </c>
      <c r="E40" s="8" t="s">
        <v>228</v>
      </c>
      <c r="F40" s="8" t="s">
        <v>236</v>
      </c>
      <c r="G40" s="8" t="s">
        <v>213</v>
      </c>
      <c r="H40" s="8" t="s">
        <v>199</v>
      </c>
      <c r="I40" s="8" t="s">
        <v>185</v>
      </c>
      <c r="J40" s="9">
        <v>45842</v>
      </c>
      <c r="K40" s="9">
        <v>45954</v>
      </c>
      <c r="L40" s="8">
        <v>65454076</v>
      </c>
      <c r="M40" s="8">
        <v>5390530</v>
      </c>
      <c r="N40" s="8">
        <v>45743517</v>
      </c>
      <c r="O40" s="8" t="s">
        <v>224</v>
      </c>
      <c r="P40" s="8" t="s">
        <v>187</v>
      </c>
      <c r="Q40" s="8" t="s">
        <v>332</v>
      </c>
      <c r="R40" s="8" t="s">
        <v>207</v>
      </c>
      <c r="S40">
        <v>40352987</v>
      </c>
      <c r="T40" s="8">
        <f>IF(OR(tblproject[[#This Row],[Budget]]="",tblproject[[#This Row],[ActualCost]]=""),"",tblproject[[#This Row],[Budget]]-tblproject[[#This Row],[ActualCost]])</f>
        <v>60063546</v>
      </c>
      <c r="U40" s="8">
        <f>IF(OR(tblproject[[#This Row],[ActualCost]]="",tblproject[[#This Row],[Budget]]=""),"",IFERROR(tblproject[[#This Row],[ActualCost]]/tblproject[[#This Row],[Budget]],0))</f>
        <v>8.2355910119333131E-2</v>
      </c>
      <c r="V40" s="8" t="str">
        <f>IF(OR(tblproject[[#This Row],[ActualCost]]="",tblproject[[#This Row],[Budget]]=""),"",IF(tblproject[[#This Row],[ActualCost]]&gt;tblproject[[#This Row],[Budget]],"Over Budget","Within Budget"))</f>
        <v>Within Budget</v>
      </c>
      <c r="W40" s="8"/>
    </row>
    <row r="41" spans="1:23" x14ac:dyDescent="0.3">
      <c r="A41" s="8" t="s">
        <v>272</v>
      </c>
      <c r="B41" s="8" t="s">
        <v>215</v>
      </c>
      <c r="C41" s="8" t="s">
        <v>70</v>
      </c>
      <c r="D41" s="8" t="s">
        <v>113</v>
      </c>
      <c r="E41" s="8" t="s">
        <v>75</v>
      </c>
      <c r="F41" s="8" t="s">
        <v>212</v>
      </c>
      <c r="G41" s="8" t="s">
        <v>191</v>
      </c>
      <c r="H41" s="8" t="s">
        <v>204</v>
      </c>
      <c r="I41" s="8" t="s">
        <v>200</v>
      </c>
      <c r="J41" s="9">
        <v>46266</v>
      </c>
      <c r="K41" s="9">
        <v>45700</v>
      </c>
      <c r="L41" s="8">
        <v>86585501</v>
      </c>
      <c r="M41" s="8">
        <v>31254825</v>
      </c>
      <c r="N41" s="8">
        <v>76885681</v>
      </c>
      <c r="O41" s="8" t="s">
        <v>229</v>
      </c>
      <c r="P41" s="8" t="s">
        <v>187</v>
      </c>
      <c r="Q41" s="8" t="s">
        <v>332</v>
      </c>
      <c r="R41" s="8" t="s">
        <v>218</v>
      </c>
      <c r="S41">
        <v>45630856</v>
      </c>
      <c r="T41" s="8">
        <f>IF(OR(tblproject[[#This Row],[Budget]]="",tblproject[[#This Row],[ActualCost]]=""),"",tblproject[[#This Row],[Budget]]-tblproject[[#This Row],[ActualCost]])</f>
        <v>55330676</v>
      </c>
      <c r="U41" s="8">
        <f>IF(OR(tblproject[[#This Row],[ActualCost]]="",tblproject[[#This Row],[Budget]]=""),"",IFERROR(tblproject[[#This Row],[ActualCost]]/tblproject[[#This Row],[Budget]],0))</f>
        <v>0.36097065489059188</v>
      </c>
      <c r="V41" s="8" t="str">
        <f>IF(OR(tblproject[[#This Row],[ActualCost]]="",tblproject[[#This Row],[Budget]]=""),"",IF(tblproject[[#This Row],[ActualCost]]&gt;tblproject[[#This Row],[Budget]],"Over Budget","Within Budget"))</f>
        <v>Within Budget</v>
      </c>
      <c r="W41" s="8"/>
    </row>
    <row r="42" spans="1:23" x14ac:dyDescent="0.3">
      <c r="A42" s="8" t="s">
        <v>273</v>
      </c>
      <c r="B42" s="8" t="s">
        <v>274</v>
      </c>
      <c r="C42" s="8" t="s">
        <v>16</v>
      </c>
      <c r="D42" s="8" t="s">
        <v>3273</v>
      </c>
      <c r="E42" s="8" t="s">
        <v>31</v>
      </c>
      <c r="F42" s="8" t="s">
        <v>212</v>
      </c>
      <c r="G42" s="8" t="s">
        <v>203</v>
      </c>
      <c r="H42" s="8" t="s">
        <v>204</v>
      </c>
      <c r="I42" s="8" t="s">
        <v>200</v>
      </c>
      <c r="J42" s="9">
        <v>46074</v>
      </c>
      <c r="K42" s="9">
        <v>45977</v>
      </c>
      <c r="L42" s="8">
        <v>98322107</v>
      </c>
      <c r="M42" s="8">
        <v>82330639</v>
      </c>
      <c r="N42" s="8">
        <v>119626949</v>
      </c>
      <c r="O42" s="8" t="s">
        <v>186</v>
      </c>
      <c r="P42" s="8" t="s">
        <v>187</v>
      </c>
      <c r="Q42" s="8" t="s">
        <v>187</v>
      </c>
      <c r="R42" s="8" t="s">
        <v>3272</v>
      </c>
      <c r="S42">
        <v>37296310</v>
      </c>
      <c r="T42" s="8">
        <f>IF(OR(tblproject[[#This Row],[Budget]]="",tblproject[[#This Row],[ActualCost]]=""),"",tblproject[[#This Row],[Budget]]-tblproject[[#This Row],[ActualCost]])</f>
        <v>15991468</v>
      </c>
      <c r="U42" s="8">
        <f>IF(OR(tblproject[[#This Row],[ActualCost]]="",tblproject[[#This Row],[Budget]]=""),"",IFERROR(tblproject[[#This Row],[ActualCost]]/tblproject[[#This Row],[Budget]],0))</f>
        <v>0.83735633330152293</v>
      </c>
      <c r="V42" s="8" t="str">
        <f>IF(OR(tblproject[[#This Row],[ActualCost]]="",tblproject[[#This Row],[Budget]]=""),"",IF(tblproject[[#This Row],[ActualCost]]&gt;tblproject[[#This Row],[Budget]],"Over Budget","Within Budget"))</f>
        <v>Within Budget</v>
      </c>
      <c r="W42" s="8"/>
    </row>
    <row r="43" spans="1:23" x14ac:dyDescent="0.3">
      <c r="A43" s="8" t="s">
        <v>275</v>
      </c>
      <c r="B43" s="8" t="s">
        <v>265</v>
      </c>
      <c r="C43" s="8" t="s">
        <v>73</v>
      </c>
      <c r="D43" s="8" t="s">
        <v>113</v>
      </c>
      <c r="E43" s="8" t="s">
        <v>35</v>
      </c>
      <c r="F43" s="8" t="s">
        <v>212</v>
      </c>
      <c r="G43" s="8" t="s">
        <v>191</v>
      </c>
      <c r="H43" s="8" t="s">
        <v>184</v>
      </c>
      <c r="I43" s="8" t="s">
        <v>185</v>
      </c>
      <c r="J43" s="9">
        <v>46014</v>
      </c>
      <c r="K43" s="9">
        <v>46271</v>
      </c>
      <c r="L43" s="8">
        <v>23862956</v>
      </c>
      <c r="M43" s="8">
        <v>93566196</v>
      </c>
      <c r="N43" s="8">
        <v>26097877</v>
      </c>
      <c r="O43" s="8" t="s">
        <v>224</v>
      </c>
      <c r="P43" s="8" t="s">
        <v>193</v>
      </c>
      <c r="Q43" s="8" t="s">
        <v>332</v>
      </c>
      <c r="R43" s="8" t="s">
        <v>207</v>
      </c>
      <c r="S43">
        <v>-67468319</v>
      </c>
      <c r="T43" s="8">
        <f>IF(OR(tblproject[[#This Row],[Budget]]="",tblproject[[#This Row],[ActualCost]]=""),"",tblproject[[#This Row],[Budget]]-tblproject[[#This Row],[ActualCost]])</f>
        <v>-69703240</v>
      </c>
      <c r="U43" s="8">
        <f>IF(OR(tblproject[[#This Row],[ActualCost]]="",tblproject[[#This Row],[Budget]]=""),"",IFERROR(tblproject[[#This Row],[ActualCost]]/tblproject[[#This Row],[Budget]],0))</f>
        <v>3.9209809547484396</v>
      </c>
      <c r="V43" s="8" t="str">
        <f>IF(OR(tblproject[[#This Row],[ActualCost]]="",tblproject[[#This Row],[Budget]]=""),"",IF(tblproject[[#This Row],[ActualCost]]&gt;tblproject[[#This Row],[Budget]],"Over Budget","Within Budget"))</f>
        <v>Over Budget</v>
      </c>
      <c r="W43" s="8"/>
    </row>
    <row r="44" spans="1:23" x14ac:dyDescent="0.3">
      <c r="A44" s="8" t="s">
        <v>276</v>
      </c>
      <c r="B44" s="8" t="s">
        <v>253</v>
      </c>
      <c r="C44" s="8" t="s">
        <v>33</v>
      </c>
      <c r="D44" s="8" t="s">
        <v>20</v>
      </c>
      <c r="E44" s="8" t="s">
        <v>332</v>
      </c>
      <c r="F44" s="8" t="s">
        <v>236</v>
      </c>
      <c r="G44" s="8" t="s">
        <v>203</v>
      </c>
      <c r="H44" s="8" t="s">
        <v>184</v>
      </c>
      <c r="I44" s="8" t="s">
        <v>226</v>
      </c>
      <c r="J44" s="9">
        <v>45882</v>
      </c>
      <c r="K44" s="9">
        <v>46363</v>
      </c>
      <c r="L44" s="8">
        <v>42757818</v>
      </c>
      <c r="M44" s="8">
        <v>65675117</v>
      </c>
      <c r="N44" s="8">
        <v>30054983</v>
      </c>
      <c r="O44" s="8" t="s">
        <v>224</v>
      </c>
      <c r="P44" s="8" t="s">
        <v>187</v>
      </c>
      <c r="Q44" s="8" t="s">
        <v>187</v>
      </c>
      <c r="R44" s="8" t="s">
        <v>3272</v>
      </c>
      <c r="S44">
        <v>-35620134</v>
      </c>
      <c r="T44" s="8">
        <f>IF(OR(tblproject[[#This Row],[Budget]]="",tblproject[[#This Row],[ActualCost]]=""),"",tblproject[[#This Row],[Budget]]-tblproject[[#This Row],[ActualCost]])</f>
        <v>-22917299</v>
      </c>
      <c r="U44" s="8">
        <f>IF(OR(tblproject[[#This Row],[ActualCost]]="",tblproject[[#This Row],[Budget]]=""),"",IFERROR(tblproject[[#This Row],[ActualCost]]/tblproject[[#This Row],[Budget]],0))</f>
        <v>1.5359791512279697</v>
      </c>
      <c r="V44" s="8" t="str">
        <f>IF(OR(tblproject[[#This Row],[ActualCost]]="",tblproject[[#This Row],[Budget]]=""),"",IF(tblproject[[#This Row],[ActualCost]]&gt;tblproject[[#This Row],[Budget]],"Over Budget","Within Budget"))</f>
        <v>Over Budget</v>
      </c>
      <c r="W44" s="8"/>
    </row>
    <row r="45" spans="1:23" x14ac:dyDescent="0.3">
      <c r="A45" s="8" t="s">
        <v>277</v>
      </c>
      <c r="B45" s="8" t="s">
        <v>180</v>
      </c>
      <c r="C45" s="8" t="s">
        <v>80</v>
      </c>
      <c r="D45" s="8" t="s">
        <v>20</v>
      </c>
      <c r="E45" s="8" t="s">
        <v>31</v>
      </c>
      <c r="F45" s="8" t="s">
        <v>182</v>
      </c>
      <c r="G45" s="8" t="s">
        <v>183</v>
      </c>
      <c r="H45" s="8" t="s">
        <v>184</v>
      </c>
      <c r="I45" s="8" t="s">
        <v>200</v>
      </c>
      <c r="J45" s="9">
        <v>45801</v>
      </c>
      <c r="K45" s="9">
        <v>45668</v>
      </c>
      <c r="L45" s="8">
        <v>98383361</v>
      </c>
      <c r="M45" s="8">
        <v>77230303</v>
      </c>
      <c r="N45" s="8">
        <v>21248471</v>
      </c>
      <c r="O45" s="8" t="s">
        <v>186</v>
      </c>
      <c r="P45" s="8" t="s">
        <v>3274</v>
      </c>
      <c r="Q45" s="8" t="s">
        <v>332</v>
      </c>
      <c r="R45" s="8" t="s">
        <v>3272</v>
      </c>
      <c r="S45">
        <v>-55981832</v>
      </c>
      <c r="T45" s="8">
        <f>IF(OR(tblproject[[#This Row],[Budget]]="",tblproject[[#This Row],[ActualCost]]=""),"",tblproject[[#This Row],[Budget]]-tblproject[[#This Row],[ActualCost]])</f>
        <v>21153058</v>
      </c>
      <c r="U45" s="8">
        <f>IF(OR(tblproject[[#This Row],[ActualCost]]="",tblproject[[#This Row],[Budget]]=""),"",IFERROR(tblproject[[#This Row],[ActualCost]]/tblproject[[#This Row],[Budget]],0))</f>
        <v>0.78499354174330349</v>
      </c>
      <c r="V45" s="8" t="str">
        <f>IF(OR(tblproject[[#This Row],[ActualCost]]="",tblproject[[#This Row],[Budget]]=""),"",IF(tblproject[[#This Row],[ActualCost]]&gt;tblproject[[#This Row],[Budget]],"Over Budget","Within Budget"))</f>
        <v>Within Budget</v>
      </c>
      <c r="W45" s="8"/>
    </row>
    <row r="46" spans="1:23" x14ac:dyDescent="0.3">
      <c r="A46" s="8" t="s">
        <v>278</v>
      </c>
      <c r="B46" s="8" t="s">
        <v>242</v>
      </c>
      <c r="C46" s="8" t="s">
        <v>33</v>
      </c>
      <c r="D46" s="8" t="s">
        <v>52</v>
      </c>
      <c r="E46" s="8" t="s">
        <v>75</v>
      </c>
      <c r="F46" s="8" t="s">
        <v>332</v>
      </c>
      <c r="G46" s="8" t="s">
        <v>183</v>
      </c>
      <c r="H46" s="8" t="s">
        <v>223</v>
      </c>
      <c r="I46" s="8" t="s">
        <v>185</v>
      </c>
      <c r="J46" s="9">
        <v>45678</v>
      </c>
      <c r="K46" s="9">
        <v>46740</v>
      </c>
      <c r="L46" s="8">
        <v>70388853</v>
      </c>
      <c r="M46" s="8">
        <v>17014061</v>
      </c>
      <c r="N46" s="8">
        <v>115469236</v>
      </c>
      <c r="O46" s="8" t="s">
        <v>229</v>
      </c>
      <c r="P46" s="8" t="s">
        <v>194</v>
      </c>
      <c r="Q46" s="8" t="s">
        <v>332</v>
      </c>
      <c r="R46" s="8" t="s">
        <v>218</v>
      </c>
      <c r="S46">
        <v>98455175</v>
      </c>
      <c r="T46" s="8">
        <f>IF(OR(tblproject[[#This Row],[Budget]]="",tblproject[[#This Row],[ActualCost]]=""),"",tblproject[[#This Row],[Budget]]-tblproject[[#This Row],[ActualCost]])</f>
        <v>53374792</v>
      </c>
      <c r="U46" s="8">
        <f>IF(OR(tblproject[[#This Row],[ActualCost]]="",tblproject[[#This Row],[Budget]]=""),"",IFERROR(tblproject[[#This Row],[ActualCost]]/tblproject[[#This Row],[Budget]],0))</f>
        <v>0.241715275570693</v>
      </c>
      <c r="V46" s="8" t="str">
        <f>IF(OR(tblproject[[#This Row],[ActualCost]]="",tblproject[[#This Row],[Budget]]=""),"",IF(tblproject[[#This Row],[ActualCost]]&gt;tblproject[[#This Row],[Budget]],"Over Budget","Within Budget"))</f>
        <v>Within Budget</v>
      </c>
      <c r="W46" s="8"/>
    </row>
    <row r="47" spans="1:23" x14ac:dyDescent="0.3">
      <c r="A47" s="8" t="s">
        <v>279</v>
      </c>
      <c r="B47" s="8" t="s">
        <v>180</v>
      </c>
      <c r="C47" s="8" t="s">
        <v>62</v>
      </c>
      <c r="D47" s="8" t="s">
        <v>3273</v>
      </c>
      <c r="E47" s="8" t="s">
        <v>228</v>
      </c>
      <c r="F47" s="8" t="s">
        <v>332</v>
      </c>
      <c r="G47" s="8" t="s">
        <v>213</v>
      </c>
      <c r="H47" s="8" t="s">
        <v>204</v>
      </c>
      <c r="I47" s="8" t="s">
        <v>185</v>
      </c>
      <c r="J47" s="9">
        <v>45774</v>
      </c>
      <c r="K47" s="9">
        <v>46202</v>
      </c>
      <c r="L47" s="8">
        <v>96922510</v>
      </c>
      <c r="M47" s="8">
        <v>90056827</v>
      </c>
      <c r="N47" s="8">
        <v>14398166</v>
      </c>
      <c r="O47" s="8" t="s">
        <v>186</v>
      </c>
      <c r="P47" s="8" t="s">
        <v>187</v>
      </c>
      <c r="Q47" s="8" t="s">
        <v>332</v>
      </c>
      <c r="R47" s="8" t="s">
        <v>218</v>
      </c>
      <c r="S47">
        <v>-75658661</v>
      </c>
      <c r="T47" s="8">
        <f>IF(OR(tblproject[[#This Row],[Budget]]="",tblproject[[#This Row],[ActualCost]]=""),"",tblproject[[#This Row],[Budget]]-tblproject[[#This Row],[ActualCost]])</f>
        <v>6865683</v>
      </c>
      <c r="U47" s="8">
        <f>IF(OR(tblproject[[#This Row],[ActualCost]]="",tblproject[[#This Row],[Budget]]=""),"",IFERROR(tblproject[[#This Row],[ActualCost]]/tblproject[[#This Row],[Budget]],0))</f>
        <v>0.92916317375602431</v>
      </c>
      <c r="V47" s="8" t="str">
        <f>IF(OR(tblproject[[#This Row],[ActualCost]]="",tblproject[[#This Row],[Budget]]=""),"",IF(tblproject[[#This Row],[ActualCost]]&gt;tblproject[[#This Row],[Budget]],"Over Budget","Within Budget"))</f>
        <v>Within Budget</v>
      </c>
      <c r="W47" s="8"/>
    </row>
    <row r="48" spans="1:23" x14ac:dyDescent="0.3">
      <c r="A48" s="8" t="s">
        <v>280</v>
      </c>
      <c r="B48" s="8" t="s">
        <v>281</v>
      </c>
      <c r="C48" s="8" t="s">
        <v>33</v>
      </c>
      <c r="D48" s="8" t="s">
        <v>20</v>
      </c>
      <c r="E48" s="8" t="s">
        <v>181</v>
      </c>
      <c r="F48" s="8" t="s">
        <v>236</v>
      </c>
      <c r="G48" s="8" t="s">
        <v>191</v>
      </c>
      <c r="H48" s="8" t="s">
        <v>184</v>
      </c>
      <c r="I48" s="8" t="s">
        <v>332</v>
      </c>
      <c r="J48" s="9">
        <v>45772</v>
      </c>
      <c r="K48" s="9">
        <v>46708</v>
      </c>
      <c r="L48" s="8">
        <v>4597975</v>
      </c>
      <c r="M48" s="8">
        <v>43604926</v>
      </c>
      <c r="N48" s="8">
        <v>106365932</v>
      </c>
      <c r="O48" s="8" t="s">
        <v>192</v>
      </c>
      <c r="P48" s="8" t="s">
        <v>194</v>
      </c>
      <c r="Q48" s="8" t="s">
        <v>332</v>
      </c>
      <c r="R48" s="8" t="s">
        <v>207</v>
      </c>
      <c r="S48">
        <v>62761006</v>
      </c>
      <c r="T48" s="8">
        <f>IF(OR(tblproject[[#This Row],[Budget]]="",tblproject[[#This Row],[ActualCost]]=""),"",tblproject[[#This Row],[Budget]]-tblproject[[#This Row],[ActualCost]])</f>
        <v>-39006951</v>
      </c>
      <c r="U48" s="8">
        <f>IF(OR(tblproject[[#This Row],[ActualCost]]="",tblproject[[#This Row],[Budget]]=""),"",IFERROR(tblproject[[#This Row],[ActualCost]]/tblproject[[#This Row],[Budget]],0))</f>
        <v>9.4835065436414947</v>
      </c>
      <c r="V48" s="8" t="str">
        <f>IF(OR(tblproject[[#This Row],[ActualCost]]="",tblproject[[#This Row],[Budget]]=""),"",IF(tblproject[[#This Row],[ActualCost]]&gt;tblproject[[#This Row],[Budget]],"Over Budget","Within Budget"))</f>
        <v>Over Budget</v>
      </c>
      <c r="W48" s="8"/>
    </row>
    <row r="49" spans="1:23" x14ac:dyDescent="0.3">
      <c r="A49" s="8" t="s">
        <v>282</v>
      </c>
      <c r="B49" s="8" t="s">
        <v>265</v>
      </c>
      <c r="C49" s="8" t="s">
        <v>62</v>
      </c>
      <c r="D49" s="8" t="s">
        <v>20</v>
      </c>
      <c r="E49" s="8" t="s">
        <v>35</v>
      </c>
      <c r="F49" s="8" t="s">
        <v>182</v>
      </c>
      <c r="G49" s="8" t="s">
        <v>233</v>
      </c>
      <c r="H49" s="8" t="s">
        <v>210</v>
      </c>
      <c r="I49" s="8" t="s">
        <v>185</v>
      </c>
      <c r="J49" s="9">
        <v>45892</v>
      </c>
      <c r="K49" s="9">
        <v>46599</v>
      </c>
      <c r="L49" s="8">
        <v>45460011</v>
      </c>
      <c r="M49" s="8">
        <v>77371056</v>
      </c>
      <c r="N49" s="8">
        <v>50146745</v>
      </c>
      <c r="O49" s="8" t="s">
        <v>192</v>
      </c>
      <c r="P49" s="8" t="s">
        <v>332</v>
      </c>
      <c r="Q49" s="8" t="s">
        <v>332</v>
      </c>
      <c r="R49" s="8" t="s">
        <v>218</v>
      </c>
      <c r="S49">
        <v>-27224311</v>
      </c>
      <c r="T49" s="8">
        <f>IF(OR(tblproject[[#This Row],[Budget]]="",tblproject[[#This Row],[ActualCost]]=""),"",tblproject[[#This Row],[Budget]]-tblproject[[#This Row],[ActualCost]])</f>
        <v>-31911045</v>
      </c>
      <c r="U49" s="8">
        <f>IF(OR(tblproject[[#This Row],[ActualCost]]="",tblproject[[#This Row],[Budget]]=""),"",IFERROR(tblproject[[#This Row],[ActualCost]]/tblproject[[#This Row],[Budget]],0))</f>
        <v>1.701958585095811</v>
      </c>
      <c r="V49" s="8" t="str">
        <f>IF(OR(tblproject[[#This Row],[ActualCost]]="",tblproject[[#This Row],[Budget]]=""),"",IF(tblproject[[#This Row],[ActualCost]]&gt;tblproject[[#This Row],[Budget]],"Over Budget","Within Budget"))</f>
        <v>Over Budget</v>
      </c>
      <c r="W49" s="8"/>
    </row>
    <row r="50" spans="1:23" x14ac:dyDescent="0.3">
      <c r="A50" s="8" t="s">
        <v>283</v>
      </c>
      <c r="B50" s="8" t="s">
        <v>262</v>
      </c>
      <c r="C50" s="8" t="s">
        <v>46</v>
      </c>
      <c r="D50" s="8" t="s">
        <v>113</v>
      </c>
      <c r="E50" s="8" t="s">
        <v>228</v>
      </c>
      <c r="F50" s="8" t="s">
        <v>182</v>
      </c>
      <c r="G50" s="8" t="s">
        <v>191</v>
      </c>
      <c r="H50" s="8" t="s">
        <v>223</v>
      </c>
      <c r="I50" s="8" t="s">
        <v>200</v>
      </c>
      <c r="J50" s="9">
        <v>45719</v>
      </c>
      <c r="K50" s="9">
        <v>46734</v>
      </c>
      <c r="L50" s="8">
        <v>87119895</v>
      </c>
      <c r="M50" s="8">
        <v>63864334</v>
      </c>
      <c r="N50" s="8">
        <v>69468188</v>
      </c>
      <c r="O50" s="8" t="s">
        <v>229</v>
      </c>
      <c r="P50" s="8" t="s">
        <v>194</v>
      </c>
      <c r="Q50" s="8" t="s">
        <v>187</v>
      </c>
      <c r="R50" s="8" t="s">
        <v>207</v>
      </c>
      <c r="S50">
        <v>5603854</v>
      </c>
      <c r="T50" s="8">
        <f>IF(OR(tblproject[[#This Row],[Budget]]="",tblproject[[#This Row],[ActualCost]]=""),"",tblproject[[#This Row],[Budget]]-tblproject[[#This Row],[ActualCost]])</f>
        <v>23255561</v>
      </c>
      <c r="U50" s="8">
        <f>IF(OR(tblproject[[#This Row],[ActualCost]]="",tblproject[[#This Row],[Budget]]=""),"",IFERROR(tblproject[[#This Row],[ActualCost]]/tblproject[[#This Row],[Budget]],0))</f>
        <v>0.7330625685441885</v>
      </c>
      <c r="V50" s="8" t="str">
        <f>IF(OR(tblproject[[#This Row],[ActualCost]]="",tblproject[[#This Row],[Budget]]=""),"",IF(tblproject[[#This Row],[ActualCost]]&gt;tblproject[[#This Row],[Budget]],"Over Budget","Within Budget"))</f>
        <v>Within Budget</v>
      </c>
      <c r="W50" s="8"/>
    </row>
    <row r="51" spans="1:23" x14ac:dyDescent="0.3">
      <c r="A51" s="8" t="s">
        <v>284</v>
      </c>
      <c r="B51" s="8" t="s">
        <v>248</v>
      </c>
      <c r="C51" s="8" t="s">
        <v>46</v>
      </c>
      <c r="D51" s="8" t="s">
        <v>52</v>
      </c>
      <c r="E51" s="8" t="s">
        <v>228</v>
      </c>
      <c r="F51" s="8" t="s">
        <v>332</v>
      </c>
      <c r="G51" s="8" t="s">
        <v>203</v>
      </c>
      <c r="H51" s="8" t="s">
        <v>210</v>
      </c>
      <c r="I51" s="8" t="s">
        <v>185</v>
      </c>
      <c r="J51" s="9">
        <v>45686</v>
      </c>
      <c r="K51" s="9">
        <v>46429</v>
      </c>
      <c r="L51" s="8">
        <v>43174149</v>
      </c>
      <c r="M51" s="8">
        <v>21597371</v>
      </c>
      <c r="N51" s="8">
        <v>119093331</v>
      </c>
      <c r="O51" s="8" t="s">
        <v>192</v>
      </c>
      <c r="P51" s="8" t="s">
        <v>187</v>
      </c>
      <c r="Q51" s="8" t="s">
        <v>193</v>
      </c>
      <c r="R51" s="8" t="s">
        <v>188</v>
      </c>
      <c r="S51">
        <v>97495960</v>
      </c>
      <c r="T51" s="8">
        <f>IF(OR(tblproject[[#This Row],[Budget]]="",tblproject[[#This Row],[ActualCost]]=""),"",tblproject[[#This Row],[Budget]]-tblproject[[#This Row],[ActualCost]])</f>
        <v>21576778</v>
      </c>
      <c r="U51" s="8">
        <f>IF(OR(tblproject[[#This Row],[ActualCost]]="",tblproject[[#This Row],[Budget]]=""),"",IFERROR(tblproject[[#This Row],[ActualCost]]/tblproject[[#This Row],[Budget]],0))</f>
        <v>0.50023848761906109</v>
      </c>
      <c r="V51" s="8" t="str">
        <f>IF(OR(tblproject[[#This Row],[ActualCost]]="",tblproject[[#This Row],[Budget]]=""),"",IF(tblproject[[#This Row],[ActualCost]]&gt;tblproject[[#This Row],[Budget]],"Over Budget","Within Budget"))</f>
        <v>Within Budget</v>
      </c>
      <c r="W51" s="8"/>
    </row>
    <row r="52" spans="1:23" x14ac:dyDescent="0.3">
      <c r="A52" s="8" t="s">
        <v>285</v>
      </c>
      <c r="B52" s="8" t="s">
        <v>220</v>
      </c>
      <c r="C52" s="8" t="s">
        <v>78</v>
      </c>
      <c r="D52" s="8" t="s">
        <v>41</v>
      </c>
      <c r="E52" s="8" t="s">
        <v>196</v>
      </c>
      <c r="F52" s="8" t="s">
        <v>182</v>
      </c>
      <c r="G52" s="8" t="s">
        <v>240</v>
      </c>
      <c r="H52" s="8" t="s">
        <v>221</v>
      </c>
      <c r="I52" s="8" t="s">
        <v>205</v>
      </c>
      <c r="J52" s="9">
        <v>46025</v>
      </c>
      <c r="K52" s="9">
        <v>46437</v>
      </c>
      <c r="L52" s="8">
        <v>14532975</v>
      </c>
      <c r="M52" s="8">
        <v>10152224</v>
      </c>
      <c r="N52" s="8">
        <v>15826084</v>
      </c>
      <c r="O52" s="8" t="s">
        <v>224</v>
      </c>
      <c r="P52" s="8" t="s">
        <v>332</v>
      </c>
      <c r="Q52" s="8" t="s">
        <v>194</v>
      </c>
      <c r="R52" s="8" t="s">
        <v>3272</v>
      </c>
      <c r="S52">
        <v>5673860</v>
      </c>
      <c r="T52" s="8">
        <f>IF(OR(tblproject[[#This Row],[Budget]]="",tblproject[[#This Row],[ActualCost]]=""),"",tblproject[[#This Row],[Budget]]-tblproject[[#This Row],[ActualCost]])</f>
        <v>4380751</v>
      </c>
      <c r="U52" s="8">
        <f>IF(OR(tblproject[[#This Row],[ActualCost]]="",tblproject[[#This Row],[Budget]]=""),"",IFERROR(tblproject[[#This Row],[ActualCost]]/tblproject[[#This Row],[Budget]],0))</f>
        <v>0.69856474672253965</v>
      </c>
      <c r="V52" s="8" t="str">
        <f>IF(OR(tblproject[[#This Row],[ActualCost]]="",tblproject[[#This Row],[Budget]]=""),"",IF(tblproject[[#This Row],[ActualCost]]&gt;tblproject[[#This Row],[Budget]],"Over Budget","Within Budget"))</f>
        <v>Within Budget</v>
      </c>
      <c r="W52" s="8"/>
    </row>
    <row r="53" spans="1:23" x14ac:dyDescent="0.3">
      <c r="A53" s="8" t="s">
        <v>286</v>
      </c>
      <c r="B53" s="8" t="s">
        <v>265</v>
      </c>
      <c r="C53" s="8" t="s">
        <v>78</v>
      </c>
      <c r="D53" s="8" t="s">
        <v>36</v>
      </c>
      <c r="E53" s="8" t="s">
        <v>181</v>
      </c>
      <c r="F53" s="8" t="s">
        <v>216</v>
      </c>
      <c r="G53" s="8" t="s">
        <v>203</v>
      </c>
      <c r="H53" s="8" t="s">
        <v>204</v>
      </c>
      <c r="I53" s="8" t="s">
        <v>200</v>
      </c>
      <c r="J53" s="9">
        <v>45720</v>
      </c>
      <c r="K53" s="9">
        <v>46151</v>
      </c>
      <c r="L53" s="8">
        <v>43386267</v>
      </c>
      <c r="M53" s="8">
        <v>48408794</v>
      </c>
      <c r="N53" s="8">
        <v>39524039</v>
      </c>
      <c r="O53" s="8" t="s">
        <v>186</v>
      </c>
      <c r="P53" s="8" t="s">
        <v>187</v>
      </c>
      <c r="Q53" s="8" t="s">
        <v>332</v>
      </c>
      <c r="R53" s="8" t="s">
        <v>188</v>
      </c>
      <c r="S53">
        <v>-8884755</v>
      </c>
      <c r="T53" s="8">
        <f>IF(OR(tblproject[[#This Row],[Budget]]="",tblproject[[#This Row],[ActualCost]]=""),"",tblproject[[#This Row],[Budget]]-tblproject[[#This Row],[ActualCost]])</f>
        <v>-5022527</v>
      </c>
      <c r="U53" s="8">
        <f>IF(OR(tblproject[[#This Row],[ActualCost]]="",tblproject[[#This Row],[Budget]]=""),"",IFERROR(tblproject[[#This Row],[ActualCost]]/tblproject[[#This Row],[Budget]],0))</f>
        <v>1.1157630593109105</v>
      </c>
      <c r="V53" s="8" t="str">
        <f>IF(OR(tblproject[[#This Row],[ActualCost]]="",tblproject[[#This Row],[Budget]]=""),"",IF(tblproject[[#This Row],[ActualCost]]&gt;tblproject[[#This Row],[Budget]],"Over Budget","Within Budget"))</f>
        <v>Over Budget</v>
      </c>
      <c r="W53" s="8"/>
    </row>
  </sheetData>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2B04-0EDD-4BBB-82D3-C4AD33497297}">
  <dimension ref="A1:S17"/>
  <sheetViews>
    <sheetView showGridLines="0" showRowColHeaders="0" topLeftCell="J1" zoomScaleNormal="100" workbookViewId="0">
      <selection activeCell="R6" sqref="R6"/>
    </sheetView>
  </sheetViews>
  <sheetFormatPr defaultRowHeight="14.4" x14ac:dyDescent="0.3"/>
  <cols>
    <col min="1" max="1" width="15.88671875" bestFit="1" customWidth="1"/>
    <col min="2" max="2" width="9.77734375" bestFit="1" customWidth="1"/>
    <col min="3" max="3" width="12.21875" bestFit="1" customWidth="1"/>
    <col min="4" max="4" width="11" bestFit="1" customWidth="1"/>
    <col min="5" max="5" width="10.44140625" bestFit="1" customWidth="1"/>
    <col min="6" max="6" width="15.6640625" bestFit="1" customWidth="1"/>
    <col min="7" max="7" width="23.33203125" bestFit="1" customWidth="1"/>
    <col min="8" max="8" width="15.44140625" bestFit="1" customWidth="1"/>
    <col min="9" max="9" width="12.33203125" bestFit="1" customWidth="1"/>
    <col min="10" max="10" width="16" bestFit="1" customWidth="1"/>
    <col min="11" max="11" width="13.33203125" bestFit="1" customWidth="1"/>
    <col min="12" max="12" width="12.88671875" bestFit="1" customWidth="1"/>
    <col min="13" max="13" width="20.44140625" bestFit="1" customWidth="1"/>
    <col min="14" max="14" width="19.6640625" bestFit="1" customWidth="1"/>
    <col min="15" max="15" width="20.33203125" bestFit="1" customWidth="1"/>
    <col min="16" max="16" width="14.88671875" bestFit="1" customWidth="1"/>
    <col min="18" max="18" width="12" bestFit="1" customWidth="1"/>
  </cols>
  <sheetData>
    <row r="1" spans="1:19" ht="38.4" customHeight="1" x14ac:dyDescent="0.3"/>
    <row r="2" spans="1:19" x14ac:dyDescent="0.3">
      <c r="A2" t="s">
        <v>0</v>
      </c>
      <c r="B2" t="s">
        <v>1</v>
      </c>
      <c r="C2" t="s">
        <v>2</v>
      </c>
      <c r="D2" t="s">
        <v>3</v>
      </c>
      <c r="E2" t="s">
        <v>4</v>
      </c>
      <c r="F2" t="s">
        <v>5</v>
      </c>
      <c r="G2" t="s">
        <v>6</v>
      </c>
      <c r="H2" t="s">
        <v>7</v>
      </c>
      <c r="I2" t="s">
        <v>8</v>
      </c>
      <c r="J2" t="s">
        <v>9</v>
      </c>
      <c r="K2" t="s">
        <v>10</v>
      </c>
      <c r="L2" t="s">
        <v>11</v>
      </c>
      <c r="M2" t="s">
        <v>12</v>
      </c>
      <c r="N2" t="s">
        <v>13</v>
      </c>
      <c r="O2" t="s">
        <v>14</v>
      </c>
      <c r="P2" t="s">
        <v>15</v>
      </c>
    </row>
    <row r="3" spans="1:19" x14ac:dyDescent="0.3">
      <c r="A3" t="s">
        <v>16</v>
      </c>
      <c r="B3" t="s">
        <v>17</v>
      </c>
      <c r="C3" t="s">
        <v>18</v>
      </c>
      <c r="D3" t="s">
        <v>19</v>
      </c>
      <c r="E3" t="s">
        <v>20</v>
      </c>
      <c r="F3" t="s">
        <v>332</v>
      </c>
      <c r="G3" t="s">
        <v>332</v>
      </c>
      <c r="H3" t="s">
        <v>4275</v>
      </c>
      <c r="I3">
        <v>47610168</v>
      </c>
      <c r="J3">
        <v>30</v>
      </c>
      <c r="K3" t="s">
        <v>21</v>
      </c>
      <c r="L3" s="1">
        <v>42529</v>
      </c>
      <c r="M3" s="1">
        <v>45814</v>
      </c>
      <c r="N3">
        <v>316129939</v>
      </c>
      <c r="O3">
        <v>15940198</v>
      </c>
      <c r="P3" t="s">
        <v>22</v>
      </c>
    </row>
    <row r="4" spans="1:19" x14ac:dyDescent="0.3">
      <c r="A4" t="s">
        <v>23</v>
      </c>
      <c r="B4" t="s">
        <v>24</v>
      </c>
      <c r="C4" t="s">
        <v>25</v>
      </c>
      <c r="D4" t="s">
        <v>19</v>
      </c>
      <c r="E4" t="s">
        <v>20</v>
      </c>
      <c r="F4" t="s">
        <v>332</v>
      </c>
      <c r="G4" t="s">
        <v>332</v>
      </c>
      <c r="H4" t="s">
        <v>4275</v>
      </c>
      <c r="I4">
        <v>1073824</v>
      </c>
      <c r="J4">
        <v>90</v>
      </c>
      <c r="K4" t="s">
        <v>26</v>
      </c>
      <c r="L4" s="1">
        <v>40777</v>
      </c>
      <c r="M4" s="1">
        <v>45954</v>
      </c>
      <c r="N4">
        <v>311599050</v>
      </c>
      <c r="O4">
        <v>10317082</v>
      </c>
      <c r="P4" t="s">
        <v>27</v>
      </c>
      <c r="R4">
        <f>COUNTA(tblclient[ClientName])</f>
        <v>15</v>
      </c>
      <c r="S4" t="s">
        <v>5709</v>
      </c>
    </row>
    <row r="5" spans="1:19" x14ac:dyDescent="0.3">
      <c r="A5" t="s">
        <v>28</v>
      </c>
      <c r="B5" t="s">
        <v>29</v>
      </c>
      <c r="C5" t="s">
        <v>30</v>
      </c>
      <c r="D5" t="s">
        <v>31</v>
      </c>
      <c r="E5" t="s">
        <v>20</v>
      </c>
      <c r="F5" t="s">
        <v>332</v>
      </c>
      <c r="G5" t="s">
        <v>332</v>
      </c>
      <c r="H5" t="s">
        <v>32</v>
      </c>
      <c r="I5">
        <v>1059770</v>
      </c>
      <c r="J5">
        <v>90</v>
      </c>
      <c r="K5" t="s">
        <v>21</v>
      </c>
      <c r="L5" s="1">
        <v>42132</v>
      </c>
      <c r="M5" s="1">
        <v>45684</v>
      </c>
      <c r="N5">
        <v>182016108</v>
      </c>
      <c r="O5">
        <v>5462444</v>
      </c>
      <c r="P5" t="s">
        <v>22</v>
      </c>
      <c r="R5" cm="1">
        <f t="array" ref="R5">COUNTA(_xlfn.UNIQUE(_xlfn._xlws.FILTER(tblproject[Client],tblproject[ProjectStatus]="Active")))</f>
        <v>11</v>
      </c>
      <c r="S5" t="s">
        <v>5710</v>
      </c>
    </row>
    <row r="6" spans="1:19" x14ac:dyDescent="0.3">
      <c r="A6" t="s">
        <v>33</v>
      </c>
      <c r="B6" t="s">
        <v>34</v>
      </c>
      <c r="C6" t="s">
        <v>30</v>
      </c>
      <c r="D6" t="s">
        <v>35</v>
      </c>
      <c r="E6" t="s">
        <v>36</v>
      </c>
      <c r="F6" t="s">
        <v>37</v>
      </c>
      <c r="G6" t="s">
        <v>332</v>
      </c>
      <c r="H6" t="s">
        <v>4275</v>
      </c>
      <c r="I6">
        <v>10468385</v>
      </c>
      <c r="J6">
        <v>90</v>
      </c>
      <c r="K6" t="s">
        <v>332</v>
      </c>
      <c r="L6" s="1">
        <v>40738</v>
      </c>
      <c r="M6" s="1">
        <v>45777</v>
      </c>
      <c r="N6">
        <v>59292162</v>
      </c>
      <c r="O6">
        <v>4838865</v>
      </c>
      <c r="P6" t="s">
        <v>332</v>
      </c>
      <c r="R6" s="35">
        <f>SUM(tblclient[TotalContractValue])</f>
        <v>2477020708</v>
      </c>
      <c r="S6" t="s">
        <v>5711</v>
      </c>
    </row>
    <row r="7" spans="1:19" x14ac:dyDescent="0.3">
      <c r="A7" t="s">
        <v>38</v>
      </c>
      <c r="B7" t="s">
        <v>39</v>
      </c>
      <c r="C7" t="s">
        <v>40</v>
      </c>
      <c r="D7" t="s">
        <v>35</v>
      </c>
      <c r="E7" t="s">
        <v>41</v>
      </c>
      <c r="F7" t="s">
        <v>42</v>
      </c>
      <c r="G7" t="s">
        <v>43</v>
      </c>
      <c r="H7" t="s">
        <v>44</v>
      </c>
      <c r="I7">
        <v>48160775</v>
      </c>
      <c r="J7">
        <v>60</v>
      </c>
      <c r="K7" t="s">
        <v>332</v>
      </c>
      <c r="L7" s="1">
        <v>43280</v>
      </c>
      <c r="M7" s="1">
        <v>46052</v>
      </c>
      <c r="N7">
        <v>168117408</v>
      </c>
      <c r="O7">
        <v>14174624</v>
      </c>
      <c r="P7" t="s">
        <v>45</v>
      </c>
      <c r="R7" s="42">
        <f>SUM(tblclient[OutstandingBalance])</f>
        <v>121407628</v>
      </c>
      <c r="S7" t="s">
        <v>5708</v>
      </c>
    </row>
    <row r="8" spans="1:19" x14ac:dyDescent="0.3">
      <c r="A8" t="s">
        <v>46</v>
      </c>
      <c r="B8" t="s">
        <v>47</v>
      </c>
      <c r="C8" t="s">
        <v>18</v>
      </c>
      <c r="D8" t="s">
        <v>35</v>
      </c>
      <c r="E8" t="s">
        <v>41</v>
      </c>
      <c r="F8" t="s">
        <v>42</v>
      </c>
      <c r="G8" t="s">
        <v>48</v>
      </c>
      <c r="H8" t="s">
        <v>49</v>
      </c>
      <c r="I8">
        <v>22881047</v>
      </c>
      <c r="J8">
        <v>60</v>
      </c>
      <c r="K8" t="s">
        <v>332</v>
      </c>
      <c r="L8" s="1">
        <v>41291</v>
      </c>
      <c r="M8" s="1">
        <v>45989</v>
      </c>
      <c r="N8">
        <v>13257608</v>
      </c>
      <c r="O8">
        <v>10021482</v>
      </c>
      <c r="P8" t="s">
        <v>332</v>
      </c>
      <c r="R8" s="42">
        <f>AVERAGE(tblclient[TotalContractValue])</f>
        <v>165134713.86666667</v>
      </c>
      <c r="S8" t="s">
        <v>5828</v>
      </c>
    </row>
    <row r="9" spans="1:19" x14ac:dyDescent="0.3">
      <c r="A9" t="s">
        <v>50</v>
      </c>
      <c r="B9" t="s">
        <v>51</v>
      </c>
      <c r="C9" t="s">
        <v>40</v>
      </c>
      <c r="D9" t="s">
        <v>31</v>
      </c>
      <c r="E9" t="s">
        <v>52</v>
      </c>
      <c r="F9" t="s">
        <v>332</v>
      </c>
      <c r="G9" t="s">
        <v>332</v>
      </c>
      <c r="H9" t="s">
        <v>53</v>
      </c>
      <c r="I9">
        <v>1237042</v>
      </c>
      <c r="J9">
        <v>90</v>
      </c>
      <c r="K9" t="s">
        <v>26</v>
      </c>
      <c r="L9" s="1">
        <v>41189</v>
      </c>
      <c r="M9" s="1">
        <v>45906</v>
      </c>
      <c r="N9">
        <v>129272141</v>
      </c>
      <c r="P9" t="s">
        <v>22</v>
      </c>
    </row>
    <row r="10" spans="1:19" x14ac:dyDescent="0.3">
      <c r="A10" t="s">
        <v>66</v>
      </c>
      <c r="B10" t="s">
        <v>55</v>
      </c>
      <c r="C10" t="s">
        <v>18</v>
      </c>
      <c r="D10" t="s">
        <v>31</v>
      </c>
      <c r="E10" t="s">
        <v>52</v>
      </c>
      <c r="F10" t="s">
        <v>332</v>
      </c>
      <c r="G10" t="s">
        <v>332</v>
      </c>
      <c r="H10" t="s">
        <v>56</v>
      </c>
      <c r="I10">
        <v>30987997</v>
      </c>
      <c r="J10">
        <v>45</v>
      </c>
      <c r="K10" t="s">
        <v>21</v>
      </c>
      <c r="L10" s="1">
        <v>40883</v>
      </c>
      <c r="M10" s="1">
        <v>45815</v>
      </c>
      <c r="N10">
        <v>135637673</v>
      </c>
      <c r="O10">
        <v>10011138</v>
      </c>
      <c r="P10" t="s">
        <v>27</v>
      </c>
    </row>
    <row r="11" spans="1:19" x14ac:dyDescent="0.3">
      <c r="A11" t="s">
        <v>57</v>
      </c>
      <c r="B11" t="s">
        <v>58</v>
      </c>
      <c r="C11" t="s">
        <v>18</v>
      </c>
      <c r="D11" t="s">
        <v>31</v>
      </c>
      <c r="E11" t="s">
        <v>20</v>
      </c>
      <c r="F11" t="s">
        <v>37</v>
      </c>
      <c r="G11" t="s">
        <v>60</v>
      </c>
      <c r="H11" t="s">
        <v>4275</v>
      </c>
      <c r="I11">
        <v>23980180</v>
      </c>
      <c r="J11">
        <v>90</v>
      </c>
      <c r="K11" t="s">
        <v>332</v>
      </c>
      <c r="L11" s="1">
        <v>42889</v>
      </c>
      <c r="M11" s="1">
        <v>45993</v>
      </c>
      <c r="N11">
        <v>112365959</v>
      </c>
      <c r="O11">
        <v>9190376</v>
      </c>
      <c r="P11" t="s">
        <v>61</v>
      </c>
    </row>
    <row r="12" spans="1:19" x14ac:dyDescent="0.3">
      <c r="A12" t="s">
        <v>62</v>
      </c>
      <c r="B12" t="s">
        <v>63</v>
      </c>
      <c r="C12" t="s">
        <v>40</v>
      </c>
      <c r="D12" t="s">
        <v>31</v>
      </c>
      <c r="E12" t="s">
        <v>41</v>
      </c>
      <c r="F12" t="s">
        <v>332</v>
      </c>
      <c r="G12" t="s">
        <v>64</v>
      </c>
      <c r="H12" t="s">
        <v>65</v>
      </c>
      <c r="I12">
        <v>6564584</v>
      </c>
      <c r="J12">
        <v>45</v>
      </c>
      <c r="K12" t="s">
        <v>332</v>
      </c>
      <c r="L12" s="1">
        <v>41959</v>
      </c>
      <c r="M12" s="1">
        <v>45877</v>
      </c>
      <c r="N12">
        <v>240487985</v>
      </c>
      <c r="O12">
        <v>9846877</v>
      </c>
      <c r="P12" t="s">
        <v>332</v>
      </c>
    </row>
    <row r="13" spans="1:19" x14ac:dyDescent="0.3">
      <c r="A13" t="s">
        <v>66</v>
      </c>
      <c r="B13" t="s">
        <v>67</v>
      </c>
      <c r="C13" t="s">
        <v>25</v>
      </c>
      <c r="D13" t="s">
        <v>35</v>
      </c>
      <c r="E13" t="s">
        <v>36</v>
      </c>
      <c r="F13" t="s">
        <v>37</v>
      </c>
      <c r="G13" t="s">
        <v>68</v>
      </c>
      <c r="H13" t="s">
        <v>69</v>
      </c>
      <c r="I13">
        <v>39158659</v>
      </c>
      <c r="J13">
        <v>60</v>
      </c>
      <c r="K13" t="s">
        <v>332</v>
      </c>
      <c r="L13" s="1">
        <v>43226</v>
      </c>
      <c r="M13" s="1">
        <v>45866</v>
      </c>
      <c r="N13">
        <v>107325416</v>
      </c>
      <c r="P13" t="s">
        <v>22</v>
      </c>
    </row>
    <row r="14" spans="1:19" x14ac:dyDescent="0.3">
      <c r="A14" t="s">
        <v>70</v>
      </c>
      <c r="B14" t="s">
        <v>71</v>
      </c>
      <c r="C14" t="s">
        <v>25</v>
      </c>
      <c r="D14" t="s">
        <v>31</v>
      </c>
      <c r="E14" t="s">
        <v>52</v>
      </c>
      <c r="F14" t="s">
        <v>332</v>
      </c>
      <c r="G14" t="s">
        <v>332</v>
      </c>
      <c r="H14" t="s">
        <v>72</v>
      </c>
      <c r="I14">
        <v>21422380</v>
      </c>
      <c r="J14">
        <v>90</v>
      </c>
      <c r="K14" t="s">
        <v>26</v>
      </c>
      <c r="L14" s="1">
        <v>42289</v>
      </c>
      <c r="M14" s="1">
        <v>45687</v>
      </c>
      <c r="N14">
        <v>260751314</v>
      </c>
      <c r="O14">
        <v>7664695</v>
      </c>
      <c r="P14" t="s">
        <v>22</v>
      </c>
    </row>
    <row r="15" spans="1:19" x14ac:dyDescent="0.3">
      <c r="A15" t="s">
        <v>73</v>
      </c>
      <c r="B15" t="s">
        <v>74</v>
      </c>
      <c r="C15" t="s">
        <v>18</v>
      </c>
      <c r="D15" t="s">
        <v>75</v>
      </c>
      <c r="E15" t="s">
        <v>36</v>
      </c>
      <c r="F15" t="s">
        <v>37</v>
      </c>
      <c r="G15" t="s">
        <v>76</v>
      </c>
      <c r="H15" t="s">
        <v>4275</v>
      </c>
      <c r="I15">
        <v>47293002</v>
      </c>
      <c r="J15">
        <v>90</v>
      </c>
      <c r="K15" t="s">
        <v>77</v>
      </c>
      <c r="L15" s="1">
        <v>40824</v>
      </c>
      <c r="M15" s="1">
        <v>46053</v>
      </c>
      <c r="N15">
        <v>277820719</v>
      </c>
      <c r="O15">
        <v>5897264</v>
      </c>
      <c r="P15" t="s">
        <v>45</v>
      </c>
    </row>
    <row r="16" spans="1:19" x14ac:dyDescent="0.3">
      <c r="A16" t="s">
        <v>78</v>
      </c>
      <c r="B16" t="s">
        <v>79</v>
      </c>
      <c r="C16" t="s">
        <v>18</v>
      </c>
      <c r="D16" t="s">
        <v>35</v>
      </c>
      <c r="E16" t="s">
        <v>20</v>
      </c>
      <c r="F16" t="s">
        <v>332</v>
      </c>
      <c r="G16" t="s">
        <v>332</v>
      </c>
      <c r="H16" t="s">
        <v>4275</v>
      </c>
      <c r="I16">
        <v>49486949</v>
      </c>
      <c r="J16">
        <v>60</v>
      </c>
      <c r="K16" t="s">
        <v>332</v>
      </c>
      <c r="L16" s="1">
        <v>42929</v>
      </c>
      <c r="M16" s="1">
        <v>46005</v>
      </c>
      <c r="N16">
        <v>119336157</v>
      </c>
      <c r="O16">
        <v>8359241</v>
      </c>
      <c r="P16" t="s">
        <v>332</v>
      </c>
    </row>
    <row r="17" spans="1:16" x14ac:dyDescent="0.3">
      <c r="A17" t="s">
        <v>80</v>
      </c>
      <c r="B17" t="s">
        <v>81</v>
      </c>
      <c r="C17" t="s">
        <v>18</v>
      </c>
      <c r="D17" t="s">
        <v>19</v>
      </c>
      <c r="E17" t="s">
        <v>52</v>
      </c>
      <c r="F17" t="s">
        <v>37</v>
      </c>
      <c r="G17" t="s">
        <v>332</v>
      </c>
      <c r="H17" t="s">
        <v>4275</v>
      </c>
      <c r="I17">
        <v>6821247</v>
      </c>
      <c r="J17">
        <v>45</v>
      </c>
      <c r="K17" t="s">
        <v>82</v>
      </c>
      <c r="L17" s="1">
        <v>40745</v>
      </c>
      <c r="M17" s="1">
        <v>45660</v>
      </c>
      <c r="N17">
        <v>43611069</v>
      </c>
      <c r="O17">
        <v>9683342</v>
      </c>
      <c r="P17" t="s">
        <v>332</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97CD-15D2-4164-AFAD-9882B41094CD}">
  <dimension ref="A1:Y12"/>
  <sheetViews>
    <sheetView showGridLines="0" zoomScaleNormal="100" workbookViewId="0">
      <selection activeCell="E3" sqref="E3:E12"/>
    </sheetView>
  </sheetViews>
  <sheetFormatPr defaultRowHeight="14.4" x14ac:dyDescent="0.3"/>
  <cols>
    <col min="1" max="1" width="16.33203125" bestFit="1" customWidth="1"/>
    <col min="2" max="3" width="13.33203125" bestFit="1" customWidth="1"/>
    <col min="4" max="4" width="14.5546875" bestFit="1" customWidth="1"/>
    <col min="5" max="5" width="10.44140625" bestFit="1" customWidth="1"/>
    <col min="6" max="6" width="13" bestFit="1" customWidth="1"/>
    <col min="7" max="7" width="14.5546875" bestFit="1" customWidth="1"/>
    <col min="8" max="12" width="19.5546875" bestFit="1" customWidth="1"/>
    <col min="13" max="13" width="10.33203125" bestFit="1" customWidth="1"/>
    <col min="14" max="14" width="13.88671875" bestFit="1" customWidth="1"/>
    <col min="15" max="15" width="10.88671875" bestFit="1" customWidth="1"/>
    <col min="16" max="16" width="10.6640625" bestFit="1" customWidth="1"/>
    <col min="17" max="17" width="25.109375" bestFit="1" customWidth="1"/>
    <col min="18" max="18" width="8.33203125" bestFit="1" customWidth="1"/>
    <col min="19" max="19" width="14" bestFit="1" customWidth="1"/>
    <col min="20" max="20" width="20.21875" bestFit="1" customWidth="1"/>
    <col min="21" max="21" width="20.21875" customWidth="1"/>
    <col min="22" max="22" width="21.5546875" bestFit="1" customWidth="1"/>
    <col min="23" max="23" width="5.109375" customWidth="1"/>
    <col min="24" max="24" width="22.77734375" customWidth="1"/>
    <col min="25" max="25" width="11.109375" customWidth="1"/>
  </cols>
  <sheetData>
    <row r="1" spans="1:25" ht="38.4" customHeight="1" x14ac:dyDescent="0.3"/>
    <row r="2" spans="1:25" x14ac:dyDescent="0.3">
      <c r="A2" t="s">
        <v>83</v>
      </c>
      <c r="B2" t="s">
        <v>84</v>
      </c>
      <c r="C2" t="s">
        <v>85</v>
      </c>
      <c r="D2" t="s">
        <v>86</v>
      </c>
      <c r="E2" t="s">
        <v>4</v>
      </c>
      <c r="F2" t="s">
        <v>87</v>
      </c>
      <c r="G2" t="s">
        <v>88</v>
      </c>
      <c r="H2" t="s">
        <v>89</v>
      </c>
      <c r="I2" t="s">
        <v>90</v>
      </c>
      <c r="J2" t="s">
        <v>91</v>
      </c>
      <c r="K2" t="s">
        <v>92</v>
      </c>
      <c r="L2" t="s">
        <v>93</v>
      </c>
      <c r="M2" t="s">
        <v>94</v>
      </c>
      <c r="N2" t="s">
        <v>95</v>
      </c>
      <c r="O2" t="s">
        <v>96</v>
      </c>
      <c r="P2" t="s">
        <v>97</v>
      </c>
      <c r="Q2" t="s">
        <v>6</v>
      </c>
      <c r="R2" t="s">
        <v>98</v>
      </c>
      <c r="S2" t="s">
        <v>15</v>
      </c>
      <c r="T2" t="s">
        <v>5721</v>
      </c>
      <c r="U2" t="s">
        <v>5826</v>
      </c>
      <c r="V2" t="s">
        <v>5829</v>
      </c>
    </row>
    <row r="3" spans="1:25" x14ac:dyDescent="0.3">
      <c r="A3" t="s">
        <v>99</v>
      </c>
      <c r="B3" t="s">
        <v>100</v>
      </c>
      <c r="C3" t="s">
        <v>101</v>
      </c>
      <c r="D3" t="s">
        <v>102</v>
      </c>
      <c r="E3" t="s">
        <v>20</v>
      </c>
      <c r="F3" s="1">
        <v>41403</v>
      </c>
      <c r="G3">
        <v>21930988</v>
      </c>
      <c r="H3">
        <v>952812</v>
      </c>
      <c r="I3">
        <v>12603221</v>
      </c>
      <c r="J3">
        <v>10862230</v>
      </c>
      <c r="K3">
        <v>9288625</v>
      </c>
      <c r="L3">
        <v>1900333</v>
      </c>
      <c r="M3">
        <v>0.73</v>
      </c>
      <c r="N3">
        <v>4179875</v>
      </c>
      <c r="O3">
        <v>30</v>
      </c>
      <c r="P3">
        <v>19</v>
      </c>
      <c r="Q3" t="s">
        <v>103</v>
      </c>
      <c r="R3">
        <v>10313</v>
      </c>
      <c r="S3" t="s">
        <v>104</v>
      </c>
      <c r="T3">
        <f>IFERROR(tblestimator[[#This Row],[BidsWon]]/tblestimator[[#This Row],[TotalBids]],0)</f>
        <v>0.6333333333333333</v>
      </c>
      <c r="U3" s="43">
        <f>tblestimator[[#This Row],[Q1_2025_Achieved]]+tblestimator[[#This Row],[Q2_2025_Achieved]]+tblestimator[[#This Row],[Q3_2025_Achieved]]+tblestimator[[#This Row],[Q4_2025_Achieved]]+tblestimator[[#This Row],[Q1_2026_Achieved]]</f>
        <v>35607221</v>
      </c>
      <c r="V3" s="15">
        <f t="shared" ref="V3:V12" si="0">SUM(H3+I3+J3+K3+L3)/SUM(G3:G12)</f>
        <v>0.14429359942009626</v>
      </c>
      <c r="X3" s="46" t="s">
        <v>5811</v>
      </c>
      <c r="Y3" s="46">
        <f>COUNTA(_xlfn.UNIQUE(tblsales[Estimator]))</f>
        <v>10</v>
      </c>
    </row>
    <row r="4" spans="1:25" x14ac:dyDescent="0.3">
      <c r="A4" t="s">
        <v>105</v>
      </c>
      <c r="B4" t="s">
        <v>106</v>
      </c>
      <c r="C4" t="s">
        <v>107</v>
      </c>
      <c r="D4" t="s">
        <v>108</v>
      </c>
      <c r="E4" t="s">
        <v>41</v>
      </c>
      <c r="F4" s="1">
        <v>42800</v>
      </c>
      <c r="G4">
        <v>16356579</v>
      </c>
      <c r="I4">
        <v>8474639</v>
      </c>
      <c r="J4">
        <v>5528606</v>
      </c>
      <c r="K4">
        <v>1478019</v>
      </c>
      <c r="L4">
        <v>4968576</v>
      </c>
      <c r="M4">
        <v>0.28999999999999998</v>
      </c>
      <c r="N4">
        <v>14975211</v>
      </c>
      <c r="O4">
        <v>45</v>
      </c>
      <c r="P4">
        <v>26</v>
      </c>
      <c r="Q4" t="s">
        <v>109</v>
      </c>
      <c r="R4">
        <v>10304</v>
      </c>
      <c r="S4" t="s">
        <v>110</v>
      </c>
      <c r="T4">
        <f>IFERROR(tblestimator[[#This Row],[BidsWon]]/tblestimator[[#This Row],[TotalBids]],0)</f>
        <v>0.57777777777777772</v>
      </c>
      <c r="U4" s="43">
        <f>tblestimator[[#This Row],[Q1_2025_Achieved]]+tblestimator[[#This Row],[Q2_2025_Achieved]]+tblestimator[[#This Row],[Q3_2025_Achieved]]+tblestimator[[#This Row],[Q4_2025_Achieved]]+tblestimator[[#This Row],[Q1_2026_Achieved]]</f>
        <v>20449840</v>
      </c>
      <c r="V4" s="15">
        <f t="shared" si="0"/>
        <v>9.0953564901942882E-2</v>
      </c>
      <c r="X4" s="46" t="s">
        <v>5812</v>
      </c>
      <c r="Y4" s="46">
        <f>SUM(tblestimator[TotalBids])</f>
        <v>316</v>
      </c>
    </row>
    <row r="5" spans="1:25" x14ac:dyDescent="0.3">
      <c r="A5" t="s">
        <v>111</v>
      </c>
      <c r="B5" t="s">
        <v>112</v>
      </c>
      <c r="C5" t="s">
        <v>101</v>
      </c>
      <c r="D5" t="s">
        <v>102</v>
      </c>
      <c r="E5" t="s">
        <v>113</v>
      </c>
      <c r="F5" s="1">
        <v>42196</v>
      </c>
      <c r="G5">
        <v>6816611</v>
      </c>
      <c r="H5">
        <v>5626720</v>
      </c>
      <c r="I5">
        <v>7100172</v>
      </c>
      <c r="J5">
        <v>12068195</v>
      </c>
      <c r="L5">
        <v>13508738</v>
      </c>
      <c r="M5">
        <v>0.24</v>
      </c>
      <c r="N5">
        <v>8307501</v>
      </c>
      <c r="O5">
        <v>66</v>
      </c>
      <c r="P5">
        <v>35</v>
      </c>
      <c r="Q5" t="s">
        <v>114</v>
      </c>
      <c r="R5">
        <v>17302</v>
      </c>
      <c r="S5" t="s">
        <v>110</v>
      </c>
      <c r="T5">
        <f>IFERROR(tblestimator[[#This Row],[BidsWon]]/tblestimator[[#This Row],[TotalBids]],0)</f>
        <v>0.53030303030303028</v>
      </c>
      <c r="U5" s="43">
        <f>tblestimator[[#This Row],[Q1_2025_Achieved]]+tblestimator[[#This Row],[Q2_2025_Achieved]]+tblestimator[[#This Row],[Q3_2025_Achieved]]+tblestimator[[#This Row],[Q4_2025_Achieved]]+tblestimator[[#This Row],[Q1_2026_Achieved]]</f>
        <v>38303825</v>
      </c>
      <c r="V5" s="15">
        <f t="shared" si="0"/>
        <v>0.18372754569350216</v>
      </c>
      <c r="X5" s="46" t="s">
        <v>5813</v>
      </c>
      <c r="Y5" s="46">
        <f>SUM(tblestimator[BidsWon])</f>
        <v>227</v>
      </c>
    </row>
    <row r="6" spans="1:25" x14ac:dyDescent="0.3">
      <c r="A6" t="s">
        <v>115</v>
      </c>
      <c r="B6" t="s">
        <v>116</v>
      </c>
      <c r="C6" t="s">
        <v>101</v>
      </c>
      <c r="D6" t="s">
        <v>117</v>
      </c>
      <c r="E6" t="s">
        <v>36</v>
      </c>
      <c r="F6" s="1">
        <v>44048</v>
      </c>
      <c r="G6">
        <v>17444428</v>
      </c>
      <c r="H6">
        <v>13004203</v>
      </c>
      <c r="I6">
        <v>4810548</v>
      </c>
      <c r="J6">
        <v>9055587</v>
      </c>
      <c r="K6">
        <v>12106635</v>
      </c>
      <c r="M6">
        <v>0.6</v>
      </c>
      <c r="N6">
        <v>14831913</v>
      </c>
      <c r="O6">
        <v>18</v>
      </c>
      <c r="P6">
        <v>10</v>
      </c>
      <c r="Q6" t="s">
        <v>118</v>
      </c>
      <c r="R6">
        <v>24536</v>
      </c>
      <c r="S6" t="s">
        <v>104</v>
      </c>
      <c r="T6">
        <f>IFERROR(tblestimator[[#This Row],[BidsWon]]/tblestimator[[#This Row],[TotalBids]],0)</f>
        <v>0.55555555555555558</v>
      </c>
      <c r="U6" s="43">
        <f>tblestimator[[#This Row],[Q1_2025_Achieved]]+tblestimator[[#This Row],[Q2_2025_Achieved]]+tblestimator[[#This Row],[Q3_2025_Achieved]]+tblestimator[[#This Row],[Q4_2025_Achieved]]+tblestimator[[#This Row],[Q1_2026_Achieved]]</f>
        <v>38976973</v>
      </c>
      <c r="V6" s="15">
        <f t="shared" si="0"/>
        <v>0.19327578993159827</v>
      </c>
      <c r="X6" s="46" t="s">
        <v>5814</v>
      </c>
      <c r="Y6" s="47">
        <f>SUM(tblestimator[AnnualTarget])</f>
        <v>246769234</v>
      </c>
    </row>
    <row r="7" spans="1:25" x14ac:dyDescent="0.3">
      <c r="A7" t="s">
        <v>119</v>
      </c>
      <c r="B7" t="s">
        <v>120</v>
      </c>
      <c r="C7" t="s">
        <v>121</v>
      </c>
      <c r="D7" t="s">
        <v>117</v>
      </c>
      <c r="E7" t="s">
        <v>52</v>
      </c>
      <c r="F7" s="1">
        <v>44956</v>
      </c>
      <c r="G7">
        <v>35084521</v>
      </c>
      <c r="H7">
        <v>10571467</v>
      </c>
      <c r="I7">
        <v>11551513</v>
      </c>
      <c r="J7">
        <v>14613900</v>
      </c>
      <c r="K7">
        <v>10278236</v>
      </c>
      <c r="L7">
        <v>14828884</v>
      </c>
      <c r="N7">
        <v>19502837</v>
      </c>
      <c r="O7">
        <v>20</v>
      </c>
      <c r="P7">
        <v>13</v>
      </c>
      <c r="Q7" t="s">
        <v>122</v>
      </c>
      <c r="R7">
        <v>19370</v>
      </c>
      <c r="S7" t="s">
        <v>110</v>
      </c>
      <c r="T7">
        <f>IFERROR(tblestimator[[#This Row],[BidsWon]]/tblestimator[[#This Row],[TotalBids]],0)</f>
        <v>0.65</v>
      </c>
      <c r="U7" s="43">
        <f>tblestimator[[#This Row],[Q1_2025_Achieved]]+tblestimator[[#This Row],[Q2_2025_Achieved]]+tblestimator[[#This Row],[Q3_2025_Achieved]]+tblestimator[[#This Row],[Q4_2025_Achieved]]+tblestimator[[#This Row],[Q1_2026_Achieved]]</f>
        <v>61844000</v>
      </c>
      <c r="V7" s="15">
        <f t="shared" si="0"/>
        <v>0.33570616206997189</v>
      </c>
      <c r="X7" s="46" t="s">
        <v>5815</v>
      </c>
      <c r="Y7" s="48">
        <f>Y5/Y4</f>
        <v>0.71835443037974689</v>
      </c>
    </row>
    <row r="8" spans="1:25" x14ac:dyDescent="0.3">
      <c r="A8" t="s">
        <v>123</v>
      </c>
      <c r="B8" t="s">
        <v>124</v>
      </c>
      <c r="C8" t="s">
        <v>107</v>
      </c>
      <c r="D8" t="s">
        <v>108</v>
      </c>
      <c r="E8" t="s">
        <v>113</v>
      </c>
      <c r="F8" s="1">
        <v>40480</v>
      </c>
      <c r="G8">
        <v>36688908</v>
      </c>
      <c r="H8">
        <v>3647873</v>
      </c>
      <c r="I8">
        <v>13773770</v>
      </c>
      <c r="J8">
        <v>7089369</v>
      </c>
      <c r="K8">
        <v>4964828</v>
      </c>
      <c r="L8">
        <v>1006670</v>
      </c>
      <c r="M8">
        <v>0.3</v>
      </c>
      <c r="N8">
        <v>16439916</v>
      </c>
      <c r="O8">
        <v>14</v>
      </c>
      <c r="P8">
        <v>26</v>
      </c>
      <c r="Q8" t="s">
        <v>125</v>
      </c>
      <c r="R8">
        <v>20833</v>
      </c>
      <c r="S8" t="s">
        <v>126</v>
      </c>
      <c r="T8">
        <f>IFERROR(tblestimator[[#This Row],[BidsWon]]/tblestimator[[#This Row],[TotalBids]],0)</f>
        <v>1.8571428571428572</v>
      </c>
      <c r="U8" s="43">
        <f>tblestimator[[#This Row],[Q1_2025_Achieved]]+tblestimator[[#This Row],[Q2_2025_Achieved]]+tblestimator[[#This Row],[Q3_2025_Achieved]]+tblestimator[[#This Row],[Q4_2025_Achieved]]+tblestimator[[#This Row],[Q1_2026_Achieved]]</f>
        <v>30482510</v>
      </c>
      <c r="V8" s="15">
        <f t="shared" si="0"/>
        <v>0.20439389637547667</v>
      </c>
      <c r="X8" s="46" t="s">
        <v>5830</v>
      </c>
      <c r="Y8" s="50">
        <f>SUM(tblestimator[Total Achievements])</f>
        <v>361470380</v>
      </c>
    </row>
    <row r="9" spans="1:25" x14ac:dyDescent="0.3">
      <c r="A9" t="s">
        <v>127</v>
      </c>
      <c r="B9" t="s">
        <v>128</v>
      </c>
      <c r="C9" t="s">
        <v>107</v>
      </c>
      <c r="D9" t="s">
        <v>102</v>
      </c>
      <c r="E9" t="s">
        <v>113</v>
      </c>
      <c r="F9" s="1">
        <v>40748</v>
      </c>
      <c r="G9">
        <v>6718952</v>
      </c>
      <c r="H9">
        <v>2359697</v>
      </c>
      <c r="I9">
        <v>2660610</v>
      </c>
      <c r="J9">
        <v>12734715</v>
      </c>
      <c r="K9">
        <v>7564627</v>
      </c>
      <c r="L9">
        <v>5522839</v>
      </c>
      <c r="M9">
        <v>0.49</v>
      </c>
      <c r="N9">
        <v>4811314</v>
      </c>
      <c r="O9">
        <v>58</v>
      </c>
      <c r="P9">
        <v>39</v>
      </c>
      <c r="Q9" t="s">
        <v>129</v>
      </c>
      <c r="R9">
        <v>12538</v>
      </c>
      <c r="S9" t="s">
        <v>332</v>
      </c>
      <c r="T9">
        <f>IFERROR(tblestimator[[#This Row],[BidsWon]]/tblestimator[[#This Row],[TotalBids]],0)</f>
        <v>0.67241379310344829</v>
      </c>
      <c r="U9" s="43">
        <f>tblestimator[[#This Row],[Q1_2025_Achieved]]+tblestimator[[#This Row],[Q2_2025_Achieved]]+tblestimator[[#This Row],[Q3_2025_Achieved]]+tblestimator[[#This Row],[Q4_2025_Achieved]]+tblestimator[[#This Row],[Q1_2026_Achieved]]</f>
        <v>30842488</v>
      </c>
      <c r="V9" s="15">
        <f t="shared" si="0"/>
        <v>0.27428418203640625</v>
      </c>
      <c r="X9" s="46" t="s">
        <v>5816</v>
      </c>
      <c r="Y9" s="48">
        <f>AVERAGE(tblestimator[Target  Achievement %])</f>
        <v>0.30823256798208909</v>
      </c>
    </row>
    <row r="10" spans="1:25" x14ac:dyDescent="0.3">
      <c r="A10" t="s">
        <v>130</v>
      </c>
      <c r="B10" t="s">
        <v>131</v>
      </c>
      <c r="C10" t="s">
        <v>107</v>
      </c>
      <c r="D10" t="s">
        <v>117</v>
      </c>
      <c r="E10" t="s">
        <v>41</v>
      </c>
      <c r="F10" s="1">
        <v>43294</v>
      </c>
      <c r="G10">
        <v>37989285</v>
      </c>
      <c r="H10">
        <v>7211316</v>
      </c>
      <c r="I10">
        <v>4595555</v>
      </c>
      <c r="J10">
        <v>1710599</v>
      </c>
      <c r="K10">
        <v>8422606</v>
      </c>
      <c r="L10">
        <v>6054130</v>
      </c>
      <c r="M10">
        <v>0.61</v>
      </c>
      <c r="N10">
        <v>7766756</v>
      </c>
      <c r="O10">
        <v>46</v>
      </c>
      <c r="P10">
        <v>20</v>
      </c>
      <c r="Q10" t="s">
        <v>132</v>
      </c>
      <c r="R10">
        <v>19974</v>
      </c>
      <c r="S10" t="s">
        <v>332</v>
      </c>
      <c r="T10">
        <f>IFERROR(tblestimator[[#This Row],[BidsWon]]/tblestimator[[#This Row],[TotalBids]],0)</f>
        <v>0.43478260869565216</v>
      </c>
      <c r="U10" s="43">
        <f>tblestimator[[#This Row],[Q1_2025_Achieved]]+tblestimator[[#This Row],[Q2_2025_Achieved]]+tblestimator[[#This Row],[Q3_2025_Achieved]]+tblestimator[[#This Row],[Q4_2025_Achieved]]+tblestimator[[#This Row],[Q1_2026_Achieved]]</f>
        <v>27994206</v>
      </c>
      <c r="V10" s="15">
        <f t="shared" si="0"/>
        <v>0.26477508891261575</v>
      </c>
      <c r="Y10" s="15"/>
    </row>
    <row r="11" spans="1:25" x14ac:dyDescent="0.3">
      <c r="A11" t="s">
        <v>133</v>
      </c>
      <c r="B11" t="s">
        <v>134</v>
      </c>
      <c r="C11" t="s">
        <v>107</v>
      </c>
      <c r="D11" t="s">
        <v>108</v>
      </c>
      <c r="E11" t="s">
        <v>52</v>
      </c>
      <c r="F11" s="1">
        <v>43123</v>
      </c>
      <c r="G11">
        <v>19700661</v>
      </c>
      <c r="H11">
        <v>6439459</v>
      </c>
      <c r="I11">
        <v>6604993</v>
      </c>
      <c r="J11">
        <v>14206809</v>
      </c>
      <c r="K11">
        <v>6196574</v>
      </c>
      <c r="L11">
        <v>1459194</v>
      </c>
      <c r="M11">
        <v>0.39</v>
      </c>
      <c r="N11">
        <v>3941217</v>
      </c>
      <c r="O11">
        <v>7</v>
      </c>
      <c r="P11">
        <v>27</v>
      </c>
      <c r="Q11" t="s">
        <v>135</v>
      </c>
      <c r="R11">
        <v>21350</v>
      </c>
      <c r="S11" t="s">
        <v>332</v>
      </c>
      <c r="T11">
        <f>IFERROR(tblestimator[[#This Row],[BidsWon]]/tblestimator[[#This Row],[TotalBids]],0)</f>
        <v>3.8571428571428572</v>
      </c>
      <c r="U11" s="43">
        <f>tblestimator[[#This Row],[Q1_2025_Achieved]]+tblestimator[[#This Row],[Q2_2025_Achieved]]+tblestimator[[#This Row],[Q3_2025_Achieved]]+tblestimator[[#This Row],[Q4_2025_Achieved]]+tblestimator[[#This Row],[Q1_2026_Achieved]]</f>
        <v>34907029</v>
      </c>
      <c r="V11" s="15">
        <f t="shared" si="0"/>
        <v>0.51531685708440589</v>
      </c>
      <c r="Y11" s="15"/>
    </row>
    <row r="12" spans="1:25" x14ac:dyDescent="0.3">
      <c r="A12" t="s">
        <v>136</v>
      </c>
      <c r="B12" t="s">
        <v>137</v>
      </c>
      <c r="C12" t="s">
        <v>107</v>
      </c>
      <c r="D12" t="s">
        <v>108</v>
      </c>
      <c r="E12" t="s">
        <v>20</v>
      </c>
      <c r="F12" s="1">
        <v>42765</v>
      </c>
      <c r="G12">
        <v>48038301</v>
      </c>
      <c r="H12">
        <v>10217122</v>
      </c>
      <c r="I12">
        <v>11454640</v>
      </c>
      <c r="J12">
        <v>6151960</v>
      </c>
      <c r="K12">
        <v>11002622</v>
      </c>
      <c r="L12">
        <v>3235944</v>
      </c>
      <c r="M12">
        <v>0.42</v>
      </c>
      <c r="N12">
        <v>17411912</v>
      </c>
      <c r="O12">
        <v>12</v>
      </c>
      <c r="P12">
        <v>12</v>
      </c>
      <c r="Q12" t="s">
        <v>138</v>
      </c>
      <c r="R12">
        <v>21490</v>
      </c>
      <c r="S12" t="s">
        <v>126</v>
      </c>
      <c r="T12">
        <f>IFERROR(tblestimator[[#This Row],[BidsWon]]/tblestimator[[#This Row],[TotalBids]],0)</f>
        <v>1</v>
      </c>
      <c r="U12" s="43">
        <f>tblestimator[[#This Row],[Q1_2025_Achieved]]+tblestimator[[#This Row],[Q2_2025_Achieved]]+tblestimator[[#This Row],[Q3_2025_Achieved]]+tblestimator[[#This Row],[Q4_2025_Achieved]]+tblestimator[[#This Row],[Q1_2026_Achieved]]</f>
        <v>42062288</v>
      </c>
      <c r="V12" s="15">
        <f t="shared" si="0"/>
        <v>0.87559899339487468</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ECB00-D36D-421B-A59E-C71AA11C2170}">
  <dimension ref="A1:AA86"/>
  <sheetViews>
    <sheetView showGridLines="0" workbookViewId="0">
      <selection activeCell="B3" sqref="B3:B86"/>
    </sheetView>
  </sheetViews>
  <sheetFormatPr defaultRowHeight="14.4" x14ac:dyDescent="0.3"/>
  <cols>
    <col min="1" max="1" width="10.33203125" bestFit="1" customWidth="1"/>
    <col min="2" max="2" width="10.44140625" bestFit="1" customWidth="1"/>
    <col min="3" max="3" width="15.109375" bestFit="1" customWidth="1"/>
    <col min="4" max="4" width="19.44140625" bestFit="1" customWidth="1"/>
    <col min="5" max="5" width="11.6640625" bestFit="1" customWidth="1"/>
    <col min="6" max="6" width="15.77734375" customWidth="1"/>
    <col min="7" max="7" width="13.88671875" bestFit="1" customWidth="1"/>
    <col min="8" max="8" width="18" bestFit="1" customWidth="1"/>
    <col min="9" max="9" width="16.21875" bestFit="1" customWidth="1"/>
    <col min="10" max="10" width="20.33203125" bestFit="1" customWidth="1"/>
    <col min="11" max="11" width="19" bestFit="1" customWidth="1"/>
    <col min="12" max="12" width="23.109375" bestFit="1" customWidth="1"/>
    <col min="13" max="13" width="12" bestFit="1" customWidth="1"/>
    <col min="14" max="14" width="16.109375" bestFit="1" customWidth="1"/>
    <col min="15" max="15" width="10.77734375" bestFit="1" customWidth="1"/>
    <col min="16" max="16" width="14.77734375" bestFit="1" customWidth="1"/>
    <col min="17" max="17" width="16.21875" bestFit="1" customWidth="1"/>
    <col min="18" max="18" width="20.33203125" bestFit="1" customWidth="1"/>
    <col min="19" max="19" width="13.88671875" bestFit="1" customWidth="1"/>
    <col min="20" max="20" width="18" bestFit="1" customWidth="1"/>
    <col min="21" max="21" width="14.21875" bestFit="1" customWidth="1"/>
    <col min="22" max="22" width="10.77734375" bestFit="1" customWidth="1"/>
    <col min="23" max="23" width="13.6640625" bestFit="1" customWidth="1"/>
    <col min="24" max="24" width="15.77734375" bestFit="1" customWidth="1"/>
    <col min="25" max="25" width="2.88671875" customWidth="1"/>
    <col min="26" max="26" width="15.77734375" customWidth="1"/>
    <col min="27" max="27" width="16.33203125" customWidth="1"/>
    <col min="28" max="28" width="14.33203125" customWidth="1"/>
    <col min="29" max="29" width="9.6640625" bestFit="1" customWidth="1"/>
  </cols>
  <sheetData>
    <row r="1" spans="1:27" ht="38.4" customHeight="1" x14ac:dyDescent="0.3"/>
    <row r="2" spans="1:27" x14ac:dyDescent="0.3">
      <c r="A2" t="s">
        <v>139</v>
      </c>
      <c r="B2" t="s">
        <v>4</v>
      </c>
      <c r="C2" t="s">
        <v>140</v>
      </c>
      <c r="D2" t="s">
        <v>5763</v>
      </c>
      <c r="E2" t="s">
        <v>141</v>
      </c>
      <c r="F2" t="s">
        <v>5764</v>
      </c>
      <c r="G2" t="s">
        <v>142</v>
      </c>
      <c r="H2" t="s">
        <v>5765</v>
      </c>
      <c r="I2" t="s">
        <v>143</v>
      </c>
      <c r="J2" t="s">
        <v>5766</v>
      </c>
      <c r="K2" t="s">
        <v>144</v>
      </c>
      <c r="L2" t="s">
        <v>5767</v>
      </c>
      <c r="M2" t="s">
        <v>145</v>
      </c>
      <c r="N2" t="s">
        <v>5768</v>
      </c>
      <c r="O2" t="s">
        <v>146</v>
      </c>
      <c r="P2" t="s">
        <v>5769</v>
      </c>
      <c r="Q2" t="s">
        <v>147</v>
      </c>
      <c r="R2" t="s">
        <v>5770</v>
      </c>
      <c r="S2" t="s">
        <v>148</v>
      </c>
      <c r="T2" t="s">
        <v>5771</v>
      </c>
      <c r="U2" t="s">
        <v>149</v>
      </c>
      <c r="V2" t="s">
        <v>150</v>
      </c>
      <c r="W2" t="s">
        <v>151</v>
      </c>
      <c r="X2" t="s">
        <v>15</v>
      </c>
    </row>
    <row r="3" spans="1:27" x14ac:dyDescent="0.3">
      <c r="A3" s="1">
        <v>45658</v>
      </c>
      <c r="B3" t="s">
        <v>20</v>
      </c>
      <c r="C3">
        <v>72719</v>
      </c>
      <c r="D3">
        <v>72719</v>
      </c>
      <c r="E3">
        <v>1230286</v>
      </c>
      <c r="F3">
        <v>1230286</v>
      </c>
      <c r="G3">
        <v>1726267</v>
      </c>
      <c r="H3">
        <v>1726267</v>
      </c>
      <c r="I3">
        <v>943577</v>
      </c>
      <c r="J3">
        <v>943577</v>
      </c>
      <c r="M3">
        <v>85551</v>
      </c>
      <c r="N3">
        <v>85551</v>
      </c>
      <c r="O3">
        <v>26811</v>
      </c>
      <c r="P3">
        <v>26811</v>
      </c>
      <c r="Q3">
        <v>3434870</v>
      </c>
      <c r="R3">
        <v>3434870</v>
      </c>
      <c r="S3">
        <v>1985394</v>
      </c>
      <c r="T3">
        <v>1985394</v>
      </c>
      <c r="U3">
        <v>-7.0000000000000001E-3</v>
      </c>
      <c r="V3" t="s">
        <v>152</v>
      </c>
      <c r="W3" t="s">
        <v>332</v>
      </c>
      <c r="X3" t="s">
        <v>22</v>
      </c>
    </row>
    <row r="4" spans="1:27" x14ac:dyDescent="0.3">
      <c r="A4" s="1">
        <v>45658</v>
      </c>
      <c r="B4" t="s">
        <v>41</v>
      </c>
      <c r="C4">
        <v>251287</v>
      </c>
      <c r="D4">
        <v>68425.450100000002</v>
      </c>
      <c r="E4">
        <v>1652677</v>
      </c>
      <c r="F4">
        <v>450023.94709999999</v>
      </c>
      <c r="G4">
        <v>778338</v>
      </c>
      <c r="H4">
        <v>211941.4374</v>
      </c>
      <c r="I4">
        <v>634812</v>
      </c>
      <c r="J4">
        <v>172859.3076</v>
      </c>
      <c r="K4">
        <v>1584827</v>
      </c>
      <c r="L4">
        <v>431548.3921</v>
      </c>
      <c r="M4">
        <v>55937</v>
      </c>
      <c r="N4">
        <v>15231.6451</v>
      </c>
      <c r="O4">
        <v>21028</v>
      </c>
      <c r="P4">
        <v>5725.9243999999999</v>
      </c>
      <c r="Q4">
        <v>2889972</v>
      </c>
      <c r="R4">
        <v>786939.37559999991</v>
      </c>
      <c r="S4">
        <v>5143599</v>
      </c>
      <c r="T4">
        <v>1400602.0077</v>
      </c>
      <c r="U4">
        <v>-8.6999999999999994E-2</v>
      </c>
      <c r="V4" t="s">
        <v>153</v>
      </c>
      <c r="W4" t="s">
        <v>154</v>
      </c>
      <c r="X4" t="s">
        <v>22</v>
      </c>
    </row>
    <row r="5" spans="1:27" x14ac:dyDescent="0.3">
      <c r="A5" s="1">
        <v>45658</v>
      </c>
      <c r="B5" t="s">
        <v>113</v>
      </c>
      <c r="C5">
        <v>336916</v>
      </c>
      <c r="D5">
        <v>91742.226799999989</v>
      </c>
      <c r="E5">
        <v>662545</v>
      </c>
      <c r="F5">
        <v>180411.00349999999</v>
      </c>
      <c r="G5">
        <v>3061935</v>
      </c>
      <c r="H5">
        <v>833764.90049999999</v>
      </c>
      <c r="I5">
        <v>505338</v>
      </c>
      <c r="J5">
        <v>137603.5374</v>
      </c>
      <c r="K5">
        <v>270639</v>
      </c>
      <c r="L5">
        <v>73694.9997</v>
      </c>
      <c r="M5">
        <v>19277</v>
      </c>
      <c r="N5">
        <v>5249.1270999999997</v>
      </c>
      <c r="O5">
        <v>23945</v>
      </c>
      <c r="P5">
        <v>6520.2235000000001</v>
      </c>
      <c r="Q5">
        <v>3846625</v>
      </c>
      <c r="R5">
        <v>1047435.9874999999</v>
      </c>
      <c r="S5">
        <v>1693828</v>
      </c>
      <c r="T5">
        <v>461229.36439999996</v>
      </c>
      <c r="U5">
        <v>0.16800000000000001</v>
      </c>
      <c r="V5" t="s">
        <v>153</v>
      </c>
      <c r="W5" t="s">
        <v>332</v>
      </c>
      <c r="X5" t="s">
        <v>22</v>
      </c>
      <c r="Z5" s="30" t="s">
        <v>5759</v>
      </c>
      <c r="AA5" s="40">
        <f>SUM(tblcost[PlannedBudget USD])</f>
        <v>213690984.10370004</v>
      </c>
    </row>
    <row r="6" spans="1:27" x14ac:dyDescent="0.3">
      <c r="A6" s="1">
        <v>45658</v>
      </c>
      <c r="B6" t="s">
        <v>36</v>
      </c>
      <c r="C6">
        <v>495290</v>
      </c>
      <c r="D6">
        <v>136056.163</v>
      </c>
      <c r="E6">
        <v>157597</v>
      </c>
      <c r="F6">
        <v>43291.895900000003</v>
      </c>
      <c r="G6">
        <v>838704</v>
      </c>
      <c r="H6">
        <v>230391.98879999999</v>
      </c>
      <c r="I6">
        <v>621351</v>
      </c>
      <c r="J6">
        <v>170685.11970000001</v>
      </c>
      <c r="K6">
        <v>2612005</v>
      </c>
      <c r="L6">
        <v>717517.77350000001</v>
      </c>
      <c r="M6">
        <v>54920</v>
      </c>
      <c r="N6">
        <v>15086.523999999999</v>
      </c>
      <c r="O6">
        <v>19629</v>
      </c>
      <c r="P6">
        <v>5392.0862999999999</v>
      </c>
      <c r="Q6">
        <v>6783062</v>
      </c>
      <c r="R6">
        <v>1863307.1314000001</v>
      </c>
      <c r="S6">
        <v>4217169</v>
      </c>
      <c r="T6">
        <v>1158456.3243</v>
      </c>
      <c r="V6" t="s">
        <v>155</v>
      </c>
      <c r="W6" t="s">
        <v>156</v>
      </c>
      <c r="X6" t="s">
        <v>332</v>
      </c>
      <c r="Z6" s="30" t="s">
        <v>5760</v>
      </c>
      <c r="AA6" s="40">
        <f>SUM(tblcost[ActualSpend USD])</f>
        <v>232582556.98270002</v>
      </c>
    </row>
    <row r="7" spans="1:27" x14ac:dyDescent="0.3">
      <c r="A7" s="1">
        <v>45658</v>
      </c>
      <c r="B7" t="s">
        <v>20</v>
      </c>
      <c r="C7">
        <v>416931</v>
      </c>
      <c r="D7">
        <v>416931</v>
      </c>
      <c r="E7">
        <v>1992689</v>
      </c>
      <c r="F7">
        <v>1992689</v>
      </c>
      <c r="G7">
        <v>4362612</v>
      </c>
      <c r="H7">
        <v>4362612</v>
      </c>
      <c r="I7">
        <v>167259</v>
      </c>
      <c r="J7">
        <v>167259</v>
      </c>
      <c r="K7">
        <v>2576190</v>
      </c>
      <c r="L7">
        <v>2576190</v>
      </c>
      <c r="M7">
        <v>61012</v>
      </c>
      <c r="N7">
        <v>61012</v>
      </c>
      <c r="O7">
        <v>39317</v>
      </c>
      <c r="P7">
        <v>39317</v>
      </c>
      <c r="Q7">
        <v>3056691</v>
      </c>
      <c r="R7">
        <v>3056691</v>
      </c>
      <c r="S7">
        <v>6657167</v>
      </c>
      <c r="T7">
        <v>6657167</v>
      </c>
      <c r="U7">
        <v>0.122</v>
      </c>
      <c r="V7" t="s">
        <v>152</v>
      </c>
      <c r="W7" t="s">
        <v>332</v>
      </c>
      <c r="X7" t="s">
        <v>22</v>
      </c>
      <c r="Z7" s="30" t="s">
        <v>5761</v>
      </c>
      <c r="AA7" s="33">
        <f>SUM(tblcost[CostVariance])</f>
        <v>0.94699999999999884</v>
      </c>
    </row>
    <row r="8" spans="1:27" x14ac:dyDescent="0.3">
      <c r="A8" s="1">
        <v>45658</v>
      </c>
      <c r="B8" t="s">
        <v>52</v>
      </c>
      <c r="C8">
        <v>355150</v>
      </c>
      <c r="D8">
        <v>97559.705000000002</v>
      </c>
      <c r="E8">
        <v>1245242</v>
      </c>
      <c r="F8">
        <v>342067.97739999997</v>
      </c>
      <c r="G8">
        <v>4692931</v>
      </c>
      <c r="H8">
        <v>1289148.1457</v>
      </c>
      <c r="I8">
        <v>892050</v>
      </c>
      <c r="J8">
        <v>245046.13500000001</v>
      </c>
      <c r="K8">
        <v>2357357</v>
      </c>
      <c r="L8">
        <v>647565.96790000005</v>
      </c>
      <c r="M8">
        <v>43776</v>
      </c>
      <c r="N8">
        <v>12025.2672</v>
      </c>
      <c r="O8">
        <v>15833</v>
      </c>
      <c r="P8">
        <v>4349.3251</v>
      </c>
      <c r="Q8">
        <v>6276418</v>
      </c>
      <c r="R8">
        <v>1724132.0245999999</v>
      </c>
      <c r="S8">
        <v>6972700</v>
      </c>
      <c r="T8">
        <v>1915400.69</v>
      </c>
      <c r="U8">
        <v>-9.0999999999999998E-2</v>
      </c>
      <c r="V8" t="s">
        <v>155</v>
      </c>
      <c r="W8" t="s">
        <v>332</v>
      </c>
      <c r="X8" t="s">
        <v>157</v>
      </c>
      <c r="Z8" s="30" t="s">
        <v>5762</v>
      </c>
      <c r="AA8" s="41">
        <f>SUM(tblcost[ActualSpend USD])/SUM(tblcost[PlannedBudget USD])</f>
        <v>1.0884060362127037</v>
      </c>
    </row>
    <row r="9" spans="1:27" x14ac:dyDescent="0.3">
      <c r="A9" s="1">
        <v>45689</v>
      </c>
      <c r="B9" t="s">
        <v>20</v>
      </c>
      <c r="C9">
        <v>436134</v>
      </c>
      <c r="D9">
        <v>118759.2882</v>
      </c>
      <c r="E9">
        <v>1613559</v>
      </c>
      <c r="F9">
        <v>439372.11569999997</v>
      </c>
      <c r="G9">
        <v>4012522</v>
      </c>
      <c r="H9">
        <v>1092609.7405999999</v>
      </c>
      <c r="I9">
        <v>956687</v>
      </c>
      <c r="J9">
        <v>260505.8701</v>
      </c>
      <c r="M9">
        <v>88002</v>
      </c>
      <c r="N9">
        <v>23962.944599999999</v>
      </c>
      <c r="O9">
        <v>30621</v>
      </c>
      <c r="P9">
        <v>8338.0982999999997</v>
      </c>
      <c r="Q9">
        <v>5349582</v>
      </c>
      <c r="R9">
        <v>1456691.1786</v>
      </c>
      <c r="S9">
        <v>8265507</v>
      </c>
      <c r="T9">
        <v>2250697.5560999997</v>
      </c>
      <c r="U9">
        <v>1.2E-2</v>
      </c>
      <c r="V9" t="s">
        <v>153</v>
      </c>
      <c r="W9" t="s">
        <v>332</v>
      </c>
      <c r="X9" t="s">
        <v>332</v>
      </c>
      <c r="AA9" s="26"/>
    </row>
    <row r="10" spans="1:27" x14ac:dyDescent="0.3">
      <c r="A10" s="1">
        <v>45689</v>
      </c>
      <c r="B10" t="s">
        <v>41</v>
      </c>
      <c r="C10">
        <v>378788</v>
      </c>
      <c r="D10">
        <v>103143.9724</v>
      </c>
      <c r="E10">
        <v>437935</v>
      </c>
      <c r="F10">
        <v>119249.70049999999</v>
      </c>
      <c r="G10">
        <v>4235397</v>
      </c>
      <c r="H10">
        <v>1153298.6030999999</v>
      </c>
      <c r="I10">
        <v>472267</v>
      </c>
      <c r="J10">
        <v>128598.30409999999</v>
      </c>
      <c r="K10">
        <v>378685</v>
      </c>
      <c r="L10">
        <v>103115.9255</v>
      </c>
      <c r="M10">
        <v>56680</v>
      </c>
      <c r="N10">
        <v>15433.964</v>
      </c>
      <c r="O10">
        <v>41598</v>
      </c>
      <c r="P10">
        <v>11327.135399999999</v>
      </c>
      <c r="Q10">
        <v>2882888</v>
      </c>
      <c r="R10">
        <v>785010.4023999999</v>
      </c>
      <c r="S10">
        <v>8777761</v>
      </c>
      <c r="T10">
        <v>2390184.3202999998</v>
      </c>
      <c r="U10">
        <v>0.108</v>
      </c>
      <c r="V10" t="s">
        <v>153</v>
      </c>
      <c r="W10" t="s">
        <v>332</v>
      </c>
      <c r="X10" t="s">
        <v>157</v>
      </c>
    </row>
    <row r="11" spans="1:27" x14ac:dyDescent="0.3">
      <c r="A11" s="1">
        <v>45689</v>
      </c>
      <c r="B11" t="s">
        <v>113</v>
      </c>
      <c r="C11">
        <v>355831</v>
      </c>
      <c r="D11">
        <v>96892.781300000002</v>
      </c>
      <c r="E11">
        <v>719688</v>
      </c>
      <c r="F11">
        <v>195971.04239999998</v>
      </c>
      <c r="G11">
        <v>4390243</v>
      </c>
      <c r="H11">
        <v>1195463.1688999999</v>
      </c>
      <c r="I11">
        <v>878660</v>
      </c>
      <c r="J11">
        <v>239259.11799999999</v>
      </c>
      <c r="K11">
        <v>2827974</v>
      </c>
      <c r="L11">
        <v>770057.32019999996</v>
      </c>
      <c r="M11">
        <v>68222</v>
      </c>
      <c r="N11">
        <v>18576.850599999998</v>
      </c>
      <c r="O11">
        <v>15875</v>
      </c>
      <c r="P11">
        <v>4322.7624999999998</v>
      </c>
      <c r="Q11">
        <v>2733108</v>
      </c>
      <c r="R11">
        <v>744225.30839999998</v>
      </c>
      <c r="U11">
        <v>0.19400000000000001</v>
      </c>
      <c r="V11" t="s">
        <v>153</v>
      </c>
      <c r="W11" t="s">
        <v>156</v>
      </c>
      <c r="X11" t="s">
        <v>157</v>
      </c>
    </row>
    <row r="12" spans="1:27" x14ac:dyDescent="0.3">
      <c r="A12" s="1">
        <v>45689</v>
      </c>
      <c r="B12" t="s">
        <v>36</v>
      </c>
      <c r="C12">
        <v>471209</v>
      </c>
      <c r="D12">
        <v>547073.64899999998</v>
      </c>
      <c r="E12">
        <v>979067</v>
      </c>
      <c r="F12">
        <v>1136696.787</v>
      </c>
      <c r="G12">
        <v>2029994</v>
      </c>
      <c r="H12">
        <v>2356823.034</v>
      </c>
      <c r="I12">
        <v>346902</v>
      </c>
      <c r="J12">
        <v>402753.22200000001</v>
      </c>
      <c r="K12">
        <v>245182</v>
      </c>
      <c r="L12">
        <v>284656.30200000003</v>
      </c>
      <c r="M12">
        <v>59061</v>
      </c>
      <c r="N12">
        <v>68569.820999999996</v>
      </c>
      <c r="Q12">
        <v>1489051</v>
      </c>
      <c r="R12">
        <v>1728788.2110000001</v>
      </c>
      <c r="U12">
        <v>-4.7E-2</v>
      </c>
      <c r="V12" t="s">
        <v>159</v>
      </c>
      <c r="W12" t="s">
        <v>332</v>
      </c>
      <c r="X12" t="s">
        <v>160</v>
      </c>
    </row>
    <row r="13" spans="1:27" x14ac:dyDescent="0.3">
      <c r="A13" s="1">
        <v>45689</v>
      </c>
      <c r="B13" t="s">
        <v>20</v>
      </c>
      <c r="C13">
        <v>135227</v>
      </c>
      <c r="D13">
        <v>36822.312099999996</v>
      </c>
      <c r="E13">
        <v>1054072</v>
      </c>
      <c r="F13">
        <v>287023.80559999996</v>
      </c>
      <c r="G13">
        <v>4430637</v>
      </c>
      <c r="H13">
        <v>1206462.4550999999</v>
      </c>
      <c r="I13">
        <v>923278</v>
      </c>
      <c r="J13">
        <v>251408.59939999998</v>
      </c>
      <c r="K13">
        <v>900463</v>
      </c>
      <c r="L13">
        <v>245196.07489999998</v>
      </c>
      <c r="M13">
        <v>27950</v>
      </c>
      <c r="N13">
        <v>7610.7849999999999</v>
      </c>
      <c r="O13">
        <v>12648</v>
      </c>
      <c r="P13">
        <v>3444.0503999999996</v>
      </c>
      <c r="Q13">
        <v>3681638</v>
      </c>
      <c r="R13">
        <v>1002510.0273999999</v>
      </c>
      <c r="S13">
        <v>8656566</v>
      </c>
      <c r="T13">
        <v>2357182.9217999997</v>
      </c>
      <c r="U13">
        <v>2.5999999999999999E-2</v>
      </c>
      <c r="V13" t="s">
        <v>153</v>
      </c>
      <c r="W13" t="s">
        <v>154</v>
      </c>
      <c r="X13" t="s">
        <v>22</v>
      </c>
    </row>
    <row r="14" spans="1:27" x14ac:dyDescent="0.3">
      <c r="A14" s="1">
        <v>45689</v>
      </c>
      <c r="B14" t="s">
        <v>52</v>
      </c>
      <c r="C14">
        <v>445509</v>
      </c>
      <c r="D14">
        <v>517235.94900000002</v>
      </c>
      <c r="E14">
        <v>196785</v>
      </c>
      <c r="F14">
        <v>228467.38500000001</v>
      </c>
      <c r="G14">
        <v>574831</v>
      </c>
      <c r="H14">
        <v>667378.79099999997</v>
      </c>
      <c r="I14">
        <v>633357</v>
      </c>
      <c r="J14">
        <v>735327.47700000007</v>
      </c>
      <c r="K14">
        <v>1882174</v>
      </c>
      <c r="L14">
        <v>2185204.014</v>
      </c>
      <c r="M14">
        <v>25703</v>
      </c>
      <c r="N14">
        <v>29841.183000000001</v>
      </c>
      <c r="O14">
        <v>8903</v>
      </c>
      <c r="P14">
        <v>10336.383</v>
      </c>
      <c r="Q14">
        <v>3607661</v>
      </c>
      <c r="R14">
        <v>4188494.4210000001</v>
      </c>
      <c r="S14">
        <v>1847555</v>
      </c>
      <c r="T14">
        <v>2145011.355</v>
      </c>
      <c r="U14">
        <v>0.09</v>
      </c>
      <c r="V14" t="s">
        <v>159</v>
      </c>
      <c r="W14" t="s">
        <v>161</v>
      </c>
      <c r="X14" t="s">
        <v>332</v>
      </c>
    </row>
    <row r="15" spans="1:27" x14ac:dyDescent="0.3">
      <c r="A15" s="1">
        <v>45717</v>
      </c>
      <c r="B15" t="s">
        <v>20</v>
      </c>
      <c r="C15">
        <v>404165</v>
      </c>
      <c r="D15">
        <v>404165</v>
      </c>
      <c r="E15">
        <v>1669132</v>
      </c>
      <c r="F15">
        <v>1669132</v>
      </c>
      <c r="G15">
        <v>2343596</v>
      </c>
      <c r="H15">
        <v>2343596</v>
      </c>
      <c r="I15">
        <v>356890</v>
      </c>
      <c r="J15">
        <v>356890</v>
      </c>
      <c r="M15">
        <v>55051</v>
      </c>
      <c r="N15">
        <v>55051</v>
      </c>
      <c r="O15">
        <v>2786</v>
      </c>
      <c r="P15">
        <v>2786</v>
      </c>
      <c r="Q15">
        <v>4589194</v>
      </c>
      <c r="R15">
        <v>4589194</v>
      </c>
      <c r="S15">
        <v>6292074</v>
      </c>
      <c r="T15">
        <v>6292074</v>
      </c>
      <c r="V15" t="s">
        <v>152</v>
      </c>
      <c r="W15" t="s">
        <v>332</v>
      </c>
      <c r="X15" t="s">
        <v>22</v>
      </c>
    </row>
    <row r="16" spans="1:27" x14ac:dyDescent="0.3">
      <c r="A16" s="1">
        <v>45717</v>
      </c>
      <c r="B16" t="s">
        <v>41</v>
      </c>
      <c r="C16">
        <v>76255</v>
      </c>
      <c r="D16">
        <v>20764.236499999999</v>
      </c>
      <c r="G16">
        <v>2949648</v>
      </c>
      <c r="H16">
        <v>803189.15039999993</v>
      </c>
      <c r="I16">
        <v>778684</v>
      </c>
      <c r="J16">
        <v>212035.6532</v>
      </c>
      <c r="K16">
        <v>1678045</v>
      </c>
      <c r="L16">
        <v>456931.65349999996</v>
      </c>
      <c r="M16">
        <v>74988</v>
      </c>
      <c r="N16">
        <v>20419.232400000001</v>
      </c>
      <c r="O16">
        <v>22992</v>
      </c>
      <c r="P16">
        <v>6260.7215999999999</v>
      </c>
      <c r="Q16">
        <v>5688849</v>
      </c>
      <c r="R16">
        <v>1549073.5826999999</v>
      </c>
      <c r="S16">
        <v>2941974</v>
      </c>
      <c r="T16">
        <v>801099.52019999991</v>
      </c>
      <c r="U16">
        <v>0.14599999999999999</v>
      </c>
      <c r="V16" t="s">
        <v>153</v>
      </c>
      <c r="W16" t="s">
        <v>161</v>
      </c>
      <c r="X16" t="s">
        <v>157</v>
      </c>
    </row>
    <row r="17" spans="1:24" x14ac:dyDescent="0.3">
      <c r="A17" s="1">
        <v>45717</v>
      </c>
      <c r="B17" t="s">
        <v>113</v>
      </c>
      <c r="C17">
        <v>300777</v>
      </c>
      <c r="D17">
        <v>300777</v>
      </c>
      <c r="E17">
        <v>741290</v>
      </c>
      <c r="F17">
        <v>741290</v>
      </c>
      <c r="G17">
        <v>1167553</v>
      </c>
      <c r="H17">
        <v>1167553</v>
      </c>
      <c r="I17">
        <v>192111</v>
      </c>
      <c r="J17">
        <v>192111</v>
      </c>
      <c r="K17">
        <v>348013</v>
      </c>
      <c r="L17">
        <v>348013</v>
      </c>
      <c r="M17">
        <v>71532</v>
      </c>
      <c r="N17">
        <v>71532</v>
      </c>
      <c r="O17">
        <v>1164</v>
      </c>
      <c r="P17">
        <v>1164</v>
      </c>
      <c r="Q17">
        <v>2269021</v>
      </c>
      <c r="R17">
        <v>2269021</v>
      </c>
      <c r="S17">
        <v>2814645</v>
      </c>
      <c r="T17">
        <v>2814645</v>
      </c>
      <c r="V17" t="s">
        <v>152</v>
      </c>
      <c r="W17" t="s">
        <v>156</v>
      </c>
      <c r="X17" t="s">
        <v>157</v>
      </c>
    </row>
    <row r="18" spans="1:24" x14ac:dyDescent="0.3">
      <c r="A18" s="1">
        <v>45717</v>
      </c>
      <c r="B18" t="s">
        <v>36</v>
      </c>
      <c r="C18">
        <v>64389</v>
      </c>
      <c r="D18">
        <v>64389</v>
      </c>
      <c r="E18">
        <v>1619250</v>
      </c>
      <c r="F18">
        <v>1619250</v>
      </c>
      <c r="G18">
        <v>3799182</v>
      </c>
      <c r="H18">
        <v>3799182</v>
      </c>
      <c r="I18">
        <v>545560</v>
      </c>
      <c r="J18">
        <v>545560</v>
      </c>
      <c r="K18">
        <v>115448</v>
      </c>
      <c r="L18">
        <v>115448</v>
      </c>
      <c r="M18">
        <v>91762</v>
      </c>
      <c r="N18">
        <v>91762</v>
      </c>
      <c r="O18">
        <v>44945</v>
      </c>
      <c r="P18">
        <v>44945</v>
      </c>
      <c r="Q18">
        <v>5181135</v>
      </c>
      <c r="R18">
        <v>5181135</v>
      </c>
      <c r="S18">
        <v>8603105</v>
      </c>
      <c r="T18">
        <v>8603105</v>
      </c>
      <c r="U18">
        <v>-0.14299999999999999</v>
      </c>
      <c r="V18" t="s">
        <v>152</v>
      </c>
      <c r="W18" t="s">
        <v>332</v>
      </c>
      <c r="X18" t="s">
        <v>157</v>
      </c>
    </row>
    <row r="19" spans="1:24" x14ac:dyDescent="0.3">
      <c r="A19" s="1">
        <v>45717</v>
      </c>
      <c r="B19" t="s">
        <v>20</v>
      </c>
      <c r="C19">
        <v>415150</v>
      </c>
      <c r="D19">
        <v>110720.50499999999</v>
      </c>
      <c r="E19">
        <v>573874</v>
      </c>
      <c r="F19">
        <v>153052.19579999999</v>
      </c>
      <c r="G19">
        <v>3532323</v>
      </c>
      <c r="H19">
        <v>942070.54409999994</v>
      </c>
      <c r="I19">
        <v>683203</v>
      </c>
      <c r="J19">
        <v>182210.2401</v>
      </c>
      <c r="K19">
        <v>9476</v>
      </c>
      <c r="L19">
        <v>2527.2491999999997</v>
      </c>
      <c r="M19">
        <v>93388</v>
      </c>
      <c r="N19">
        <v>24906.579600000001</v>
      </c>
      <c r="O19">
        <v>7294</v>
      </c>
      <c r="P19">
        <v>1945.3098</v>
      </c>
      <c r="Q19">
        <v>3908891</v>
      </c>
      <c r="R19">
        <v>1042501.2297</v>
      </c>
      <c r="S19">
        <v>6405661</v>
      </c>
      <c r="T19">
        <v>1708389.7886999999</v>
      </c>
      <c r="U19">
        <v>7.3999999999999996E-2</v>
      </c>
      <c r="V19" t="s">
        <v>162</v>
      </c>
      <c r="W19" t="s">
        <v>332</v>
      </c>
      <c r="X19" t="s">
        <v>157</v>
      </c>
    </row>
    <row r="20" spans="1:24" x14ac:dyDescent="0.3">
      <c r="A20" s="1">
        <v>45717</v>
      </c>
      <c r="B20" t="s">
        <v>52</v>
      </c>
      <c r="C20">
        <v>488690</v>
      </c>
      <c r="D20">
        <v>130333.62299999999</v>
      </c>
      <c r="G20">
        <v>3355404</v>
      </c>
      <c r="H20">
        <v>894886.24679999996</v>
      </c>
      <c r="I20">
        <v>768124</v>
      </c>
      <c r="J20">
        <v>204858.67079999999</v>
      </c>
      <c r="M20">
        <v>18169</v>
      </c>
      <c r="N20">
        <v>4845.6723000000002</v>
      </c>
      <c r="O20">
        <v>2370</v>
      </c>
      <c r="P20">
        <v>632.07899999999995</v>
      </c>
      <c r="Q20">
        <v>6448361</v>
      </c>
      <c r="R20">
        <v>1719777.8787</v>
      </c>
      <c r="S20">
        <v>810939</v>
      </c>
      <c r="T20">
        <v>216277.4313</v>
      </c>
      <c r="U20">
        <v>0.17100000000000001</v>
      </c>
      <c r="V20" t="s">
        <v>162</v>
      </c>
      <c r="W20" t="s">
        <v>156</v>
      </c>
      <c r="X20" t="s">
        <v>160</v>
      </c>
    </row>
    <row r="21" spans="1:24" x14ac:dyDescent="0.3">
      <c r="A21" s="1">
        <v>45748</v>
      </c>
      <c r="B21" t="s">
        <v>20</v>
      </c>
      <c r="C21">
        <v>327697</v>
      </c>
      <c r="D21">
        <v>90018.365900000004</v>
      </c>
      <c r="E21">
        <v>1557635</v>
      </c>
      <c r="F21">
        <v>427882.3345</v>
      </c>
      <c r="G21">
        <v>2432213</v>
      </c>
      <c r="H21">
        <v>668128.91110000003</v>
      </c>
      <c r="I21">
        <v>843986</v>
      </c>
      <c r="J21">
        <v>231842.95420000001</v>
      </c>
      <c r="K21">
        <v>2342598</v>
      </c>
      <c r="L21">
        <v>643511.67059999995</v>
      </c>
      <c r="M21">
        <v>24064</v>
      </c>
      <c r="N21">
        <v>6610.3807999999999</v>
      </c>
      <c r="O21">
        <v>30092</v>
      </c>
      <c r="P21">
        <v>8266.2723999999998</v>
      </c>
      <c r="Q21">
        <v>3033264</v>
      </c>
      <c r="R21">
        <v>833237.62080000003</v>
      </c>
      <c r="U21">
        <v>2.7E-2</v>
      </c>
      <c r="V21" t="s">
        <v>155</v>
      </c>
      <c r="W21" t="s">
        <v>154</v>
      </c>
      <c r="X21" t="s">
        <v>22</v>
      </c>
    </row>
    <row r="22" spans="1:24" x14ac:dyDescent="0.3">
      <c r="A22" s="1">
        <v>45748</v>
      </c>
      <c r="B22" t="s">
        <v>41</v>
      </c>
      <c r="C22">
        <v>294893</v>
      </c>
      <c r="D22">
        <v>80299.363899999997</v>
      </c>
      <c r="E22">
        <v>889832</v>
      </c>
      <c r="F22">
        <v>242301.2536</v>
      </c>
      <c r="G22">
        <v>3800757</v>
      </c>
      <c r="H22">
        <v>1034946.1311</v>
      </c>
      <c r="I22">
        <v>143678</v>
      </c>
      <c r="J22">
        <v>39123.519399999997</v>
      </c>
      <c r="K22">
        <v>2518277</v>
      </c>
      <c r="L22">
        <v>685726.82709999999</v>
      </c>
      <c r="M22">
        <v>57223</v>
      </c>
      <c r="N22">
        <v>15581.822899999999</v>
      </c>
      <c r="O22">
        <v>15582</v>
      </c>
      <c r="P22">
        <v>4242.9785999999995</v>
      </c>
      <c r="Q22">
        <v>1928129</v>
      </c>
      <c r="R22">
        <v>525029.52669999993</v>
      </c>
      <c r="S22">
        <v>4356542</v>
      </c>
      <c r="T22">
        <v>1186286.3865999999</v>
      </c>
      <c r="U22">
        <v>-0.128</v>
      </c>
      <c r="V22" t="s">
        <v>153</v>
      </c>
      <c r="W22" t="s">
        <v>161</v>
      </c>
      <c r="X22" t="s">
        <v>332</v>
      </c>
    </row>
    <row r="23" spans="1:24" x14ac:dyDescent="0.3">
      <c r="A23" s="1">
        <v>45748</v>
      </c>
      <c r="B23" t="s">
        <v>113</v>
      </c>
      <c r="C23">
        <v>474654</v>
      </c>
      <c r="D23">
        <v>474654</v>
      </c>
      <c r="E23">
        <v>183586</v>
      </c>
      <c r="F23">
        <v>183586</v>
      </c>
      <c r="G23">
        <v>1830060</v>
      </c>
      <c r="H23">
        <v>1830060</v>
      </c>
      <c r="I23">
        <v>157321</v>
      </c>
      <c r="J23">
        <v>157321</v>
      </c>
      <c r="K23">
        <v>2106722</v>
      </c>
      <c r="L23">
        <v>2106722</v>
      </c>
      <c r="M23">
        <v>97589</v>
      </c>
      <c r="N23">
        <v>97589</v>
      </c>
      <c r="Q23">
        <v>5165866</v>
      </c>
      <c r="R23">
        <v>5165866</v>
      </c>
      <c r="S23">
        <v>6749961</v>
      </c>
      <c r="T23">
        <v>6749961</v>
      </c>
      <c r="U23">
        <v>7.0999999999999994E-2</v>
      </c>
      <c r="V23" t="s">
        <v>152</v>
      </c>
      <c r="W23" t="s">
        <v>332</v>
      </c>
      <c r="X23" t="s">
        <v>332</v>
      </c>
    </row>
    <row r="24" spans="1:24" x14ac:dyDescent="0.3">
      <c r="A24" s="1">
        <v>45748</v>
      </c>
      <c r="B24" t="s">
        <v>36</v>
      </c>
      <c r="C24">
        <v>330576</v>
      </c>
      <c r="D24">
        <v>90809.227199999994</v>
      </c>
      <c r="E24">
        <v>1525075</v>
      </c>
      <c r="F24">
        <v>418938.10249999998</v>
      </c>
      <c r="G24">
        <v>718543</v>
      </c>
      <c r="H24">
        <v>197383.76209999999</v>
      </c>
      <c r="I24">
        <v>333731</v>
      </c>
      <c r="J24">
        <v>91675.905700000003</v>
      </c>
      <c r="K24">
        <v>2141546</v>
      </c>
      <c r="L24">
        <v>588282.6862</v>
      </c>
      <c r="M24">
        <v>16470</v>
      </c>
      <c r="N24">
        <v>4524.3090000000002</v>
      </c>
      <c r="O24">
        <v>31809</v>
      </c>
      <c r="P24">
        <v>8737.9323000000004</v>
      </c>
      <c r="Q24">
        <v>7526508</v>
      </c>
      <c r="R24">
        <v>2067531.7475999999</v>
      </c>
      <c r="S24">
        <v>1783336</v>
      </c>
      <c r="T24">
        <v>489882.39919999999</v>
      </c>
      <c r="U24">
        <v>-0.10299999999999999</v>
      </c>
      <c r="V24" t="s">
        <v>155</v>
      </c>
      <c r="W24" t="s">
        <v>154</v>
      </c>
      <c r="X24" t="s">
        <v>332</v>
      </c>
    </row>
    <row r="25" spans="1:24" x14ac:dyDescent="0.3">
      <c r="A25" s="1">
        <v>45748</v>
      </c>
      <c r="B25" t="s">
        <v>20</v>
      </c>
      <c r="C25">
        <v>454664</v>
      </c>
      <c r="D25">
        <v>123805.00719999999</v>
      </c>
      <c r="E25">
        <v>1102709</v>
      </c>
      <c r="F25">
        <v>300267.66070000001</v>
      </c>
      <c r="G25">
        <v>2106456</v>
      </c>
      <c r="H25">
        <v>573587.96879999992</v>
      </c>
      <c r="I25">
        <v>852140</v>
      </c>
      <c r="J25">
        <v>232037.72199999998</v>
      </c>
      <c r="K25">
        <v>1650747</v>
      </c>
      <c r="L25">
        <v>449498.4081</v>
      </c>
      <c r="M25">
        <v>51016</v>
      </c>
      <c r="N25">
        <v>13891.656799999999</v>
      </c>
      <c r="O25">
        <v>33196</v>
      </c>
      <c r="P25">
        <v>9039.2708000000002</v>
      </c>
      <c r="Q25">
        <v>2057634</v>
      </c>
      <c r="R25">
        <v>560293.73820000002</v>
      </c>
      <c r="S25">
        <v>2203085</v>
      </c>
      <c r="T25">
        <v>599900.04550000001</v>
      </c>
      <c r="U25">
        <v>-4.3999999999999997E-2</v>
      </c>
      <c r="V25" t="s">
        <v>153</v>
      </c>
      <c r="W25" t="s">
        <v>161</v>
      </c>
      <c r="X25" t="s">
        <v>163</v>
      </c>
    </row>
    <row r="26" spans="1:24" x14ac:dyDescent="0.3">
      <c r="A26" s="1">
        <v>45748</v>
      </c>
      <c r="B26" t="s">
        <v>52</v>
      </c>
      <c r="C26">
        <v>100298</v>
      </c>
      <c r="D26">
        <v>27311.145399999998</v>
      </c>
      <c r="E26">
        <v>1289030</v>
      </c>
      <c r="F26">
        <v>351002.86900000001</v>
      </c>
      <c r="G26">
        <v>3169040</v>
      </c>
      <c r="H26">
        <v>862929.59199999995</v>
      </c>
      <c r="I26">
        <v>659205</v>
      </c>
      <c r="J26">
        <v>179501.5215</v>
      </c>
      <c r="K26">
        <v>2635718</v>
      </c>
      <c r="L26">
        <v>717706.01139999996</v>
      </c>
      <c r="M26">
        <v>98248</v>
      </c>
      <c r="N26">
        <v>26752.930399999997</v>
      </c>
      <c r="O26">
        <v>12882</v>
      </c>
      <c r="P26">
        <v>3507.7685999999999</v>
      </c>
      <c r="Q26">
        <v>2719545</v>
      </c>
      <c r="R26">
        <v>740532.10349999997</v>
      </c>
      <c r="S26">
        <v>4952453</v>
      </c>
      <c r="T26">
        <v>1348552.9519</v>
      </c>
      <c r="U26">
        <v>0.14299999999999999</v>
      </c>
      <c r="V26" t="s">
        <v>153</v>
      </c>
      <c r="W26" t="s">
        <v>332</v>
      </c>
      <c r="X26" t="s">
        <v>157</v>
      </c>
    </row>
    <row r="27" spans="1:24" x14ac:dyDescent="0.3">
      <c r="A27" s="1">
        <v>45778</v>
      </c>
      <c r="B27" t="s">
        <v>20</v>
      </c>
      <c r="C27">
        <v>350756</v>
      </c>
      <c r="D27">
        <v>407227.71600000001</v>
      </c>
      <c r="E27">
        <v>1554217</v>
      </c>
      <c r="F27">
        <v>1804445.9370000002</v>
      </c>
      <c r="G27">
        <v>1273396</v>
      </c>
      <c r="H27">
        <v>1478412.7560000001</v>
      </c>
      <c r="I27">
        <v>968234</v>
      </c>
      <c r="J27">
        <v>1124119.6740000001</v>
      </c>
      <c r="K27">
        <v>1614608</v>
      </c>
      <c r="L27">
        <v>1874559.888</v>
      </c>
      <c r="M27">
        <v>96877</v>
      </c>
      <c r="N27">
        <v>112474.197</v>
      </c>
      <c r="O27">
        <v>36414</v>
      </c>
      <c r="P27">
        <v>42276.654000000002</v>
      </c>
      <c r="Q27">
        <v>3743501</v>
      </c>
      <c r="R27">
        <v>4346204.6610000003</v>
      </c>
      <c r="U27">
        <v>0.17499999999999999</v>
      </c>
      <c r="V27" t="s">
        <v>159</v>
      </c>
      <c r="W27" t="s">
        <v>332</v>
      </c>
      <c r="X27" t="s">
        <v>22</v>
      </c>
    </row>
    <row r="28" spans="1:24" x14ac:dyDescent="0.3">
      <c r="A28" s="1">
        <v>45778</v>
      </c>
      <c r="B28" t="s">
        <v>41</v>
      </c>
      <c r="C28">
        <v>472104</v>
      </c>
      <c r="D28">
        <v>548112.74400000006</v>
      </c>
      <c r="E28">
        <v>339846</v>
      </c>
      <c r="F28">
        <v>394561.20600000001</v>
      </c>
      <c r="G28">
        <v>4248729</v>
      </c>
      <c r="H28">
        <v>4932774.3689999999</v>
      </c>
      <c r="I28">
        <v>417054</v>
      </c>
      <c r="J28">
        <v>484199.69400000002</v>
      </c>
      <c r="K28">
        <v>254239</v>
      </c>
      <c r="L28">
        <v>295171.47899999999</v>
      </c>
      <c r="M28">
        <v>50097</v>
      </c>
      <c r="N28">
        <v>58162.616999999998</v>
      </c>
      <c r="O28">
        <v>12460</v>
      </c>
      <c r="P28">
        <v>14466.06</v>
      </c>
      <c r="Q28">
        <v>965183</v>
      </c>
      <c r="R28">
        <v>1120577.463</v>
      </c>
      <c r="S28">
        <v>1041882</v>
      </c>
      <c r="T28">
        <v>1209625.0020000001</v>
      </c>
      <c r="U28">
        <v>-0.154</v>
      </c>
      <c r="V28" t="s">
        <v>159</v>
      </c>
      <c r="W28" t="s">
        <v>156</v>
      </c>
      <c r="X28" t="s">
        <v>332</v>
      </c>
    </row>
    <row r="29" spans="1:24" x14ac:dyDescent="0.3">
      <c r="A29" s="1">
        <v>45778</v>
      </c>
      <c r="B29" t="s">
        <v>113</v>
      </c>
      <c r="C29">
        <v>167419</v>
      </c>
      <c r="D29">
        <v>45588.193699999996</v>
      </c>
      <c r="E29">
        <v>1606758</v>
      </c>
      <c r="F29">
        <v>437520.2034</v>
      </c>
      <c r="G29">
        <v>2774665</v>
      </c>
      <c r="H29">
        <v>755541.27949999995</v>
      </c>
      <c r="I29">
        <v>255782</v>
      </c>
      <c r="J29">
        <v>69649.438599999994</v>
      </c>
      <c r="K29">
        <v>1112067</v>
      </c>
      <c r="L29">
        <v>302815.84409999999</v>
      </c>
      <c r="M29">
        <v>25313</v>
      </c>
      <c r="N29">
        <v>6892.7298999999994</v>
      </c>
      <c r="O29">
        <v>46282</v>
      </c>
      <c r="P29">
        <v>12602.588599999999</v>
      </c>
      <c r="Q29">
        <v>3502942</v>
      </c>
      <c r="R29">
        <v>953851.10659999994</v>
      </c>
      <c r="S29">
        <v>4145930</v>
      </c>
      <c r="T29">
        <v>1128936.7390000001</v>
      </c>
      <c r="U29">
        <v>2.7E-2</v>
      </c>
      <c r="V29" t="s">
        <v>153</v>
      </c>
      <c r="W29" t="s">
        <v>156</v>
      </c>
      <c r="X29" t="s">
        <v>163</v>
      </c>
    </row>
    <row r="30" spans="1:24" x14ac:dyDescent="0.3">
      <c r="A30" s="1">
        <v>45778</v>
      </c>
      <c r="B30" t="s">
        <v>36</v>
      </c>
      <c r="C30">
        <v>463916</v>
      </c>
      <c r="D30">
        <v>463916</v>
      </c>
      <c r="E30">
        <v>1865950</v>
      </c>
      <c r="F30">
        <v>1865950</v>
      </c>
      <c r="G30">
        <v>1518115</v>
      </c>
      <c r="H30">
        <v>1518115</v>
      </c>
      <c r="I30">
        <v>783709</v>
      </c>
      <c r="J30">
        <v>783709</v>
      </c>
      <c r="K30">
        <v>1805491</v>
      </c>
      <c r="L30">
        <v>1805491</v>
      </c>
      <c r="M30">
        <v>80509</v>
      </c>
      <c r="N30">
        <v>80509</v>
      </c>
      <c r="O30">
        <v>41325</v>
      </c>
      <c r="P30">
        <v>41325</v>
      </c>
      <c r="Q30">
        <v>5013662</v>
      </c>
      <c r="R30">
        <v>5013662</v>
      </c>
      <c r="S30">
        <v>1607248</v>
      </c>
      <c r="T30">
        <v>1607248</v>
      </c>
      <c r="U30">
        <v>0.155</v>
      </c>
      <c r="V30" t="s">
        <v>152</v>
      </c>
      <c r="W30" t="s">
        <v>332</v>
      </c>
      <c r="X30" t="s">
        <v>163</v>
      </c>
    </row>
    <row r="31" spans="1:24" x14ac:dyDescent="0.3">
      <c r="A31" s="1">
        <v>45778</v>
      </c>
      <c r="B31" t="s">
        <v>20</v>
      </c>
      <c r="C31">
        <v>76840</v>
      </c>
      <c r="D31">
        <v>89211.24</v>
      </c>
      <c r="E31">
        <v>1004135</v>
      </c>
      <c r="F31">
        <v>1165800.7350000001</v>
      </c>
      <c r="G31">
        <v>798345</v>
      </c>
      <c r="H31">
        <v>926878.54500000004</v>
      </c>
      <c r="I31">
        <v>146837</v>
      </c>
      <c r="J31">
        <v>170477.75700000001</v>
      </c>
      <c r="K31">
        <v>2895465</v>
      </c>
      <c r="L31">
        <v>3361634.8650000002</v>
      </c>
      <c r="M31">
        <v>67264</v>
      </c>
      <c r="N31">
        <v>78093.504000000001</v>
      </c>
      <c r="O31">
        <v>33607</v>
      </c>
      <c r="P31">
        <v>39017.726999999999</v>
      </c>
      <c r="Q31">
        <v>948654</v>
      </c>
      <c r="R31">
        <v>1101387.294</v>
      </c>
      <c r="S31">
        <v>5306836</v>
      </c>
      <c r="T31">
        <v>6161236.5959999999</v>
      </c>
      <c r="V31" t="s">
        <v>159</v>
      </c>
      <c r="W31" t="s">
        <v>332</v>
      </c>
      <c r="X31" t="s">
        <v>163</v>
      </c>
    </row>
    <row r="32" spans="1:24" x14ac:dyDescent="0.3">
      <c r="A32" s="1">
        <v>45778</v>
      </c>
      <c r="B32" t="s">
        <v>52</v>
      </c>
      <c r="E32">
        <v>491423</v>
      </c>
      <c r="F32">
        <v>131062.5141</v>
      </c>
      <c r="G32">
        <v>356807</v>
      </c>
      <c r="H32">
        <v>95160.426899999991</v>
      </c>
      <c r="I32">
        <v>656810</v>
      </c>
      <c r="J32">
        <v>175171.22699999998</v>
      </c>
      <c r="M32">
        <v>97986</v>
      </c>
      <c r="N32">
        <v>26132.8662</v>
      </c>
      <c r="O32">
        <v>9002</v>
      </c>
      <c r="P32">
        <v>2400.8334</v>
      </c>
      <c r="Q32">
        <v>7523207</v>
      </c>
      <c r="R32">
        <v>2006439.3069</v>
      </c>
      <c r="S32">
        <v>4681614</v>
      </c>
      <c r="T32">
        <v>1248586.4538</v>
      </c>
      <c r="U32">
        <v>0.113</v>
      </c>
      <c r="V32" t="s">
        <v>162</v>
      </c>
      <c r="W32" t="s">
        <v>161</v>
      </c>
      <c r="X32" t="s">
        <v>332</v>
      </c>
    </row>
    <row r="33" spans="1:24" x14ac:dyDescent="0.3">
      <c r="A33" s="1">
        <v>45809</v>
      </c>
      <c r="B33" t="s">
        <v>20</v>
      </c>
      <c r="C33">
        <v>78156</v>
      </c>
      <c r="D33">
        <v>78156</v>
      </c>
      <c r="E33">
        <v>584893</v>
      </c>
      <c r="F33">
        <v>584893</v>
      </c>
      <c r="G33">
        <v>868348</v>
      </c>
      <c r="H33">
        <v>868348</v>
      </c>
      <c r="I33">
        <v>535127</v>
      </c>
      <c r="J33">
        <v>535127</v>
      </c>
      <c r="K33">
        <v>2268968</v>
      </c>
      <c r="L33">
        <v>2268968</v>
      </c>
      <c r="M33">
        <v>73089</v>
      </c>
      <c r="N33">
        <v>73089</v>
      </c>
      <c r="O33">
        <v>12769</v>
      </c>
      <c r="P33">
        <v>12769</v>
      </c>
      <c r="Q33">
        <v>4938675</v>
      </c>
      <c r="R33">
        <v>4938675</v>
      </c>
      <c r="S33">
        <v>8139560</v>
      </c>
      <c r="T33">
        <v>8139560</v>
      </c>
      <c r="V33" t="s">
        <v>152</v>
      </c>
      <c r="W33" t="s">
        <v>161</v>
      </c>
      <c r="X33" t="s">
        <v>22</v>
      </c>
    </row>
    <row r="34" spans="1:24" x14ac:dyDescent="0.3">
      <c r="A34" s="1">
        <v>45809</v>
      </c>
      <c r="B34" t="s">
        <v>41</v>
      </c>
      <c r="C34">
        <v>259252</v>
      </c>
      <c r="D34">
        <v>300991.57199999999</v>
      </c>
      <c r="E34">
        <v>147184</v>
      </c>
      <c r="F34">
        <v>170880.62400000001</v>
      </c>
      <c r="G34">
        <v>257713</v>
      </c>
      <c r="H34">
        <v>299204.79300000001</v>
      </c>
      <c r="K34">
        <v>2827186</v>
      </c>
      <c r="L34">
        <v>3282362.946</v>
      </c>
      <c r="M34">
        <v>65148</v>
      </c>
      <c r="N34">
        <v>75636.828000000009</v>
      </c>
      <c r="O34">
        <v>19462</v>
      </c>
      <c r="P34">
        <v>22595.382000000001</v>
      </c>
      <c r="Q34">
        <v>1819350</v>
      </c>
      <c r="R34">
        <v>2112265.35</v>
      </c>
      <c r="S34">
        <v>8062907</v>
      </c>
      <c r="T34">
        <v>9361035.0270000007</v>
      </c>
      <c r="U34">
        <v>4.2999999999999997E-2</v>
      </c>
      <c r="V34" t="s">
        <v>159</v>
      </c>
      <c r="W34" t="s">
        <v>156</v>
      </c>
      <c r="X34" t="s">
        <v>22</v>
      </c>
    </row>
    <row r="35" spans="1:24" x14ac:dyDescent="0.3">
      <c r="A35" s="1">
        <v>45809</v>
      </c>
      <c r="B35" t="s">
        <v>113</v>
      </c>
      <c r="C35">
        <v>357745</v>
      </c>
      <c r="D35">
        <v>97413.963499999998</v>
      </c>
      <c r="E35">
        <v>237654</v>
      </c>
      <c r="F35">
        <v>64713.184199999996</v>
      </c>
      <c r="G35">
        <v>1778949</v>
      </c>
      <c r="H35">
        <v>484407.81269999995</v>
      </c>
      <c r="I35">
        <v>388318</v>
      </c>
      <c r="J35">
        <v>105738.9914</v>
      </c>
      <c r="K35">
        <v>285642</v>
      </c>
      <c r="L35">
        <v>77780.316599999991</v>
      </c>
      <c r="M35">
        <v>34594</v>
      </c>
      <c r="N35">
        <v>9419.9462000000003</v>
      </c>
      <c r="O35">
        <v>47860</v>
      </c>
      <c r="P35">
        <v>13032.278</v>
      </c>
      <c r="Q35">
        <v>4363388</v>
      </c>
      <c r="R35">
        <v>1188150.5523999999</v>
      </c>
      <c r="S35">
        <v>4781432</v>
      </c>
      <c r="T35">
        <v>1301983.9335999999</v>
      </c>
      <c r="U35">
        <v>6.9000000000000006E-2</v>
      </c>
      <c r="V35" t="s">
        <v>153</v>
      </c>
      <c r="W35" t="s">
        <v>161</v>
      </c>
      <c r="X35" t="s">
        <v>160</v>
      </c>
    </row>
    <row r="36" spans="1:24" x14ac:dyDescent="0.3">
      <c r="A36" s="1">
        <v>45809</v>
      </c>
      <c r="B36" t="s">
        <v>36</v>
      </c>
      <c r="C36">
        <v>166872</v>
      </c>
      <c r="D36">
        <v>166872</v>
      </c>
      <c r="E36">
        <v>635844</v>
      </c>
      <c r="F36">
        <v>635844</v>
      </c>
      <c r="G36">
        <v>547700</v>
      </c>
      <c r="H36">
        <v>547700</v>
      </c>
      <c r="I36">
        <v>802542</v>
      </c>
      <c r="J36">
        <v>802542</v>
      </c>
      <c r="K36">
        <v>2123435</v>
      </c>
      <c r="L36">
        <v>2123435</v>
      </c>
      <c r="M36">
        <v>52522</v>
      </c>
      <c r="N36">
        <v>52522</v>
      </c>
      <c r="O36">
        <v>5165</v>
      </c>
      <c r="P36">
        <v>5165</v>
      </c>
      <c r="Q36">
        <v>577997</v>
      </c>
      <c r="R36">
        <v>577997</v>
      </c>
      <c r="S36">
        <v>2954033</v>
      </c>
      <c r="T36">
        <v>2954033</v>
      </c>
      <c r="U36">
        <v>-0.159</v>
      </c>
      <c r="V36" t="s">
        <v>152</v>
      </c>
      <c r="W36" t="s">
        <v>161</v>
      </c>
      <c r="X36" t="s">
        <v>160</v>
      </c>
    </row>
    <row r="37" spans="1:24" x14ac:dyDescent="0.3">
      <c r="A37" s="1">
        <v>45809</v>
      </c>
      <c r="B37" t="s">
        <v>20</v>
      </c>
      <c r="C37">
        <v>92044</v>
      </c>
      <c r="D37">
        <v>106863.084</v>
      </c>
      <c r="E37">
        <v>1851363</v>
      </c>
      <c r="F37">
        <v>2149432.443</v>
      </c>
      <c r="G37">
        <v>3835239</v>
      </c>
      <c r="H37">
        <v>4452712.4790000003</v>
      </c>
      <c r="I37">
        <v>913960</v>
      </c>
      <c r="J37">
        <v>1061107.56</v>
      </c>
      <c r="K37">
        <v>46623</v>
      </c>
      <c r="L37">
        <v>54129.303</v>
      </c>
      <c r="M37">
        <v>78284</v>
      </c>
      <c r="N37">
        <v>90887.724000000002</v>
      </c>
      <c r="O37">
        <v>45594</v>
      </c>
      <c r="P37">
        <v>52934.633999999998</v>
      </c>
      <c r="Q37">
        <v>1630199</v>
      </c>
      <c r="R37">
        <v>1892661.0390000001</v>
      </c>
      <c r="S37">
        <v>6082594</v>
      </c>
      <c r="T37">
        <v>7061891.6340000005</v>
      </c>
      <c r="U37">
        <v>0.14599999999999999</v>
      </c>
      <c r="V37" t="s">
        <v>159</v>
      </c>
      <c r="W37" t="s">
        <v>332</v>
      </c>
      <c r="X37" t="s">
        <v>163</v>
      </c>
    </row>
    <row r="38" spans="1:24" x14ac:dyDescent="0.3">
      <c r="A38" s="1">
        <v>45809</v>
      </c>
      <c r="B38" t="s">
        <v>52</v>
      </c>
      <c r="C38">
        <v>440423</v>
      </c>
      <c r="D38">
        <v>440423</v>
      </c>
      <c r="E38">
        <v>1011997</v>
      </c>
      <c r="F38">
        <v>1011997</v>
      </c>
      <c r="G38">
        <v>4703910</v>
      </c>
      <c r="H38">
        <v>4703910</v>
      </c>
      <c r="I38">
        <v>249099</v>
      </c>
      <c r="J38">
        <v>249099</v>
      </c>
      <c r="K38">
        <v>1977920</v>
      </c>
      <c r="L38">
        <v>1977920</v>
      </c>
      <c r="M38">
        <v>73687</v>
      </c>
      <c r="N38">
        <v>73687</v>
      </c>
      <c r="O38">
        <v>47952</v>
      </c>
      <c r="P38">
        <v>47952</v>
      </c>
      <c r="Q38">
        <v>1439274</v>
      </c>
      <c r="R38">
        <v>1439274</v>
      </c>
      <c r="U38">
        <v>0.17399999999999999</v>
      </c>
      <c r="V38" t="s">
        <v>152</v>
      </c>
      <c r="W38" t="s">
        <v>154</v>
      </c>
      <c r="X38" t="s">
        <v>332</v>
      </c>
    </row>
    <row r="39" spans="1:24" x14ac:dyDescent="0.3">
      <c r="A39" s="1">
        <v>45839</v>
      </c>
      <c r="B39" t="s">
        <v>20</v>
      </c>
      <c r="C39">
        <v>301835</v>
      </c>
      <c r="D39">
        <v>301835</v>
      </c>
      <c r="E39">
        <v>697606</v>
      </c>
      <c r="F39">
        <v>697606</v>
      </c>
      <c r="G39">
        <v>3735011</v>
      </c>
      <c r="H39">
        <v>3735011</v>
      </c>
      <c r="I39">
        <v>261321</v>
      </c>
      <c r="J39">
        <v>261321</v>
      </c>
      <c r="M39">
        <v>78373</v>
      </c>
      <c r="N39">
        <v>78373</v>
      </c>
      <c r="O39">
        <v>46602</v>
      </c>
      <c r="P39">
        <v>46602</v>
      </c>
      <c r="Q39">
        <v>3393717</v>
      </c>
      <c r="R39">
        <v>3393717</v>
      </c>
      <c r="S39">
        <v>1629359</v>
      </c>
      <c r="T39">
        <v>1629359</v>
      </c>
      <c r="U39">
        <v>4.5999999999999999E-2</v>
      </c>
      <c r="V39" t="s">
        <v>152</v>
      </c>
      <c r="W39" t="s">
        <v>156</v>
      </c>
      <c r="X39" t="s">
        <v>332</v>
      </c>
    </row>
    <row r="40" spans="1:24" x14ac:dyDescent="0.3">
      <c r="A40" s="1">
        <v>45839</v>
      </c>
      <c r="B40" t="s">
        <v>41</v>
      </c>
      <c r="C40">
        <v>228883</v>
      </c>
      <c r="D40">
        <v>62324.840899999996</v>
      </c>
      <c r="E40">
        <v>1549169</v>
      </c>
      <c r="F40">
        <v>421838.71869999997</v>
      </c>
      <c r="G40">
        <v>3360234</v>
      </c>
      <c r="H40">
        <v>914991.7182</v>
      </c>
      <c r="I40">
        <v>653900</v>
      </c>
      <c r="J40">
        <v>178056.97</v>
      </c>
      <c r="K40">
        <v>1001373</v>
      </c>
      <c r="L40">
        <v>272673.86790000001</v>
      </c>
      <c r="M40">
        <v>8273</v>
      </c>
      <c r="N40">
        <v>2252.7379000000001</v>
      </c>
      <c r="O40">
        <v>28903</v>
      </c>
      <c r="P40">
        <v>7870.2869000000001</v>
      </c>
      <c r="Q40">
        <v>1046944</v>
      </c>
      <c r="R40">
        <v>285082.85119999998</v>
      </c>
      <c r="S40">
        <v>629433</v>
      </c>
      <c r="T40">
        <v>171394.6059</v>
      </c>
      <c r="U40">
        <v>6.0999999999999999E-2</v>
      </c>
      <c r="V40" t="s">
        <v>153</v>
      </c>
      <c r="W40" t="s">
        <v>332</v>
      </c>
      <c r="X40" t="s">
        <v>163</v>
      </c>
    </row>
    <row r="41" spans="1:24" x14ac:dyDescent="0.3">
      <c r="A41" s="1">
        <v>45839</v>
      </c>
      <c r="B41" t="s">
        <v>113</v>
      </c>
      <c r="C41">
        <v>492132</v>
      </c>
      <c r="D41">
        <v>131251.60439999998</v>
      </c>
      <c r="E41">
        <v>1073160</v>
      </c>
      <c r="F41">
        <v>286211.772</v>
      </c>
      <c r="G41">
        <v>1201141</v>
      </c>
      <c r="H41">
        <v>320344.30469999998</v>
      </c>
      <c r="I41">
        <v>115338</v>
      </c>
      <c r="J41">
        <v>30760.6446</v>
      </c>
      <c r="K41">
        <v>2729252</v>
      </c>
      <c r="L41">
        <v>727891.50839999993</v>
      </c>
      <c r="M41">
        <v>43854</v>
      </c>
      <c r="N41">
        <v>11695.861800000001</v>
      </c>
      <c r="O41">
        <v>32955</v>
      </c>
      <c r="P41">
        <v>8789.0985000000001</v>
      </c>
      <c r="Q41">
        <v>2167441</v>
      </c>
      <c r="R41">
        <v>578056.51469999994</v>
      </c>
      <c r="S41">
        <v>810547</v>
      </c>
      <c r="T41">
        <v>216172.8849</v>
      </c>
      <c r="U41">
        <v>-8.0000000000000002E-3</v>
      </c>
      <c r="V41" t="s">
        <v>162</v>
      </c>
      <c r="W41" t="s">
        <v>332</v>
      </c>
      <c r="X41" t="s">
        <v>160</v>
      </c>
    </row>
    <row r="42" spans="1:24" x14ac:dyDescent="0.3">
      <c r="A42" s="1">
        <v>45839</v>
      </c>
      <c r="B42" t="s">
        <v>36</v>
      </c>
      <c r="C42">
        <v>193254</v>
      </c>
      <c r="D42">
        <v>53086.873800000001</v>
      </c>
      <c r="E42">
        <v>790846</v>
      </c>
      <c r="F42">
        <v>217245.39619999999</v>
      </c>
      <c r="G42">
        <v>3230924</v>
      </c>
      <c r="H42">
        <v>887534.82279999997</v>
      </c>
      <c r="I42">
        <v>168960</v>
      </c>
      <c r="J42">
        <v>46413.311999999998</v>
      </c>
      <c r="K42">
        <v>949709</v>
      </c>
      <c r="L42">
        <v>260885.06229999999</v>
      </c>
      <c r="M42">
        <v>14067</v>
      </c>
      <c r="N42">
        <v>3864.2049000000002</v>
      </c>
      <c r="O42">
        <v>27769</v>
      </c>
      <c r="P42">
        <v>7628.1442999999999</v>
      </c>
      <c r="Q42">
        <v>6731195</v>
      </c>
      <c r="R42">
        <v>1849059.2664999999</v>
      </c>
      <c r="S42">
        <v>4903079</v>
      </c>
      <c r="T42">
        <v>1346875.8012999999</v>
      </c>
      <c r="U42">
        <v>-0.10199999999999999</v>
      </c>
      <c r="V42" t="s">
        <v>155</v>
      </c>
      <c r="W42" t="s">
        <v>332</v>
      </c>
      <c r="X42" t="s">
        <v>160</v>
      </c>
    </row>
    <row r="43" spans="1:24" x14ac:dyDescent="0.3">
      <c r="A43" s="1">
        <v>45839</v>
      </c>
      <c r="B43" t="s">
        <v>20</v>
      </c>
      <c r="C43">
        <v>310194</v>
      </c>
      <c r="D43">
        <v>84465.826199999996</v>
      </c>
      <c r="E43">
        <v>1761052</v>
      </c>
      <c r="F43">
        <v>479534.4596</v>
      </c>
      <c r="G43">
        <v>1836909</v>
      </c>
      <c r="H43">
        <v>500190.32069999998</v>
      </c>
      <c r="I43">
        <v>570912</v>
      </c>
      <c r="J43">
        <v>155459.3376</v>
      </c>
      <c r="K43">
        <v>1986286</v>
      </c>
      <c r="L43">
        <v>540865.67779999995</v>
      </c>
      <c r="M43">
        <v>68165</v>
      </c>
      <c r="N43">
        <v>18561.3295</v>
      </c>
      <c r="O43">
        <v>4508</v>
      </c>
      <c r="P43">
        <v>1227.5283999999999</v>
      </c>
      <c r="Q43">
        <v>3083846</v>
      </c>
      <c r="R43">
        <v>839731.26579999994</v>
      </c>
      <c r="S43">
        <v>8750158</v>
      </c>
      <c r="T43">
        <v>2382668.0233999998</v>
      </c>
      <c r="U43">
        <v>1E-3</v>
      </c>
      <c r="V43" t="s">
        <v>153</v>
      </c>
      <c r="W43" t="s">
        <v>332</v>
      </c>
      <c r="X43" t="s">
        <v>163</v>
      </c>
    </row>
    <row r="44" spans="1:24" x14ac:dyDescent="0.3">
      <c r="A44" s="1">
        <v>45839</v>
      </c>
      <c r="B44" t="s">
        <v>52</v>
      </c>
      <c r="C44">
        <v>377446</v>
      </c>
      <c r="D44">
        <v>377446</v>
      </c>
      <c r="E44">
        <v>972951</v>
      </c>
      <c r="F44">
        <v>972951</v>
      </c>
      <c r="G44">
        <v>2564406</v>
      </c>
      <c r="H44">
        <v>2564406</v>
      </c>
      <c r="I44">
        <v>426832</v>
      </c>
      <c r="J44">
        <v>426832</v>
      </c>
      <c r="K44">
        <v>2512845</v>
      </c>
      <c r="L44">
        <v>2512845</v>
      </c>
      <c r="M44">
        <v>26276</v>
      </c>
      <c r="N44">
        <v>26276</v>
      </c>
      <c r="O44">
        <v>2212</v>
      </c>
      <c r="P44">
        <v>2212</v>
      </c>
      <c r="Q44">
        <v>7827152</v>
      </c>
      <c r="R44">
        <v>7827152</v>
      </c>
      <c r="S44">
        <v>4868465</v>
      </c>
      <c r="T44">
        <v>4868465</v>
      </c>
      <c r="U44">
        <v>0.17399999999999999</v>
      </c>
      <c r="V44" t="s">
        <v>152</v>
      </c>
      <c r="W44" t="s">
        <v>332</v>
      </c>
      <c r="X44" t="s">
        <v>22</v>
      </c>
    </row>
    <row r="45" spans="1:24" x14ac:dyDescent="0.3">
      <c r="A45" s="1">
        <v>45870</v>
      </c>
      <c r="B45" t="s">
        <v>20</v>
      </c>
      <c r="C45">
        <v>269059</v>
      </c>
      <c r="D45">
        <v>269059</v>
      </c>
      <c r="E45">
        <v>1345791</v>
      </c>
      <c r="F45">
        <v>1345791</v>
      </c>
      <c r="G45">
        <v>2715149</v>
      </c>
      <c r="H45">
        <v>2715149</v>
      </c>
      <c r="I45">
        <v>277302</v>
      </c>
      <c r="J45">
        <v>277302</v>
      </c>
      <c r="K45">
        <v>791981</v>
      </c>
      <c r="L45">
        <v>791981</v>
      </c>
      <c r="M45">
        <v>57020</v>
      </c>
      <c r="N45">
        <v>57020</v>
      </c>
      <c r="O45">
        <v>1356</v>
      </c>
      <c r="P45">
        <v>1356</v>
      </c>
      <c r="Q45">
        <v>7784230</v>
      </c>
      <c r="R45">
        <v>7784230</v>
      </c>
      <c r="S45">
        <v>904930</v>
      </c>
      <c r="T45">
        <v>904930</v>
      </c>
      <c r="V45" t="s">
        <v>152</v>
      </c>
      <c r="W45" t="s">
        <v>156</v>
      </c>
      <c r="X45" t="s">
        <v>157</v>
      </c>
    </row>
    <row r="46" spans="1:24" x14ac:dyDescent="0.3">
      <c r="A46" s="1">
        <v>45870</v>
      </c>
      <c r="B46" t="s">
        <v>41</v>
      </c>
      <c r="C46">
        <v>431118</v>
      </c>
      <c r="D46">
        <v>431118</v>
      </c>
      <c r="E46">
        <v>135830</v>
      </c>
      <c r="F46">
        <v>135830</v>
      </c>
      <c r="G46">
        <v>1579273</v>
      </c>
      <c r="H46">
        <v>1579273</v>
      </c>
      <c r="M46">
        <v>51382</v>
      </c>
      <c r="N46">
        <v>51382</v>
      </c>
      <c r="O46">
        <v>42099</v>
      </c>
      <c r="P46">
        <v>42099</v>
      </c>
      <c r="Q46">
        <v>5925397</v>
      </c>
      <c r="R46">
        <v>5925397</v>
      </c>
      <c r="S46">
        <v>3157814</v>
      </c>
      <c r="T46">
        <v>3157814</v>
      </c>
      <c r="U46">
        <v>1.4999999999999999E-2</v>
      </c>
      <c r="V46" t="s">
        <v>152</v>
      </c>
      <c r="W46" t="s">
        <v>161</v>
      </c>
      <c r="X46" t="s">
        <v>157</v>
      </c>
    </row>
    <row r="47" spans="1:24" x14ac:dyDescent="0.3">
      <c r="A47" s="1">
        <v>45870</v>
      </c>
      <c r="B47" t="s">
        <v>113</v>
      </c>
      <c r="C47">
        <v>86630</v>
      </c>
      <c r="D47">
        <v>23589.348999999998</v>
      </c>
      <c r="E47">
        <v>1954426</v>
      </c>
      <c r="F47">
        <v>532190.19979999994</v>
      </c>
      <c r="G47">
        <v>2246079</v>
      </c>
      <c r="H47">
        <v>611607.31169999996</v>
      </c>
      <c r="I47">
        <v>855704</v>
      </c>
      <c r="J47">
        <v>233008.1992</v>
      </c>
      <c r="K47">
        <v>1808530</v>
      </c>
      <c r="L47">
        <v>492462.71899999998</v>
      </c>
      <c r="M47">
        <v>93763</v>
      </c>
      <c r="N47">
        <v>25531.6649</v>
      </c>
      <c r="O47">
        <v>4880</v>
      </c>
      <c r="P47">
        <v>1328.8239999999998</v>
      </c>
      <c r="Q47">
        <v>6290268</v>
      </c>
      <c r="R47">
        <v>1712839.9763999998</v>
      </c>
      <c r="S47">
        <v>5980558</v>
      </c>
      <c r="T47">
        <v>1628505.9434</v>
      </c>
      <c r="U47">
        <v>-0.187</v>
      </c>
      <c r="V47" t="s">
        <v>153</v>
      </c>
      <c r="W47" t="s">
        <v>161</v>
      </c>
      <c r="X47" t="s">
        <v>160</v>
      </c>
    </row>
    <row r="48" spans="1:24" x14ac:dyDescent="0.3">
      <c r="A48" s="1">
        <v>45870</v>
      </c>
      <c r="B48" t="s">
        <v>36</v>
      </c>
      <c r="C48">
        <v>305749</v>
      </c>
      <c r="D48">
        <v>83255.452699999994</v>
      </c>
      <c r="E48">
        <v>175119</v>
      </c>
      <c r="F48">
        <v>47684.903699999995</v>
      </c>
      <c r="G48">
        <v>2175980</v>
      </c>
      <c r="H48">
        <v>592519.35399999993</v>
      </c>
      <c r="I48">
        <v>587492</v>
      </c>
      <c r="J48">
        <v>159974.0716</v>
      </c>
      <c r="K48">
        <v>1266641</v>
      </c>
      <c r="L48">
        <v>344906.3443</v>
      </c>
      <c r="M48">
        <v>81964</v>
      </c>
      <c r="N48">
        <v>22318.797199999997</v>
      </c>
      <c r="O48">
        <v>20220</v>
      </c>
      <c r="P48">
        <v>5505.9059999999999</v>
      </c>
      <c r="Q48">
        <v>1036459</v>
      </c>
      <c r="R48">
        <v>282227.78570000001</v>
      </c>
      <c r="S48">
        <v>3462599</v>
      </c>
      <c r="T48">
        <v>942865.70769999991</v>
      </c>
      <c r="U48">
        <v>1.0999999999999999E-2</v>
      </c>
      <c r="V48" t="s">
        <v>153</v>
      </c>
      <c r="W48" t="s">
        <v>332</v>
      </c>
      <c r="X48" t="s">
        <v>163</v>
      </c>
    </row>
    <row r="49" spans="1:24" x14ac:dyDescent="0.3">
      <c r="A49" s="1">
        <v>45870</v>
      </c>
      <c r="B49" t="s">
        <v>20</v>
      </c>
      <c r="C49">
        <v>494791</v>
      </c>
      <c r="D49">
        <v>134731.58929999999</v>
      </c>
      <c r="E49">
        <v>110263</v>
      </c>
      <c r="F49">
        <v>30024.614899999997</v>
      </c>
      <c r="G49">
        <v>1741548</v>
      </c>
      <c r="H49">
        <v>474223.52039999998</v>
      </c>
      <c r="I49">
        <v>203939</v>
      </c>
      <c r="J49">
        <v>55532.589699999997</v>
      </c>
      <c r="K49">
        <v>389013</v>
      </c>
      <c r="L49">
        <v>105928.2399</v>
      </c>
      <c r="M49">
        <v>70250</v>
      </c>
      <c r="N49">
        <v>19129.075000000001</v>
      </c>
      <c r="O49">
        <v>44097</v>
      </c>
      <c r="P49">
        <v>12007.613099999999</v>
      </c>
      <c r="Q49">
        <v>1622650</v>
      </c>
      <c r="R49">
        <v>441847.59499999997</v>
      </c>
      <c r="S49">
        <v>2171940</v>
      </c>
      <c r="T49">
        <v>591419.26199999999</v>
      </c>
      <c r="U49">
        <v>2.3E-2</v>
      </c>
      <c r="V49" t="s">
        <v>153</v>
      </c>
      <c r="W49" t="s">
        <v>156</v>
      </c>
      <c r="X49" t="s">
        <v>332</v>
      </c>
    </row>
    <row r="50" spans="1:24" x14ac:dyDescent="0.3">
      <c r="A50" s="1">
        <v>45870</v>
      </c>
      <c r="B50" t="s">
        <v>52</v>
      </c>
      <c r="C50">
        <v>60630</v>
      </c>
      <c r="D50">
        <v>16170.020999999999</v>
      </c>
      <c r="E50">
        <v>280098</v>
      </c>
      <c r="F50">
        <v>74702.136599999998</v>
      </c>
      <c r="G50">
        <v>347991</v>
      </c>
      <c r="H50">
        <v>92809.199699999997</v>
      </c>
      <c r="I50">
        <v>722195</v>
      </c>
      <c r="J50">
        <v>192609.40649999998</v>
      </c>
      <c r="K50">
        <v>1112526</v>
      </c>
      <c r="L50">
        <v>296710.68420000002</v>
      </c>
      <c r="M50">
        <v>65260</v>
      </c>
      <c r="N50">
        <v>17404.842000000001</v>
      </c>
      <c r="O50">
        <v>41971</v>
      </c>
      <c r="P50">
        <v>11193.6657</v>
      </c>
      <c r="Q50">
        <v>5322596</v>
      </c>
      <c r="R50">
        <v>1419536.3532</v>
      </c>
      <c r="S50">
        <v>1260349</v>
      </c>
      <c r="T50">
        <v>336135.07829999999</v>
      </c>
      <c r="U50">
        <v>-4.9000000000000002E-2</v>
      </c>
      <c r="V50" t="s">
        <v>162</v>
      </c>
      <c r="W50" t="s">
        <v>154</v>
      </c>
      <c r="X50" t="s">
        <v>332</v>
      </c>
    </row>
    <row r="51" spans="1:24" x14ac:dyDescent="0.3">
      <c r="A51" s="1">
        <v>45901</v>
      </c>
      <c r="B51" t="s">
        <v>20</v>
      </c>
      <c r="C51">
        <v>421096</v>
      </c>
      <c r="D51">
        <v>488892.45600000001</v>
      </c>
      <c r="E51">
        <v>947198</v>
      </c>
      <c r="F51">
        <v>1099696.878</v>
      </c>
      <c r="G51">
        <v>4522227</v>
      </c>
      <c r="H51">
        <v>5250305.5470000003</v>
      </c>
      <c r="I51">
        <v>811393</v>
      </c>
      <c r="J51">
        <v>942027.27300000004</v>
      </c>
      <c r="K51">
        <v>1095152</v>
      </c>
      <c r="L51">
        <v>1271471.4720000001</v>
      </c>
      <c r="M51">
        <v>89302</v>
      </c>
      <c r="N51">
        <v>103679.622</v>
      </c>
      <c r="O51">
        <v>18944</v>
      </c>
      <c r="P51">
        <v>21993.984</v>
      </c>
      <c r="Q51">
        <v>3225068</v>
      </c>
      <c r="R51">
        <v>3744303.9480000003</v>
      </c>
      <c r="S51">
        <v>5839195</v>
      </c>
      <c r="T51">
        <v>6779305.3950000005</v>
      </c>
      <c r="U51">
        <v>0.13600000000000001</v>
      </c>
      <c r="V51" t="s">
        <v>159</v>
      </c>
      <c r="W51" t="s">
        <v>154</v>
      </c>
      <c r="X51" t="s">
        <v>163</v>
      </c>
    </row>
    <row r="52" spans="1:24" x14ac:dyDescent="0.3">
      <c r="A52" s="1">
        <v>45901</v>
      </c>
      <c r="B52" t="s">
        <v>41</v>
      </c>
      <c r="C52">
        <v>53615</v>
      </c>
      <c r="D52">
        <v>53615</v>
      </c>
      <c r="E52">
        <v>307816</v>
      </c>
      <c r="F52">
        <v>307816</v>
      </c>
      <c r="G52">
        <v>3397270</v>
      </c>
      <c r="H52">
        <v>3397270</v>
      </c>
      <c r="I52">
        <v>901671</v>
      </c>
      <c r="J52">
        <v>901671</v>
      </c>
      <c r="K52">
        <v>988046</v>
      </c>
      <c r="L52">
        <v>988046</v>
      </c>
      <c r="M52">
        <v>42280</v>
      </c>
      <c r="N52">
        <v>42280</v>
      </c>
      <c r="O52">
        <v>12573</v>
      </c>
      <c r="P52">
        <v>12573</v>
      </c>
      <c r="Q52">
        <v>3569990</v>
      </c>
      <c r="R52">
        <v>3569990</v>
      </c>
      <c r="S52">
        <v>1183783</v>
      </c>
      <c r="T52">
        <v>1183783</v>
      </c>
      <c r="U52">
        <v>0.16400000000000001</v>
      </c>
      <c r="V52" t="s">
        <v>152</v>
      </c>
      <c r="W52" t="s">
        <v>156</v>
      </c>
      <c r="X52" t="s">
        <v>332</v>
      </c>
    </row>
    <row r="53" spans="1:24" x14ac:dyDescent="0.3">
      <c r="A53" s="1">
        <v>45901</v>
      </c>
      <c r="B53" t="s">
        <v>113</v>
      </c>
      <c r="E53">
        <v>1332444</v>
      </c>
      <c r="F53">
        <v>1332444</v>
      </c>
      <c r="G53">
        <v>3085312</v>
      </c>
      <c r="H53">
        <v>3085312</v>
      </c>
      <c r="I53">
        <v>561812</v>
      </c>
      <c r="J53">
        <v>561812</v>
      </c>
      <c r="K53">
        <v>2108412</v>
      </c>
      <c r="L53">
        <v>2108412</v>
      </c>
      <c r="M53">
        <v>18383</v>
      </c>
      <c r="N53">
        <v>18383</v>
      </c>
      <c r="O53">
        <v>49089</v>
      </c>
      <c r="P53">
        <v>49089</v>
      </c>
      <c r="Q53">
        <v>6007874</v>
      </c>
      <c r="R53">
        <v>6007874</v>
      </c>
      <c r="S53">
        <v>5489455</v>
      </c>
      <c r="T53">
        <v>5489455</v>
      </c>
      <c r="U53">
        <v>-3.4000000000000002E-2</v>
      </c>
      <c r="V53" t="s">
        <v>152</v>
      </c>
      <c r="W53" t="s">
        <v>154</v>
      </c>
      <c r="X53" t="s">
        <v>157</v>
      </c>
    </row>
    <row r="54" spans="1:24" x14ac:dyDescent="0.3">
      <c r="A54" s="1">
        <v>45901</v>
      </c>
      <c r="B54" t="s">
        <v>36</v>
      </c>
      <c r="C54">
        <v>411901</v>
      </c>
      <c r="D54">
        <v>478217.06099999999</v>
      </c>
      <c r="E54">
        <v>1483310</v>
      </c>
      <c r="F54">
        <v>1722122.9100000001</v>
      </c>
      <c r="G54">
        <v>4183191</v>
      </c>
      <c r="H54">
        <v>4856684.7510000002</v>
      </c>
      <c r="I54">
        <v>528087</v>
      </c>
      <c r="J54">
        <v>613109.00699999998</v>
      </c>
      <c r="K54">
        <v>340049</v>
      </c>
      <c r="L54">
        <v>394796.88900000002</v>
      </c>
      <c r="M54">
        <v>38453</v>
      </c>
      <c r="N54">
        <v>44643.933000000005</v>
      </c>
      <c r="O54">
        <v>16689</v>
      </c>
      <c r="P54">
        <v>19375.929</v>
      </c>
      <c r="Q54">
        <v>7714569</v>
      </c>
      <c r="R54">
        <v>8956614.6090000011</v>
      </c>
      <c r="S54">
        <v>4808070</v>
      </c>
      <c r="T54">
        <v>5582169.2700000005</v>
      </c>
      <c r="U54">
        <v>-0.13400000000000001</v>
      </c>
      <c r="V54" t="s">
        <v>159</v>
      </c>
      <c r="W54" t="s">
        <v>156</v>
      </c>
      <c r="X54" t="s">
        <v>22</v>
      </c>
    </row>
    <row r="55" spans="1:24" x14ac:dyDescent="0.3">
      <c r="A55" s="1">
        <v>45901</v>
      </c>
      <c r="B55" t="s">
        <v>20</v>
      </c>
      <c r="C55">
        <v>79565</v>
      </c>
      <c r="D55">
        <v>21665.549499999997</v>
      </c>
      <c r="E55">
        <v>743558</v>
      </c>
      <c r="F55">
        <v>202470.84339999998</v>
      </c>
      <c r="G55">
        <v>212198</v>
      </c>
      <c r="H55">
        <v>57781.515399999997</v>
      </c>
      <c r="I55">
        <v>145660</v>
      </c>
      <c r="J55">
        <v>39663.218000000001</v>
      </c>
      <c r="K55">
        <v>1596355</v>
      </c>
      <c r="L55">
        <v>434687.46649999998</v>
      </c>
      <c r="M55">
        <v>19138</v>
      </c>
      <c r="N55">
        <v>5211.2773999999999</v>
      </c>
      <c r="O55">
        <v>25479</v>
      </c>
      <c r="P55">
        <v>6937.9317000000001</v>
      </c>
      <c r="Q55">
        <v>5154696</v>
      </c>
      <c r="R55">
        <v>1403623.7208</v>
      </c>
      <c r="S55">
        <v>2098350</v>
      </c>
      <c r="T55">
        <v>571380.70499999996</v>
      </c>
      <c r="U55">
        <v>1.7999999999999999E-2</v>
      </c>
      <c r="V55" t="s">
        <v>153</v>
      </c>
      <c r="W55" t="s">
        <v>156</v>
      </c>
      <c r="X55" t="s">
        <v>22</v>
      </c>
    </row>
    <row r="56" spans="1:24" x14ac:dyDescent="0.3">
      <c r="A56" s="1">
        <v>45901</v>
      </c>
      <c r="B56" t="s">
        <v>52</v>
      </c>
      <c r="C56">
        <v>367423</v>
      </c>
      <c r="D56">
        <v>426578.103</v>
      </c>
      <c r="E56">
        <v>802869</v>
      </c>
      <c r="F56">
        <v>932130.90899999999</v>
      </c>
      <c r="G56">
        <v>3846785</v>
      </c>
      <c r="H56">
        <v>4466117.3849999998</v>
      </c>
      <c r="K56">
        <v>2362149</v>
      </c>
      <c r="L56">
        <v>2742454.9890000001</v>
      </c>
      <c r="M56">
        <v>53358</v>
      </c>
      <c r="N56">
        <v>61948.637999999999</v>
      </c>
      <c r="O56">
        <v>18834</v>
      </c>
      <c r="P56">
        <v>21866.274000000001</v>
      </c>
      <c r="Q56">
        <v>5512455</v>
      </c>
      <c r="R56">
        <v>6399960.2549999999</v>
      </c>
      <c r="S56">
        <v>6739004</v>
      </c>
      <c r="T56">
        <v>7823983.6440000003</v>
      </c>
      <c r="U56">
        <v>0.16200000000000001</v>
      </c>
      <c r="V56" t="s">
        <v>159</v>
      </c>
      <c r="W56" t="s">
        <v>332</v>
      </c>
      <c r="X56" t="s">
        <v>22</v>
      </c>
    </row>
    <row r="57" spans="1:24" x14ac:dyDescent="0.3">
      <c r="A57" s="1">
        <v>45931</v>
      </c>
      <c r="B57" t="s">
        <v>20</v>
      </c>
      <c r="C57">
        <v>134116</v>
      </c>
      <c r="D57">
        <v>134116</v>
      </c>
      <c r="E57">
        <v>136231</v>
      </c>
      <c r="F57">
        <v>136231</v>
      </c>
      <c r="G57">
        <v>580841</v>
      </c>
      <c r="H57">
        <v>580841</v>
      </c>
      <c r="I57">
        <v>841460</v>
      </c>
      <c r="J57">
        <v>841460</v>
      </c>
      <c r="K57">
        <v>559954</v>
      </c>
      <c r="L57">
        <v>559954</v>
      </c>
      <c r="M57">
        <v>28428</v>
      </c>
      <c r="N57">
        <v>28428</v>
      </c>
      <c r="O57">
        <v>20250</v>
      </c>
      <c r="P57">
        <v>20250</v>
      </c>
      <c r="Q57">
        <v>712697</v>
      </c>
      <c r="R57">
        <v>712697</v>
      </c>
      <c r="S57">
        <v>6394748</v>
      </c>
      <c r="T57">
        <v>6394748</v>
      </c>
      <c r="V57" t="s">
        <v>152</v>
      </c>
      <c r="W57" t="s">
        <v>154</v>
      </c>
      <c r="X57" t="s">
        <v>160</v>
      </c>
    </row>
    <row r="58" spans="1:24" x14ac:dyDescent="0.3">
      <c r="A58" s="1">
        <v>45931</v>
      </c>
      <c r="B58" t="s">
        <v>41</v>
      </c>
      <c r="E58">
        <v>329064</v>
      </c>
      <c r="F58">
        <v>329064</v>
      </c>
      <c r="G58">
        <v>4050478</v>
      </c>
      <c r="H58">
        <v>4050478</v>
      </c>
      <c r="I58">
        <v>244464</v>
      </c>
      <c r="J58">
        <v>244464</v>
      </c>
      <c r="M58">
        <v>44394</v>
      </c>
      <c r="N58">
        <v>44394</v>
      </c>
      <c r="O58">
        <v>12407</v>
      </c>
      <c r="P58">
        <v>12407</v>
      </c>
      <c r="Q58">
        <v>2072273</v>
      </c>
      <c r="R58">
        <v>2072273</v>
      </c>
      <c r="U58">
        <v>-8.1000000000000003E-2</v>
      </c>
      <c r="V58" t="s">
        <v>152</v>
      </c>
      <c r="W58" t="s">
        <v>156</v>
      </c>
      <c r="X58" t="s">
        <v>160</v>
      </c>
    </row>
    <row r="59" spans="1:24" x14ac:dyDescent="0.3">
      <c r="A59" s="1">
        <v>45931</v>
      </c>
      <c r="B59" t="s">
        <v>113</v>
      </c>
      <c r="C59">
        <v>298845</v>
      </c>
      <c r="D59">
        <v>346959.04499999998</v>
      </c>
      <c r="E59">
        <v>331492</v>
      </c>
      <c r="F59">
        <v>384862.212</v>
      </c>
      <c r="G59">
        <v>2208648</v>
      </c>
      <c r="H59">
        <v>2564240.3280000002</v>
      </c>
      <c r="I59">
        <v>206291</v>
      </c>
      <c r="J59">
        <v>239503.851</v>
      </c>
      <c r="K59">
        <v>2948081</v>
      </c>
      <c r="L59">
        <v>3422722.0410000002</v>
      </c>
      <c r="M59">
        <v>64894</v>
      </c>
      <c r="N59">
        <v>75341.934000000008</v>
      </c>
      <c r="O59">
        <v>33310</v>
      </c>
      <c r="P59">
        <v>38672.910000000003</v>
      </c>
      <c r="Q59">
        <v>1335145</v>
      </c>
      <c r="R59">
        <v>1550103.345</v>
      </c>
      <c r="S59">
        <v>6946378</v>
      </c>
      <c r="T59">
        <v>8064744.858</v>
      </c>
      <c r="U59">
        <v>0</v>
      </c>
      <c r="V59" t="s">
        <v>159</v>
      </c>
      <c r="W59" t="s">
        <v>332</v>
      </c>
      <c r="X59" t="s">
        <v>160</v>
      </c>
    </row>
    <row r="60" spans="1:24" x14ac:dyDescent="0.3">
      <c r="A60" s="1">
        <v>45931</v>
      </c>
      <c r="B60" t="s">
        <v>36</v>
      </c>
      <c r="C60">
        <v>159504</v>
      </c>
      <c r="D60">
        <v>43815.748800000001</v>
      </c>
      <c r="E60">
        <v>1923125</v>
      </c>
      <c r="F60">
        <v>528282.4375</v>
      </c>
      <c r="G60">
        <v>3249217</v>
      </c>
      <c r="H60">
        <v>892559.90989999997</v>
      </c>
      <c r="I60">
        <v>220978</v>
      </c>
      <c r="J60">
        <v>60702.656600000002</v>
      </c>
      <c r="K60">
        <v>1337083</v>
      </c>
      <c r="L60">
        <v>367296.70010000002</v>
      </c>
      <c r="M60">
        <v>37355</v>
      </c>
      <c r="N60">
        <v>10261.4185</v>
      </c>
      <c r="O60">
        <v>22208</v>
      </c>
      <c r="P60">
        <v>6100.5375999999997</v>
      </c>
      <c r="Q60">
        <v>5830168</v>
      </c>
      <c r="R60">
        <v>1601547.1495999999</v>
      </c>
      <c r="S60">
        <v>6113841</v>
      </c>
      <c r="T60">
        <v>1679472.1226999999</v>
      </c>
      <c r="U60">
        <v>-9.1999999999999998E-2</v>
      </c>
      <c r="V60" t="s">
        <v>155</v>
      </c>
      <c r="W60" t="s">
        <v>154</v>
      </c>
      <c r="X60" t="s">
        <v>157</v>
      </c>
    </row>
    <row r="61" spans="1:24" x14ac:dyDescent="0.3">
      <c r="A61" s="1">
        <v>45931</v>
      </c>
      <c r="B61" t="s">
        <v>20</v>
      </c>
      <c r="C61">
        <v>116665</v>
      </c>
      <c r="D61">
        <v>116665</v>
      </c>
      <c r="E61">
        <v>593425</v>
      </c>
      <c r="F61">
        <v>593425</v>
      </c>
      <c r="G61">
        <v>219105</v>
      </c>
      <c r="H61">
        <v>219105</v>
      </c>
      <c r="I61">
        <v>587566</v>
      </c>
      <c r="J61">
        <v>587566</v>
      </c>
      <c r="K61">
        <v>1696107</v>
      </c>
      <c r="L61">
        <v>1696107</v>
      </c>
      <c r="M61">
        <v>9270</v>
      </c>
      <c r="N61">
        <v>9270</v>
      </c>
      <c r="O61">
        <v>18245</v>
      </c>
      <c r="P61">
        <v>18245</v>
      </c>
      <c r="Q61">
        <v>5955369</v>
      </c>
      <c r="R61">
        <v>5955369</v>
      </c>
      <c r="S61">
        <v>5406503</v>
      </c>
      <c r="T61">
        <v>5406503</v>
      </c>
      <c r="U61">
        <v>-0.13800000000000001</v>
      </c>
      <c r="V61" t="s">
        <v>152</v>
      </c>
      <c r="W61" t="s">
        <v>161</v>
      </c>
      <c r="X61" t="s">
        <v>160</v>
      </c>
    </row>
    <row r="62" spans="1:24" x14ac:dyDescent="0.3">
      <c r="A62" s="1">
        <v>45931</v>
      </c>
      <c r="B62" t="s">
        <v>52</v>
      </c>
      <c r="C62">
        <v>459572</v>
      </c>
      <c r="D62">
        <v>125141.45559999999</v>
      </c>
      <c r="E62">
        <v>1567027</v>
      </c>
      <c r="F62">
        <v>426701.45209999999</v>
      </c>
      <c r="G62">
        <v>4275017</v>
      </c>
      <c r="H62">
        <v>1164087.1291</v>
      </c>
      <c r="I62">
        <v>101127</v>
      </c>
      <c r="J62">
        <v>27536.882099999999</v>
      </c>
      <c r="K62">
        <v>1490988</v>
      </c>
      <c r="L62">
        <v>405996.03239999997</v>
      </c>
      <c r="M62">
        <v>7192</v>
      </c>
      <c r="N62">
        <v>1958.3815999999999</v>
      </c>
      <c r="O62">
        <v>1065</v>
      </c>
      <c r="P62">
        <v>289.99950000000001</v>
      </c>
      <c r="Q62">
        <v>7780679</v>
      </c>
      <c r="R62">
        <v>2118678.8917</v>
      </c>
      <c r="S62">
        <v>6100187</v>
      </c>
      <c r="T62">
        <v>1661080.9201</v>
      </c>
      <c r="U62">
        <v>-6.7000000000000004E-2</v>
      </c>
      <c r="V62" t="s">
        <v>153</v>
      </c>
      <c r="W62" t="s">
        <v>161</v>
      </c>
      <c r="X62" t="s">
        <v>22</v>
      </c>
    </row>
    <row r="63" spans="1:24" x14ac:dyDescent="0.3">
      <c r="A63" s="1">
        <v>45962</v>
      </c>
      <c r="B63" t="s">
        <v>20</v>
      </c>
      <c r="C63">
        <v>366175</v>
      </c>
      <c r="D63">
        <v>366175</v>
      </c>
      <c r="E63">
        <v>601077</v>
      </c>
      <c r="F63">
        <v>601077</v>
      </c>
      <c r="G63">
        <v>4248706</v>
      </c>
      <c r="H63">
        <v>4248706</v>
      </c>
      <c r="K63">
        <v>1066347</v>
      </c>
      <c r="L63">
        <v>1066347</v>
      </c>
      <c r="M63">
        <v>67142</v>
      </c>
      <c r="N63">
        <v>67142</v>
      </c>
      <c r="O63">
        <v>33922</v>
      </c>
      <c r="P63">
        <v>33922</v>
      </c>
      <c r="Q63">
        <v>7937232</v>
      </c>
      <c r="R63">
        <v>7937232</v>
      </c>
      <c r="U63">
        <v>0.17899999999999999</v>
      </c>
      <c r="V63" t="s">
        <v>152</v>
      </c>
      <c r="W63" t="s">
        <v>156</v>
      </c>
      <c r="X63" t="s">
        <v>163</v>
      </c>
    </row>
    <row r="64" spans="1:24" x14ac:dyDescent="0.3">
      <c r="A64" s="1">
        <v>45962</v>
      </c>
      <c r="B64" t="s">
        <v>41</v>
      </c>
      <c r="C64">
        <v>325694</v>
      </c>
      <c r="D64">
        <v>325694</v>
      </c>
      <c r="E64">
        <v>745868</v>
      </c>
      <c r="F64">
        <v>745868</v>
      </c>
      <c r="G64">
        <v>453007</v>
      </c>
      <c r="H64">
        <v>453007</v>
      </c>
      <c r="I64">
        <v>430000</v>
      </c>
      <c r="J64">
        <v>430000</v>
      </c>
      <c r="K64">
        <v>2661142</v>
      </c>
      <c r="L64">
        <v>2661142</v>
      </c>
      <c r="M64">
        <v>69274</v>
      </c>
      <c r="N64">
        <v>69274</v>
      </c>
      <c r="O64">
        <v>9157</v>
      </c>
      <c r="P64">
        <v>9157</v>
      </c>
      <c r="Q64">
        <v>2814677</v>
      </c>
      <c r="R64">
        <v>2814677</v>
      </c>
      <c r="S64">
        <v>6096901</v>
      </c>
      <c r="T64">
        <v>6096901</v>
      </c>
      <c r="V64" t="s">
        <v>152</v>
      </c>
      <c r="W64" t="s">
        <v>154</v>
      </c>
      <c r="X64" t="s">
        <v>157</v>
      </c>
    </row>
    <row r="65" spans="1:24" x14ac:dyDescent="0.3">
      <c r="A65" s="1">
        <v>45962</v>
      </c>
      <c r="B65" t="s">
        <v>113</v>
      </c>
      <c r="C65">
        <v>68614</v>
      </c>
      <c r="D65">
        <v>18299.353800000001</v>
      </c>
      <c r="E65">
        <v>315205</v>
      </c>
      <c r="F65">
        <v>84065.173500000004</v>
      </c>
      <c r="G65">
        <v>1233668</v>
      </c>
      <c r="H65">
        <v>329019.25559999997</v>
      </c>
      <c r="K65">
        <v>2393203</v>
      </c>
      <c r="L65">
        <v>638267.24009999994</v>
      </c>
      <c r="M65">
        <v>73098</v>
      </c>
      <c r="N65">
        <v>19495.2366</v>
      </c>
      <c r="Q65">
        <v>5757777</v>
      </c>
      <c r="R65">
        <v>1535599.1258999999</v>
      </c>
      <c r="S65">
        <v>5227041</v>
      </c>
      <c r="T65">
        <v>1394051.8347</v>
      </c>
      <c r="U65">
        <v>-4.2000000000000003E-2</v>
      </c>
      <c r="V65" t="s">
        <v>162</v>
      </c>
      <c r="W65" t="s">
        <v>332</v>
      </c>
      <c r="X65" t="s">
        <v>160</v>
      </c>
    </row>
    <row r="66" spans="1:24" x14ac:dyDescent="0.3">
      <c r="A66" s="1">
        <v>45962</v>
      </c>
      <c r="B66" t="s">
        <v>36</v>
      </c>
      <c r="C66">
        <v>279125</v>
      </c>
      <c r="D66">
        <v>76675.637499999997</v>
      </c>
      <c r="E66">
        <v>513866</v>
      </c>
      <c r="F66">
        <v>141158.9902</v>
      </c>
      <c r="G66">
        <v>2799622</v>
      </c>
      <c r="H66">
        <v>769056.16339999996</v>
      </c>
      <c r="I66">
        <v>485428</v>
      </c>
      <c r="J66">
        <v>133347.0716</v>
      </c>
      <c r="K66">
        <v>225919</v>
      </c>
      <c r="L66">
        <v>62059.9493</v>
      </c>
      <c r="M66">
        <v>53993</v>
      </c>
      <c r="N66">
        <v>14831.8771</v>
      </c>
      <c r="O66">
        <v>33307</v>
      </c>
      <c r="P66">
        <v>9149.4328999999998</v>
      </c>
      <c r="Q66">
        <v>4271726</v>
      </c>
      <c r="R66">
        <v>1173443.1322000001</v>
      </c>
      <c r="S66">
        <v>1069818</v>
      </c>
      <c r="T66">
        <v>293879.00459999999</v>
      </c>
      <c r="U66">
        <v>-6.5000000000000002E-2</v>
      </c>
      <c r="V66" t="s">
        <v>155</v>
      </c>
      <c r="W66" t="s">
        <v>154</v>
      </c>
      <c r="X66" t="s">
        <v>157</v>
      </c>
    </row>
    <row r="67" spans="1:24" x14ac:dyDescent="0.3">
      <c r="A67" s="1">
        <v>45962</v>
      </c>
      <c r="B67" t="s">
        <v>20</v>
      </c>
      <c r="C67">
        <v>364857</v>
      </c>
      <c r="D67">
        <v>99350.561099999992</v>
      </c>
      <c r="E67">
        <v>1744370</v>
      </c>
      <c r="F67">
        <v>474991.951</v>
      </c>
      <c r="G67">
        <v>1975132</v>
      </c>
      <c r="H67">
        <v>537828.4436</v>
      </c>
      <c r="I67">
        <v>213083</v>
      </c>
      <c r="J67">
        <v>58022.500899999999</v>
      </c>
      <c r="K67">
        <v>196524</v>
      </c>
      <c r="L67">
        <v>53513.485199999996</v>
      </c>
      <c r="M67">
        <v>77786</v>
      </c>
      <c r="N67">
        <v>21181.127799999998</v>
      </c>
      <c r="O67">
        <v>45692</v>
      </c>
      <c r="P67">
        <v>12441.9316</v>
      </c>
      <c r="Q67">
        <v>841350</v>
      </c>
      <c r="R67">
        <v>229099.60499999998</v>
      </c>
      <c r="S67">
        <v>8605669</v>
      </c>
      <c r="T67">
        <v>2343323.6686999998</v>
      </c>
      <c r="U67">
        <v>0.17100000000000001</v>
      </c>
      <c r="V67" t="s">
        <v>153</v>
      </c>
      <c r="W67" t="s">
        <v>161</v>
      </c>
      <c r="X67" t="s">
        <v>332</v>
      </c>
    </row>
    <row r="68" spans="1:24" x14ac:dyDescent="0.3">
      <c r="A68" s="1">
        <v>45962</v>
      </c>
      <c r="B68" t="s">
        <v>52</v>
      </c>
      <c r="C68">
        <v>343092</v>
      </c>
      <c r="D68">
        <v>91502.636400000003</v>
      </c>
      <c r="E68">
        <v>1823378</v>
      </c>
      <c r="F68">
        <v>486294.91259999998</v>
      </c>
      <c r="G68">
        <v>4532884</v>
      </c>
      <c r="H68">
        <v>1208920.1628</v>
      </c>
      <c r="I68">
        <v>649120</v>
      </c>
      <c r="J68">
        <v>173120.304</v>
      </c>
      <c r="K68">
        <v>2315178</v>
      </c>
      <c r="L68">
        <v>617457.97259999998</v>
      </c>
      <c r="M68">
        <v>64360</v>
      </c>
      <c r="N68">
        <v>17164.811999999998</v>
      </c>
      <c r="O68">
        <v>46454</v>
      </c>
      <c r="P68">
        <v>12389.281799999999</v>
      </c>
      <c r="Q68">
        <v>3992287</v>
      </c>
      <c r="R68">
        <v>1064742.9428999999</v>
      </c>
      <c r="S68">
        <v>7611998</v>
      </c>
      <c r="T68">
        <v>2030119.8665999998</v>
      </c>
      <c r="U68">
        <v>3.0000000000000001E-3</v>
      </c>
      <c r="V68" t="s">
        <v>162</v>
      </c>
      <c r="W68" t="s">
        <v>154</v>
      </c>
      <c r="X68" t="s">
        <v>332</v>
      </c>
    </row>
    <row r="69" spans="1:24" x14ac:dyDescent="0.3">
      <c r="A69" s="1">
        <v>45992</v>
      </c>
      <c r="B69" t="s">
        <v>20</v>
      </c>
      <c r="C69">
        <v>168046</v>
      </c>
      <c r="D69">
        <v>168046</v>
      </c>
      <c r="E69">
        <v>238468</v>
      </c>
      <c r="F69">
        <v>238468</v>
      </c>
      <c r="G69">
        <v>1709347</v>
      </c>
      <c r="H69">
        <v>1709347</v>
      </c>
      <c r="I69">
        <v>876791</v>
      </c>
      <c r="J69">
        <v>876791</v>
      </c>
      <c r="K69">
        <v>187022</v>
      </c>
      <c r="L69">
        <v>187022</v>
      </c>
      <c r="M69">
        <v>19166</v>
      </c>
      <c r="N69">
        <v>19166</v>
      </c>
      <c r="O69">
        <v>18658</v>
      </c>
      <c r="P69">
        <v>18658</v>
      </c>
      <c r="Q69">
        <v>956888</v>
      </c>
      <c r="R69">
        <v>956888</v>
      </c>
      <c r="S69">
        <v>3742702</v>
      </c>
      <c r="T69">
        <v>3742702</v>
      </c>
      <c r="U69">
        <v>-0.108</v>
      </c>
      <c r="V69" t="s">
        <v>152</v>
      </c>
      <c r="W69" t="s">
        <v>156</v>
      </c>
      <c r="X69" t="s">
        <v>160</v>
      </c>
    </row>
    <row r="70" spans="1:24" x14ac:dyDescent="0.3">
      <c r="A70" s="1">
        <v>45992</v>
      </c>
      <c r="B70" t="s">
        <v>41</v>
      </c>
      <c r="C70">
        <v>320141</v>
      </c>
      <c r="D70">
        <v>87942.732699999993</v>
      </c>
      <c r="E70">
        <v>620384</v>
      </c>
      <c r="F70">
        <v>170419.48480000001</v>
      </c>
      <c r="G70">
        <v>2855491</v>
      </c>
      <c r="H70">
        <v>784403.37769999995</v>
      </c>
      <c r="I70">
        <v>949008</v>
      </c>
      <c r="J70">
        <v>260692.4976</v>
      </c>
      <c r="K70">
        <v>1541490</v>
      </c>
      <c r="L70">
        <v>423447.30300000001</v>
      </c>
      <c r="M70">
        <v>99589</v>
      </c>
      <c r="N70">
        <v>27357.098300000001</v>
      </c>
      <c r="O70">
        <v>6922</v>
      </c>
      <c r="P70">
        <v>1901.4734000000001</v>
      </c>
      <c r="Q70">
        <v>7371598</v>
      </c>
      <c r="R70">
        <v>2024977.9705999999</v>
      </c>
      <c r="S70">
        <v>4295221</v>
      </c>
      <c r="T70">
        <v>1179897.2087000001</v>
      </c>
      <c r="U70">
        <v>-5.2999999999999999E-2</v>
      </c>
      <c r="V70" t="s">
        <v>155</v>
      </c>
      <c r="W70" t="s">
        <v>156</v>
      </c>
      <c r="X70" t="s">
        <v>157</v>
      </c>
    </row>
    <row r="71" spans="1:24" x14ac:dyDescent="0.3">
      <c r="A71" s="1">
        <v>45992</v>
      </c>
      <c r="B71" t="s">
        <v>113</v>
      </c>
      <c r="C71">
        <v>490369</v>
      </c>
      <c r="D71">
        <v>490369</v>
      </c>
      <c r="E71">
        <v>440568</v>
      </c>
      <c r="F71">
        <v>440568</v>
      </c>
      <c r="G71">
        <v>291531</v>
      </c>
      <c r="H71">
        <v>291531</v>
      </c>
      <c r="I71">
        <v>805509</v>
      </c>
      <c r="J71">
        <v>805509</v>
      </c>
      <c r="K71">
        <v>1592264</v>
      </c>
      <c r="L71">
        <v>1592264</v>
      </c>
      <c r="M71">
        <v>91035</v>
      </c>
      <c r="N71">
        <v>91035</v>
      </c>
      <c r="O71">
        <v>27125</v>
      </c>
      <c r="P71">
        <v>27125</v>
      </c>
      <c r="Q71">
        <v>1007856</v>
      </c>
      <c r="R71">
        <v>1007856</v>
      </c>
      <c r="S71">
        <v>8640986</v>
      </c>
      <c r="T71">
        <v>8640986</v>
      </c>
      <c r="U71">
        <v>-5.8000000000000003E-2</v>
      </c>
      <c r="V71" t="s">
        <v>152</v>
      </c>
      <c r="W71" t="s">
        <v>332</v>
      </c>
      <c r="X71" t="s">
        <v>22</v>
      </c>
    </row>
    <row r="72" spans="1:24" x14ac:dyDescent="0.3">
      <c r="A72" s="1">
        <v>45992</v>
      </c>
      <c r="B72" t="s">
        <v>36</v>
      </c>
      <c r="C72">
        <v>98222</v>
      </c>
      <c r="D72">
        <v>98222</v>
      </c>
      <c r="E72">
        <v>1984805</v>
      </c>
      <c r="F72">
        <v>1984805</v>
      </c>
      <c r="G72">
        <v>4113068</v>
      </c>
      <c r="H72">
        <v>4113068</v>
      </c>
      <c r="I72">
        <v>445209</v>
      </c>
      <c r="J72">
        <v>445209</v>
      </c>
      <c r="K72">
        <v>384556</v>
      </c>
      <c r="L72">
        <v>384556</v>
      </c>
      <c r="M72">
        <v>44435</v>
      </c>
      <c r="N72">
        <v>44435</v>
      </c>
      <c r="O72">
        <v>28479</v>
      </c>
      <c r="P72">
        <v>28479</v>
      </c>
      <c r="Q72">
        <v>1662243</v>
      </c>
      <c r="R72">
        <v>1662243</v>
      </c>
      <c r="S72">
        <v>4201856</v>
      </c>
      <c r="T72">
        <v>4201856</v>
      </c>
      <c r="U72">
        <v>-8.9999999999999993E-3</v>
      </c>
      <c r="V72" t="s">
        <v>152</v>
      </c>
      <c r="W72" t="s">
        <v>161</v>
      </c>
      <c r="X72" t="s">
        <v>22</v>
      </c>
    </row>
    <row r="73" spans="1:24" x14ac:dyDescent="0.3">
      <c r="A73" s="1">
        <v>45992</v>
      </c>
      <c r="B73" t="s">
        <v>20</v>
      </c>
      <c r="C73">
        <v>312811</v>
      </c>
      <c r="D73">
        <v>85178.435299999997</v>
      </c>
      <c r="G73">
        <v>1698842</v>
      </c>
      <c r="H73">
        <v>462594.67660000001</v>
      </c>
      <c r="I73">
        <v>462120</v>
      </c>
      <c r="J73">
        <v>125835.276</v>
      </c>
      <c r="K73">
        <v>2591757</v>
      </c>
      <c r="L73">
        <v>705735.43109999993</v>
      </c>
      <c r="M73">
        <v>18513</v>
      </c>
      <c r="N73">
        <v>5041.0898999999999</v>
      </c>
      <c r="O73">
        <v>22077</v>
      </c>
      <c r="P73">
        <v>6011.5670999999993</v>
      </c>
      <c r="Q73">
        <v>6006088</v>
      </c>
      <c r="R73">
        <v>1635457.7623999999</v>
      </c>
      <c r="S73">
        <v>4739483</v>
      </c>
      <c r="T73">
        <v>1290561.2208999998</v>
      </c>
      <c r="U73">
        <v>0.19900000000000001</v>
      </c>
      <c r="V73" t="s">
        <v>153</v>
      </c>
      <c r="W73" t="s">
        <v>332</v>
      </c>
      <c r="X73" t="s">
        <v>157</v>
      </c>
    </row>
    <row r="74" spans="1:24" x14ac:dyDescent="0.3">
      <c r="A74" s="1">
        <v>45992</v>
      </c>
      <c r="B74" t="s">
        <v>52</v>
      </c>
      <c r="C74">
        <v>440385</v>
      </c>
      <c r="D74">
        <v>120973.7595</v>
      </c>
      <c r="E74">
        <v>1029351</v>
      </c>
      <c r="F74">
        <v>282762.71970000002</v>
      </c>
      <c r="G74">
        <v>4296450</v>
      </c>
      <c r="H74">
        <v>1180234.8149999999</v>
      </c>
      <c r="I74">
        <v>123587</v>
      </c>
      <c r="J74">
        <v>33949.348899999997</v>
      </c>
      <c r="M74">
        <v>35263</v>
      </c>
      <c r="N74">
        <v>9686.7461000000003</v>
      </c>
      <c r="O74">
        <v>24469</v>
      </c>
      <c r="P74">
        <v>6721.6342999999997</v>
      </c>
      <c r="Q74">
        <v>3940056</v>
      </c>
      <c r="R74">
        <v>1082333.3832</v>
      </c>
      <c r="S74">
        <v>4157969</v>
      </c>
      <c r="T74">
        <v>1142194.0843</v>
      </c>
      <c r="U74">
        <v>-1E-3</v>
      </c>
      <c r="V74" t="s">
        <v>155</v>
      </c>
      <c r="W74" t="s">
        <v>154</v>
      </c>
      <c r="X74" t="s">
        <v>22</v>
      </c>
    </row>
    <row r="75" spans="1:24" x14ac:dyDescent="0.3">
      <c r="A75" s="1">
        <v>46023</v>
      </c>
      <c r="B75" t="s">
        <v>20</v>
      </c>
      <c r="C75">
        <v>63222</v>
      </c>
      <c r="D75">
        <v>73400.741999999998</v>
      </c>
      <c r="E75">
        <v>1813626</v>
      </c>
      <c r="F75">
        <v>2105619.7859999998</v>
      </c>
      <c r="G75">
        <v>459877</v>
      </c>
      <c r="H75">
        <v>533917.19700000004</v>
      </c>
      <c r="I75">
        <v>226681</v>
      </c>
      <c r="J75">
        <v>263176.641</v>
      </c>
      <c r="K75">
        <v>93046</v>
      </c>
      <c r="L75">
        <v>108026.406</v>
      </c>
      <c r="M75">
        <v>14471</v>
      </c>
      <c r="N75">
        <v>16800.831000000002</v>
      </c>
      <c r="O75">
        <v>30441</v>
      </c>
      <c r="P75">
        <v>35342.001000000004</v>
      </c>
      <c r="Q75">
        <v>4377106</v>
      </c>
      <c r="R75">
        <v>5081820.0660000006</v>
      </c>
      <c r="S75">
        <v>871062</v>
      </c>
      <c r="T75">
        <v>1011302.9820000001</v>
      </c>
      <c r="U75">
        <v>-4.1000000000000002E-2</v>
      </c>
      <c r="V75" t="s">
        <v>159</v>
      </c>
      <c r="W75" t="s">
        <v>332</v>
      </c>
      <c r="X75" t="s">
        <v>160</v>
      </c>
    </row>
    <row r="76" spans="1:24" x14ac:dyDescent="0.3">
      <c r="A76" s="1">
        <v>46023</v>
      </c>
      <c r="B76" t="s">
        <v>41</v>
      </c>
      <c r="C76">
        <v>205108</v>
      </c>
      <c r="D76">
        <v>205108</v>
      </c>
      <c r="E76">
        <v>303720</v>
      </c>
      <c r="F76">
        <v>303720</v>
      </c>
      <c r="G76">
        <v>1284907</v>
      </c>
      <c r="H76">
        <v>1284907</v>
      </c>
      <c r="I76">
        <v>375730</v>
      </c>
      <c r="J76">
        <v>375730</v>
      </c>
      <c r="K76">
        <v>732528</v>
      </c>
      <c r="L76">
        <v>732528</v>
      </c>
      <c r="M76">
        <v>17250</v>
      </c>
      <c r="N76">
        <v>17250</v>
      </c>
      <c r="O76">
        <v>49150</v>
      </c>
      <c r="P76">
        <v>49150</v>
      </c>
      <c r="Q76">
        <v>1971489</v>
      </c>
      <c r="R76">
        <v>1971489</v>
      </c>
      <c r="S76">
        <v>8558850</v>
      </c>
      <c r="T76">
        <v>8558850</v>
      </c>
      <c r="U76">
        <v>0.16</v>
      </c>
      <c r="V76" t="s">
        <v>152</v>
      </c>
      <c r="W76" t="s">
        <v>154</v>
      </c>
      <c r="X76" t="s">
        <v>332</v>
      </c>
    </row>
    <row r="77" spans="1:24" x14ac:dyDescent="0.3">
      <c r="A77" s="1">
        <v>46023</v>
      </c>
      <c r="B77" t="s">
        <v>113</v>
      </c>
      <c r="C77">
        <v>438813</v>
      </c>
      <c r="D77">
        <v>119488.77989999999</v>
      </c>
      <c r="E77">
        <v>1903652</v>
      </c>
      <c r="F77">
        <v>518364.43959999998</v>
      </c>
      <c r="G77">
        <v>4166552</v>
      </c>
      <c r="H77">
        <v>1134552.1095999999</v>
      </c>
      <c r="I77">
        <v>640686</v>
      </c>
      <c r="J77">
        <v>174458.7978</v>
      </c>
      <c r="K77">
        <v>2816453</v>
      </c>
      <c r="L77">
        <v>766920.15189999994</v>
      </c>
      <c r="M77">
        <v>16304</v>
      </c>
      <c r="N77">
        <v>4439.5792000000001</v>
      </c>
      <c r="O77">
        <v>32449</v>
      </c>
      <c r="P77">
        <v>8835.8626999999997</v>
      </c>
      <c r="Q77">
        <v>1428752</v>
      </c>
      <c r="R77">
        <v>389049.16959999996</v>
      </c>
      <c r="S77">
        <v>7405284</v>
      </c>
      <c r="T77">
        <v>2016458.8332</v>
      </c>
      <c r="U77">
        <v>-8.2000000000000003E-2</v>
      </c>
      <c r="V77" t="s">
        <v>153</v>
      </c>
      <c r="W77" t="s">
        <v>156</v>
      </c>
      <c r="X77" t="s">
        <v>160</v>
      </c>
    </row>
    <row r="78" spans="1:24" x14ac:dyDescent="0.3">
      <c r="A78" s="1">
        <v>46023</v>
      </c>
      <c r="B78" t="s">
        <v>36</v>
      </c>
      <c r="C78">
        <v>173480</v>
      </c>
      <c r="D78">
        <v>47238.603999999999</v>
      </c>
      <c r="E78">
        <v>1542531</v>
      </c>
      <c r="F78">
        <v>420031.19130000001</v>
      </c>
      <c r="G78">
        <v>1264546</v>
      </c>
      <c r="H78">
        <v>344335.87579999998</v>
      </c>
      <c r="I78">
        <v>673313</v>
      </c>
      <c r="J78">
        <v>183343.1299</v>
      </c>
      <c r="K78">
        <v>1285450</v>
      </c>
      <c r="L78">
        <v>350028.03499999997</v>
      </c>
      <c r="M78">
        <v>50928</v>
      </c>
      <c r="N78">
        <v>13867.694399999998</v>
      </c>
      <c r="O78">
        <v>23554</v>
      </c>
      <c r="P78">
        <v>6413.7541999999994</v>
      </c>
      <c r="Q78">
        <v>526741</v>
      </c>
      <c r="R78">
        <v>143431.57429999998</v>
      </c>
      <c r="S78">
        <v>4413965</v>
      </c>
      <c r="T78">
        <v>1201922.6694999998</v>
      </c>
      <c r="U78">
        <v>-0.11600000000000001</v>
      </c>
      <c r="V78" t="s">
        <v>153</v>
      </c>
      <c r="W78" t="s">
        <v>156</v>
      </c>
      <c r="X78" t="s">
        <v>160</v>
      </c>
    </row>
    <row r="79" spans="1:24" x14ac:dyDescent="0.3">
      <c r="A79" s="1">
        <v>46023</v>
      </c>
      <c r="B79" t="s">
        <v>20</v>
      </c>
      <c r="C79">
        <v>134680</v>
      </c>
      <c r="D79">
        <v>134680</v>
      </c>
      <c r="E79">
        <v>1864039</v>
      </c>
      <c r="F79">
        <v>1864039</v>
      </c>
      <c r="G79">
        <v>1625535</v>
      </c>
      <c r="H79">
        <v>1625535</v>
      </c>
      <c r="I79">
        <v>623186</v>
      </c>
      <c r="J79">
        <v>623186</v>
      </c>
      <c r="K79">
        <v>653711</v>
      </c>
      <c r="L79">
        <v>653711</v>
      </c>
      <c r="M79">
        <v>70040</v>
      </c>
      <c r="N79">
        <v>70040</v>
      </c>
      <c r="O79">
        <v>41306</v>
      </c>
      <c r="P79">
        <v>41306</v>
      </c>
      <c r="Q79">
        <v>4239653</v>
      </c>
      <c r="R79">
        <v>4239653</v>
      </c>
      <c r="S79">
        <v>4281131</v>
      </c>
      <c r="T79">
        <v>4281131</v>
      </c>
      <c r="U79">
        <v>0.16400000000000001</v>
      </c>
      <c r="V79" t="s">
        <v>152</v>
      </c>
      <c r="W79" t="s">
        <v>154</v>
      </c>
      <c r="X79" t="s">
        <v>22</v>
      </c>
    </row>
    <row r="80" spans="1:24" x14ac:dyDescent="0.3">
      <c r="A80" s="1">
        <v>46023</v>
      </c>
      <c r="B80" t="s">
        <v>52</v>
      </c>
      <c r="C80">
        <v>496342</v>
      </c>
      <c r="D80">
        <v>135153.92660000001</v>
      </c>
      <c r="E80">
        <v>354242</v>
      </c>
      <c r="F80">
        <v>96460.09659999999</v>
      </c>
      <c r="G80">
        <v>2292141</v>
      </c>
      <c r="H80">
        <v>624149.99430000002</v>
      </c>
      <c r="I80">
        <v>65166</v>
      </c>
      <c r="J80">
        <v>17744.701799999999</v>
      </c>
      <c r="M80">
        <v>53802</v>
      </c>
      <c r="N80">
        <v>14650.284599999999</v>
      </c>
      <c r="O80">
        <v>11840</v>
      </c>
      <c r="P80">
        <v>3224.0319999999997</v>
      </c>
      <c r="Q80">
        <v>6533756</v>
      </c>
      <c r="R80">
        <v>1779141.7588</v>
      </c>
      <c r="U80">
        <v>1.2E-2</v>
      </c>
      <c r="V80" t="s">
        <v>153</v>
      </c>
      <c r="W80" t="s">
        <v>156</v>
      </c>
      <c r="X80" t="s">
        <v>22</v>
      </c>
    </row>
    <row r="81" spans="1:24" x14ac:dyDescent="0.3">
      <c r="A81" s="1">
        <v>46054</v>
      </c>
      <c r="B81" t="s">
        <v>20</v>
      </c>
      <c r="C81">
        <v>273159</v>
      </c>
      <c r="D81">
        <v>74381.195699999997</v>
      </c>
      <c r="E81">
        <v>1627118</v>
      </c>
      <c r="F81">
        <v>443064.23139999999</v>
      </c>
      <c r="G81">
        <v>4905138</v>
      </c>
      <c r="H81">
        <v>1335669.0773999998</v>
      </c>
      <c r="I81">
        <v>452867</v>
      </c>
      <c r="J81">
        <v>123315.6841</v>
      </c>
      <c r="M81">
        <v>91137</v>
      </c>
      <c r="N81">
        <v>24816.605099999997</v>
      </c>
      <c r="O81">
        <v>12342</v>
      </c>
      <c r="P81">
        <v>3360.7266</v>
      </c>
      <c r="Q81">
        <v>2447809</v>
      </c>
      <c r="R81">
        <v>666538.39069999999</v>
      </c>
      <c r="S81">
        <v>6631681</v>
      </c>
      <c r="T81">
        <v>1805806.7363</v>
      </c>
      <c r="U81">
        <v>-0.10100000000000001</v>
      </c>
      <c r="V81" t="s">
        <v>153</v>
      </c>
      <c r="W81" t="s">
        <v>332</v>
      </c>
      <c r="X81" t="s">
        <v>163</v>
      </c>
    </row>
    <row r="82" spans="1:24" x14ac:dyDescent="0.3">
      <c r="A82" s="1">
        <v>46054</v>
      </c>
      <c r="B82" t="s">
        <v>41</v>
      </c>
      <c r="C82">
        <v>467167</v>
      </c>
      <c r="D82">
        <v>542380.88699999999</v>
      </c>
      <c r="E82">
        <v>1042854</v>
      </c>
      <c r="F82">
        <v>1210753.4939999999</v>
      </c>
      <c r="G82">
        <v>361659</v>
      </c>
      <c r="H82">
        <v>419886.09899999999</v>
      </c>
      <c r="I82">
        <v>542458</v>
      </c>
      <c r="J82">
        <v>629793.73800000001</v>
      </c>
      <c r="K82">
        <v>2764362</v>
      </c>
      <c r="L82">
        <v>3209424.2820000001</v>
      </c>
      <c r="M82">
        <v>18463</v>
      </c>
      <c r="N82">
        <v>21435.543000000001</v>
      </c>
      <c r="O82">
        <v>6677</v>
      </c>
      <c r="P82">
        <v>7751.9970000000003</v>
      </c>
      <c r="Q82">
        <v>6842536</v>
      </c>
      <c r="R82">
        <v>7944184.2960000001</v>
      </c>
      <c r="S82">
        <v>3056630</v>
      </c>
      <c r="T82">
        <v>3548747.43</v>
      </c>
      <c r="U82">
        <v>-0.17799999999999999</v>
      </c>
      <c r="V82" t="s">
        <v>159</v>
      </c>
      <c r="W82" t="s">
        <v>154</v>
      </c>
      <c r="X82" t="s">
        <v>332</v>
      </c>
    </row>
    <row r="83" spans="1:24" x14ac:dyDescent="0.3">
      <c r="A83" s="1">
        <v>46054</v>
      </c>
      <c r="B83" t="s">
        <v>113</v>
      </c>
      <c r="C83">
        <v>166830</v>
      </c>
      <c r="D83">
        <v>166830</v>
      </c>
      <c r="E83">
        <v>1019037</v>
      </c>
      <c r="F83">
        <v>1019037</v>
      </c>
      <c r="G83">
        <v>2512757</v>
      </c>
      <c r="H83">
        <v>2512757</v>
      </c>
      <c r="I83">
        <v>763681</v>
      </c>
      <c r="J83">
        <v>763681</v>
      </c>
      <c r="K83">
        <v>1569085</v>
      </c>
      <c r="L83">
        <v>1569085</v>
      </c>
      <c r="M83">
        <v>90215</v>
      </c>
      <c r="N83">
        <v>90215</v>
      </c>
      <c r="O83">
        <v>29940</v>
      </c>
      <c r="P83">
        <v>29940</v>
      </c>
      <c r="Q83">
        <v>6872662</v>
      </c>
      <c r="R83">
        <v>6872662</v>
      </c>
      <c r="S83">
        <v>3651128</v>
      </c>
      <c r="T83">
        <v>3651128</v>
      </c>
      <c r="V83" t="s">
        <v>152</v>
      </c>
      <c r="W83" t="s">
        <v>332</v>
      </c>
      <c r="X83" t="s">
        <v>22</v>
      </c>
    </row>
    <row r="84" spans="1:24" x14ac:dyDescent="0.3">
      <c r="A84" s="1">
        <v>46054</v>
      </c>
      <c r="B84" t="s">
        <v>36</v>
      </c>
      <c r="C84">
        <v>328232</v>
      </c>
      <c r="D84">
        <v>87539.474399999992</v>
      </c>
      <c r="E84">
        <v>1849756</v>
      </c>
      <c r="F84">
        <v>493329.9252</v>
      </c>
      <c r="G84">
        <v>3316905</v>
      </c>
      <c r="H84">
        <v>884618.56349999993</v>
      </c>
      <c r="I84">
        <v>127125</v>
      </c>
      <c r="J84">
        <v>33904.237499999996</v>
      </c>
      <c r="K84">
        <v>1481243</v>
      </c>
      <c r="L84">
        <v>395047.50809999998</v>
      </c>
      <c r="M84">
        <v>49009</v>
      </c>
      <c r="N84">
        <v>13070.7003</v>
      </c>
      <c r="O84">
        <v>7092</v>
      </c>
      <c r="P84">
        <v>1891.4364</v>
      </c>
      <c r="Q84">
        <v>7132744</v>
      </c>
      <c r="R84">
        <v>1902302.8248000001</v>
      </c>
      <c r="S84">
        <v>6890950</v>
      </c>
      <c r="T84">
        <v>1837816.365</v>
      </c>
      <c r="U84">
        <v>-0.16900000000000001</v>
      </c>
      <c r="V84" t="s">
        <v>162</v>
      </c>
      <c r="W84" t="s">
        <v>332</v>
      </c>
      <c r="X84" t="s">
        <v>332</v>
      </c>
    </row>
    <row r="85" spans="1:24" x14ac:dyDescent="0.3">
      <c r="A85" s="1">
        <v>46054</v>
      </c>
      <c r="B85" t="s">
        <v>20</v>
      </c>
      <c r="C85">
        <v>303603</v>
      </c>
      <c r="D85">
        <v>83399.744099999996</v>
      </c>
      <c r="E85">
        <v>435844</v>
      </c>
      <c r="F85">
        <v>119726.3468</v>
      </c>
      <c r="G85">
        <v>1655855</v>
      </c>
      <c r="H85">
        <v>454863.36849999998</v>
      </c>
      <c r="I85">
        <v>181609</v>
      </c>
      <c r="J85">
        <v>49887.992299999998</v>
      </c>
      <c r="K85">
        <v>2897923</v>
      </c>
      <c r="L85">
        <v>796059.44810000004</v>
      </c>
      <c r="M85">
        <v>42227</v>
      </c>
      <c r="N85">
        <v>11599.7569</v>
      </c>
      <c r="O85">
        <v>7475</v>
      </c>
      <c r="P85">
        <v>2053.3825000000002</v>
      </c>
      <c r="Q85">
        <v>5233150</v>
      </c>
      <c r="R85">
        <v>1437546.3049999999</v>
      </c>
      <c r="S85">
        <v>5724723</v>
      </c>
      <c r="T85">
        <v>1572581.4080999999</v>
      </c>
      <c r="U85">
        <v>-8.6999999999999994E-2</v>
      </c>
      <c r="V85" t="s">
        <v>155</v>
      </c>
      <c r="W85" t="s">
        <v>161</v>
      </c>
      <c r="X85" t="s">
        <v>160</v>
      </c>
    </row>
    <row r="86" spans="1:24" x14ac:dyDescent="0.3">
      <c r="A86" s="1">
        <v>46054</v>
      </c>
      <c r="B86" t="s">
        <v>52</v>
      </c>
      <c r="C86">
        <v>55495</v>
      </c>
      <c r="D86">
        <v>55495</v>
      </c>
      <c r="G86">
        <v>2927567</v>
      </c>
      <c r="H86">
        <v>2927567</v>
      </c>
      <c r="I86">
        <v>592877</v>
      </c>
      <c r="J86">
        <v>592877</v>
      </c>
      <c r="K86">
        <v>56852</v>
      </c>
      <c r="L86">
        <v>56852</v>
      </c>
      <c r="M86">
        <v>92130</v>
      </c>
      <c r="N86">
        <v>92130</v>
      </c>
      <c r="O86">
        <v>18905</v>
      </c>
      <c r="P86">
        <v>18905</v>
      </c>
      <c r="Q86">
        <v>6953270</v>
      </c>
      <c r="R86">
        <v>6953270</v>
      </c>
      <c r="S86">
        <v>8221473</v>
      </c>
      <c r="T86">
        <v>8221473</v>
      </c>
      <c r="U86">
        <v>-4.1000000000000002E-2</v>
      </c>
      <c r="V86" t="s">
        <v>152</v>
      </c>
      <c r="W86" t="s">
        <v>156</v>
      </c>
      <c r="X86" t="s">
        <v>160</v>
      </c>
    </row>
  </sheetData>
  <phoneticPr fontId="1" type="noConversion"/>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E5589-7806-4F0B-B883-C648C56529E2}">
  <dimension ref="B1:T43"/>
  <sheetViews>
    <sheetView showGridLines="0" topLeftCell="M1" zoomScaleNormal="100" workbookViewId="0">
      <selection activeCell="C4" sqref="C4"/>
    </sheetView>
  </sheetViews>
  <sheetFormatPr defaultRowHeight="14.4" x14ac:dyDescent="0.3"/>
  <cols>
    <col min="1" max="1" width="3.5546875" customWidth="1"/>
    <col min="2" max="2" width="12.44140625" bestFit="1" customWidth="1"/>
    <col min="3" max="3" width="23.44140625" bestFit="1" customWidth="1"/>
    <col min="4" max="4" width="3.109375" customWidth="1"/>
    <col min="5" max="5" width="15.88671875" bestFit="1" customWidth="1"/>
    <col min="6" max="6" width="23.44140625" bestFit="1" customWidth="1"/>
    <col min="7" max="7" width="3.44140625" customWidth="1"/>
    <col min="8" max="8" width="12.44140625" bestFit="1" customWidth="1"/>
    <col min="9" max="9" width="23.44140625" bestFit="1" customWidth="1"/>
    <col min="10" max="10" width="3" customWidth="1"/>
    <col min="11" max="11" width="15" bestFit="1" customWidth="1"/>
    <col min="12" max="12" width="22.21875" bestFit="1" customWidth="1"/>
    <col min="13" max="13" width="26" bestFit="1" customWidth="1"/>
    <col min="14" max="14" width="3" customWidth="1"/>
    <col min="15" max="15" width="15.88671875" bestFit="1" customWidth="1"/>
    <col min="16" max="16" width="26" bestFit="1" customWidth="1"/>
    <col min="17" max="17" width="1.88671875" customWidth="1"/>
    <col min="18" max="18" width="15.88671875" bestFit="1" customWidth="1"/>
    <col min="19" max="19" width="22" bestFit="1" customWidth="1"/>
    <col min="20" max="20" width="23.44140625" bestFit="1" customWidth="1"/>
    <col min="21" max="22" width="11.5546875" bestFit="1" customWidth="1"/>
    <col min="23" max="23" width="10.5546875" bestFit="1" customWidth="1"/>
    <col min="24" max="24" width="11.5546875" bestFit="1" customWidth="1"/>
    <col min="25" max="25" width="10.5546875" bestFit="1" customWidth="1"/>
    <col min="26" max="49" width="11.5546875" bestFit="1" customWidth="1"/>
    <col min="50" max="50" width="10.5546875" bestFit="1" customWidth="1"/>
    <col min="51" max="51" width="11.5546875" bestFit="1" customWidth="1"/>
    <col min="52" max="52" width="10.5546875" bestFit="1" customWidth="1"/>
    <col min="53" max="81" width="11.5546875" bestFit="1" customWidth="1"/>
    <col min="82" max="82" width="10.5546875" bestFit="1" customWidth="1"/>
    <col min="83" max="87" width="11.5546875" bestFit="1" customWidth="1"/>
    <col min="88" max="88" width="10.5546875" bestFit="1" customWidth="1"/>
    <col min="89" max="95" width="11.5546875" bestFit="1" customWidth="1"/>
    <col min="96" max="96" width="10.5546875" bestFit="1" customWidth="1"/>
    <col min="97" max="138" width="11.5546875" bestFit="1" customWidth="1"/>
    <col min="139" max="139" width="10.5546875" bestFit="1" customWidth="1"/>
    <col min="140" max="153" width="11.5546875" bestFit="1" customWidth="1"/>
    <col min="154" max="154" width="10.5546875" bestFit="1" customWidth="1"/>
    <col min="155" max="165" width="11.5546875" bestFit="1" customWidth="1"/>
    <col min="166" max="166" width="10.5546875" bestFit="1" customWidth="1"/>
    <col min="167" max="167" width="11.5546875" bestFit="1" customWidth="1"/>
    <col min="168" max="168" width="10.5546875" bestFit="1" customWidth="1"/>
    <col min="169" max="172" width="11.5546875" bestFit="1" customWidth="1"/>
    <col min="173" max="173" width="10.5546875" bestFit="1" customWidth="1"/>
    <col min="174" max="179" width="11.5546875" bestFit="1" customWidth="1"/>
    <col min="180" max="180" width="9.5546875" bestFit="1" customWidth="1"/>
    <col min="181" max="190" width="11.5546875" bestFit="1" customWidth="1"/>
    <col min="191" max="191" width="10.5546875" bestFit="1" customWidth="1"/>
    <col min="192" max="192" width="11.5546875" bestFit="1" customWidth="1"/>
    <col min="193" max="194" width="10.5546875" bestFit="1" customWidth="1"/>
    <col min="195" max="196" width="11.5546875" bestFit="1" customWidth="1"/>
    <col min="197" max="197" width="10.5546875" bestFit="1" customWidth="1"/>
    <col min="198" max="203" width="11.5546875" bestFit="1" customWidth="1"/>
    <col min="204" max="206" width="10.5546875" bestFit="1" customWidth="1"/>
    <col min="207" max="207" width="11.5546875" bestFit="1" customWidth="1"/>
    <col min="208" max="208" width="9.5546875" bestFit="1" customWidth="1"/>
    <col min="209" max="209" width="10.5546875" bestFit="1" customWidth="1"/>
    <col min="210" max="213" width="11.5546875" bestFit="1" customWidth="1"/>
    <col min="214" max="214" width="10.5546875" bestFit="1" customWidth="1"/>
    <col min="215" max="215" width="11.5546875" bestFit="1" customWidth="1"/>
    <col min="216" max="216" width="10.5546875" bestFit="1" customWidth="1"/>
    <col min="217" max="223" width="11.5546875" bestFit="1" customWidth="1"/>
    <col min="224" max="224" width="10.5546875" bestFit="1" customWidth="1"/>
    <col min="225" max="228" width="11.5546875" bestFit="1" customWidth="1"/>
    <col min="229" max="229" width="10.5546875" bestFit="1" customWidth="1"/>
    <col min="230" max="230" width="11.5546875" bestFit="1" customWidth="1"/>
    <col min="231" max="231" width="10.5546875" bestFit="1" customWidth="1"/>
    <col min="232" max="236" width="11.5546875" bestFit="1" customWidth="1"/>
    <col min="237" max="237" width="9.5546875" bestFit="1" customWidth="1"/>
    <col min="238" max="239" width="11.5546875" bestFit="1" customWidth="1"/>
    <col min="240" max="242" width="10.5546875" bestFit="1" customWidth="1"/>
    <col min="243" max="243" width="11.5546875" bestFit="1" customWidth="1"/>
    <col min="244" max="244" width="10.5546875" bestFit="1" customWidth="1"/>
    <col min="245" max="245" width="9.5546875" bestFit="1" customWidth="1"/>
    <col min="246" max="247" width="11.5546875" bestFit="1" customWidth="1"/>
    <col min="248" max="248" width="10.5546875" bestFit="1" customWidth="1"/>
    <col min="249" max="250" width="11.5546875" bestFit="1" customWidth="1"/>
    <col min="251" max="251" width="10.5546875" bestFit="1" customWidth="1"/>
    <col min="252" max="252" width="11.5546875" bestFit="1" customWidth="1"/>
    <col min="253" max="253" width="10.5546875" bestFit="1" customWidth="1"/>
    <col min="254" max="257" width="11.5546875" bestFit="1" customWidth="1"/>
    <col min="258" max="259" width="10.5546875" bestFit="1" customWidth="1"/>
    <col min="260" max="264" width="11.5546875" bestFit="1" customWidth="1"/>
    <col min="265" max="265" width="10.5546875" bestFit="1" customWidth="1"/>
    <col min="266" max="268" width="11.5546875" bestFit="1" customWidth="1"/>
    <col min="269" max="269" width="10.5546875" bestFit="1" customWidth="1"/>
    <col min="270" max="271" width="11.5546875" bestFit="1" customWidth="1"/>
    <col min="272" max="273" width="10.5546875" bestFit="1" customWidth="1"/>
    <col min="274" max="275" width="11.5546875" bestFit="1" customWidth="1"/>
    <col min="276" max="278" width="10.5546875" bestFit="1" customWidth="1"/>
    <col min="279" max="279" width="11.5546875" bestFit="1" customWidth="1"/>
    <col min="280" max="280" width="10.5546875" bestFit="1" customWidth="1"/>
    <col min="281" max="281" width="11.5546875" bestFit="1" customWidth="1"/>
    <col min="282" max="282" width="10.5546875" bestFit="1" customWidth="1"/>
    <col min="283" max="283" width="11.5546875" bestFit="1" customWidth="1"/>
    <col min="284" max="284" width="10.5546875" bestFit="1" customWidth="1"/>
    <col min="285" max="285" width="11.5546875" bestFit="1" customWidth="1"/>
    <col min="286" max="286" width="10.5546875" bestFit="1" customWidth="1"/>
    <col min="287" max="288" width="11.5546875" bestFit="1" customWidth="1"/>
    <col min="289" max="291" width="10.5546875" bestFit="1" customWidth="1"/>
    <col min="292" max="295" width="11.5546875" bestFit="1" customWidth="1"/>
    <col min="296" max="296" width="10.5546875" bestFit="1" customWidth="1"/>
    <col min="297" max="299" width="11.5546875" bestFit="1" customWidth="1"/>
    <col min="300" max="300" width="10.5546875" bestFit="1" customWidth="1"/>
    <col min="301" max="302" width="11.5546875" bestFit="1" customWidth="1"/>
    <col min="303" max="303" width="10.5546875" bestFit="1" customWidth="1"/>
    <col min="304" max="307" width="11.5546875" bestFit="1" customWidth="1"/>
    <col min="308" max="308" width="10.5546875" bestFit="1" customWidth="1"/>
    <col min="309" max="313" width="11.5546875" bestFit="1" customWidth="1"/>
    <col min="314" max="314" width="10.5546875" bestFit="1" customWidth="1"/>
    <col min="315" max="315" width="11.5546875" bestFit="1" customWidth="1"/>
    <col min="316" max="316" width="10.5546875" bestFit="1" customWidth="1"/>
    <col min="317" max="317" width="11.5546875" bestFit="1" customWidth="1"/>
    <col min="318" max="318" width="10.5546875" bestFit="1" customWidth="1"/>
    <col min="319" max="330" width="11.5546875" bestFit="1" customWidth="1"/>
    <col min="331" max="331" width="10.5546875" bestFit="1" customWidth="1"/>
    <col min="332" max="332" width="11.5546875" bestFit="1" customWidth="1"/>
    <col min="333" max="333" width="10.5546875" bestFit="1" customWidth="1"/>
    <col min="334" max="334" width="11.5546875" bestFit="1" customWidth="1"/>
    <col min="335" max="337" width="10.5546875" bestFit="1" customWidth="1"/>
    <col min="338" max="338" width="11.5546875" bestFit="1" customWidth="1"/>
    <col min="339" max="339" width="10.5546875" bestFit="1" customWidth="1"/>
    <col min="340" max="340" width="11.5546875" bestFit="1" customWidth="1"/>
    <col min="341" max="343" width="10.5546875" bestFit="1" customWidth="1"/>
    <col min="344" max="344" width="11.5546875" bestFit="1" customWidth="1"/>
    <col min="345" max="345" width="9.5546875" bestFit="1" customWidth="1"/>
    <col min="346" max="346" width="11.5546875" bestFit="1" customWidth="1"/>
    <col min="347" max="347" width="10.5546875" bestFit="1" customWidth="1"/>
    <col min="348" max="348" width="11.5546875" bestFit="1" customWidth="1"/>
    <col min="349" max="349" width="10.5546875" bestFit="1" customWidth="1"/>
    <col min="350" max="351" width="11.5546875" bestFit="1" customWidth="1"/>
    <col min="352" max="353" width="10.5546875" bestFit="1" customWidth="1"/>
    <col min="354" max="359" width="11.5546875" bestFit="1" customWidth="1"/>
    <col min="360" max="360" width="10.5546875" bestFit="1" customWidth="1"/>
    <col min="361" max="361" width="11.5546875" bestFit="1" customWidth="1"/>
    <col min="362" max="362" width="10.5546875" bestFit="1" customWidth="1"/>
    <col min="363" max="365" width="11.5546875" bestFit="1" customWidth="1"/>
    <col min="366" max="367" width="10.5546875" bestFit="1" customWidth="1"/>
    <col min="368" max="370" width="11.5546875" bestFit="1" customWidth="1"/>
    <col min="371" max="371" width="10.5546875" bestFit="1" customWidth="1"/>
    <col min="372" max="373" width="11.5546875" bestFit="1" customWidth="1"/>
    <col min="374" max="374" width="10.5546875" bestFit="1" customWidth="1"/>
    <col min="375" max="375" width="11.5546875" bestFit="1" customWidth="1"/>
    <col min="376" max="376" width="10.5546875" bestFit="1" customWidth="1"/>
    <col min="377" max="377" width="11.5546875" bestFit="1" customWidth="1"/>
    <col min="378" max="378" width="10.5546875" bestFit="1" customWidth="1"/>
    <col min="379" max="381" width="11.5546875" bestFit="1" customWidth="1"/>
    <col min="382" max="384" width="10.5546875" bestFit="1" customWidth="1"/>
    <col min="385" max="389" width="11.5546875" bestFit="1" customWidth="1"/>
    <col min="390" max="390" width="10.5546875" bestFit="1" customWidth="1"/>
    <col min="391" max="393" width="11.5546875" bestFit="1" customWidth="1"/>
    <col min="394" max="396" width="10.5546875" bestFit="1" customWidth="1"/>
    <col min="397" max="398" width="11.5546875" bestFit="1" customWidth="1"/>
    <col min="399" max="400" width="10.5546875" bestFit="1" customWidth="1"/>
    <col min="401" max="406" width="11.5546875" bestFit="1" customWidth="1"/>
    <col min="407" max="407" width="10.5546875" bestFit="1" customWidth="1"/>
    <col min="408" max="408" width="11.5546875" bestFit="1" customWidth="1"/>
    <col min="409" max="409" width="9.5546875" bestFit="1" customWidth="1"/>
    <col min="410" max="410" width="11.5546875" bestFit="1" customWidth="1"/>
    <col min="411" max="411" width="10.5546875" bestFit="1" customWidth="1"/>
    <col min="412" max="417" width="11.5546875" bestFit="1" customWidth="1"/>
    <col min="418" max="418" width="10.5546875" bestFit="1" customWidth="1"/>
    <col min="419" max="419" width="11.5546875" bestFit="1" customWidth="1"/>
    <col min="420" max="420" width="10.5546875" bestFit="1" customWidth="1"/>
    <col min="421" max="421" width="11.5546875" bestFit="1" customWidth="1"/>
    <col min="422" max="422" width="10.5546875" bestFit="1" customWidth="1"/>
    <col min="423" max="423" width="11.5546875" bestFit="1" customWidth="1"/>
    <col min="424" max="424" width="10.5546875" bestFit="1" customWidth="1"/>
    <col min="425" max="425" width="11.5546875" bestFit="1" customWidth="1"/>
    <col min="426" max="428" width="10.5546875" bestFit="1" customWidth="1"/>
    <col min="429" max="429" width="11.5546875" bestFit="1" customWidth="1"/>
    <col min="430" max="430" width="10.5546875" bestFit="1" customWidth="1"/>
    <col min="431" max="432" width="11.5546875" bestFit="1" customWidth="1"/>
    <col min="433" max="433" width="10.5546875" bestFit="1" customWidth="1"/>
    <col min="434" max="434" width="11.5546875" bestFit="1" customWidth="1"/>
    <col min="435" max="436" width="10.5546875" bestFit="1" customWidth="1"/>
    <col min="437" max="447" width="11.5546875" bestFit="1" customWidth="1"/>
    <col min="448" max="448" width="9.5546875" bestFit="1" customWidth="1"/>
    <col min="449" max="452" width="11.5546875" bestFit="1" customWidth="1"/>
    <col min="453" max="453" width="10.5546875" bestFit="1" customWidth="1"/>
    <col min="454" max="455" width="11.5546875" bestFit="1" customWidth="1"/>
    <col min="456" max="456" width="10.5546875" bestFit="1" customWidth="1"/>
    <col min="457" max="457" width="11.5546875" bestFit="1" customWidth="1"/>
    <col min="458" max="458" width="10.5546875" bestFit="1" customWidth="1"/>
    <col min="459" max="463" width="11.5546875" bestFit="1" customWidth="1"/>
    <col min="464" max="466" width="10.5546875" bestFit="1" customWidth="1"/>
    <col min="467" max="468" width="11.5546875" bestFit="1" customWidth="1"/>
    <col min="469" max="469" width="10.5546875" bestFit="1" customWidth="1"/>
    <col min="470" max="470" width="11.5546875" bestFit="1" customWidth="1"/>
    <col min="471" max="471" width="10.5546875" bestFit="1" customWidth="1"/>
    <col min="472" max="476" width="11.5546875" bestFit="1" customWidth="1"/>
    <col min="477" max="477" width="10.5546875" bestFit="1" customWidth="1"/>
    <col min="478" max="481" width="11.5546875" bestFit="1" customWidth="1"/>
    <col min="482" max="483" width="10.5546875" bestFit="1" customWidth="1"/>
    <col min="484" max="487" width="11.5546875" bestFit="1" customWidth="1"/>
    <col min="488" max="490" width="10.5546875" bestFit="1" customWidth="1"/>
    <col min="491" max="496" width="11.5546875" bestFit="1" customWidth="1"/>
    <col min="497" max="499" width="10.5546875" bestFit="1" customWidth="1"/>
    <col min="500" max="500" width="11.5546875" bestFit="1" customWidth="1"/>
    <col min="501" max="501" width="10.5546875" bestFit="1" customWidth="1"/>
    <col min="502" max="502" width="11.5546875" bestFit="1" customWidth="1"/>
    <col min="503" max="504" width="10.5546875" bestFit="1" customWidth="1"/>
    <col min="505" max="510" width="11.5546875" bestFit="1" customWidth="1"/>
    <col min="511" max="511" width="10.5546875" bestFit="1" customWidth="1"/>
    <col min="512" max="514" width="11.5546875" bestFit="1" customWidth="1"/>
    <col min="515" max="519" width="10.5546875" bestFit="1" customWidth="1"/>
    <col min="520" max="522" width="11.5546875" bestFit="1" customWidth="1"/>
    <col min="523" max="524" width="10.5546875" bestFit="1" customWidth="1"/>
    <col min="525" max="525" width="9.5546875" bestFit="1" customWidth="1"/>
    <col min="526" max="530" width="11.5546875" bestFit="1" customWidth="1"/>
    <col min="531" max="531" width="10.5546875" bestFit="1" customWidth="1"/>
    <col min="532" max="545" width="11.5546875" bestFit="1" customWidth="1"/>
    <col min="546" max="546" width="10.5546875" bestFit="1" customWidth="1"/>
    <col min="547" max="548" width="11.5546875" bestFit="1" customWidth="1"/>
    <col min="549" max="549" width="10.5546875" bestFit="1" customWidth="1"/>
    <col min="550" max="550" width="11.5546875" bestFit="1" customWidth="1"/>
    <col min="551" max="551" width="10.5546875" bestFit="1" customWidth="1"/>
    <col min="552" max="555" width="11.5546875" bestFit="1" customWidth="1"/>
    <col min="556" max="556" width="10.5546875" bestFit="1" customWidth="1"/>
    <col min="557" max="557" width="11.5546875" bestFit="1" customWidth="1"/>
    <col min="558" max="558" width="10.5546875" bestFit="1" customWidth="1"/>
    <col min="559" max="560" width="11.5546875" bestFit="1" customWidth="1"/>
    <col min="561" max="562" width="10.5546875" bestFit="1" customWidth="1"/>
    <col min="563" max="566" width="11.5546875" bestFit="1" customWidth="1"/>
    <col min="567" max="567" width="10.5546875" bestFit="1" customWidth="1"/>
    <col min="568" max="568" width="11.5546875" bestFit="1" customWidth="1"/>
    <col min="569" max="569" width="10.5546875" bestFit="1" customWidth="1"/>
    <col min="570" max="573" width="11.5546875" bestFit="1" customWidth="1"/>
    <col min="574" max="574" width="10.5546875" bestFit="1" customWidth="1"/>
    <col min="575" max="575" width="11.5546875" bestFit="1" customWidth="1"/>
    <col min="576" max="577" width="10.5546875" bestFit="1" customWidth="1"/>
    <col min="578" max="580" width="11.5546875" bestFit="1" customWidth="1"/>
    <col min="581" max="582" width="10.5546875" bestFit="1" customWidth="1"/>
    <col min="583" max="583" width="11.5546875" bestFit="1" customWidth="1"/>
    <col min="584" max="584" width="9.5546875" bestFit="1" customWidth="1"/>
    <col min="585" max="586" width="10.5546875" bestFit="1" customWidth="1"/>
    <col min="587" max="588" width="11.5546875" bestFit="1" customWidth="1"/>
    <col min="589" max="590" width="10.5546875" bestFit="1" customWidth="1"/>
    <col min="591" max="599" width="11.5546875" bestFit="1" customWidth="1"/>
    <col min="600" max="600" width="9.5546875" bestFit="1" customWidth="1"/>
    <col min="601" max="610" width="11.5546875" bestFit="1" customWidth="1"/>
    <col min="611" max="611" width="9.5546875" bestFit="1" customWidth="1"/>
    <col min="612" max="614" width="11.5546875" bestFit="1" customWidth="1"/>
    <col min="615" max="615" width="9.5546875" bestFit="1" customWidth="1"/>
    <col min="616" max="616" width="10.5546875" bestFit="1" customWidth="1"/>
    <col min="617" max="619" width="11.5546875" bestFit="1" customWidth="1"/>
    <col min="620" max="623" width="10.5546875" bestFit="1" customWidth="1"/>
    <col min="624" max="625" width="11.5546875" bestFit="1" customWidth="1"/>
    <col min="626" max="626" width="10.5546875" bestFit="1" customWidth="1"/>
    <col min="627" max="627" width="11.5546875" bestFit="1" customWidth="1"/>
    <col min="628" max="628" width="9.5546875" bestFit="1" customWidth="1"/>
    <col min="629" max="631" width="11.5546875" bestFit="1" customWidth="1"/>
    <col min="632" max="632" width="9.5546875" bestFit="1" customWidth="1"/>
    <col min="633" max="633" width="10.5546875" bestFit="1" customWidth="1"/>
    <col min="634" max="634" width="11.5546875" bestFit="1" customWidth="1"/>
    <col min="635" max="635" width="10.5546875" bestFit="1" customWidth="1"/>
    <col min="636" max="638" width="11.5546875" bestFit="1" customWidth="1"/>
    <col min="639" max="639" width="9.5546875" bestFit="1" customWidth="1"/>
    <col min="640" max="640" width="10.5546875" bestFit="1" customWidth="1"/>
    <col min="641" max="641" width="11.5546875" bestFit="1" customWidth="1"/>
    <col min="642" max="642" width="10.5546875" bestFit="1" customWidth="1"/>
    <col min="643" max="644" width="11.5546875" bestFit="1" customWidth="1"/>
    <col min="645" max="645" width="10.5546875" bestFit="1" customWidth="1"/>
    <col min="646" max="648" width="11.5546875" bestFit="1" customWidth="1"/>
    <col min="649" max="651" width="10.5546875" bestFit="1" customWidth="1"/>
    <col min="652" max="652" width="11.5546875" bestFit="1" customWidth="1"/>
    <col min="653" max="653" width="10.5546875" bestFit="1" customWidth="1"/>
    <col min="654" max="654" width="11.5546875" bestFit="1" customWidth="1"/>
    <col min="655" max="655" width="10.5546875" bestFit="1" customWidth="1"/>
    <col min="656" max="661" width="11.5546875" bestFit="1" customWidth="1"/>
    <col min="662" max="662" width="10.5546875" bestFit="1" customWidth="1"/>
    <col min="663" max="666" width="11.5546875" bestFit="1" customWidth="1"/>
    <col min="667" max="667" width="10.5546875" bestFit="1" customWidth="1"/>
    <col min="668" max="668" width="11.5546875" bestFit="1" customWidth="1"/>
    <col min="669" max="670" width="10.5546875" bestFit="1" customWidth="1"/>
    <col min="671" max="672" width="11.5546875" bestFit="1" customWidth="1"/>
    <col min="673" max="673" width="10.5546875" bestFit="1" customWidth="1"/>
    <col min="674" max="674" width="11.5546875" bestFit="1" customWidth="1"/>
    <col min="675" max="675" width="10.5546875" bestFit="1" customWidth="1"/>
    <col min="676" max="676" width="9.5546875" bestFit="1" customWidth="1"/>
    <col min="677" max="677" width="11.5546875" bestFit="1" customWidth="1"/>
    <col min="678" max="678" width="10.5546875" bestFit="1" customWidth="1"/>
    <col min="679" max="680" width="11.5546875" bestFit="1" customWidth="1"/>
    <col min="681" max="681" width="10.5546875" bestFit="1" customWidth="1"/>
    <col min="682" max="684" width="11.5546875" bestFit="1" customWidth="1"/>
    <col min="685" max="685" width="10.5546875" bestFit="1" customWidth="1"/>
    <col min="686" max="692" width="11.5546875" bestFit="1" customWidth="1"/>
    <col min="693" max="693" width="9.5546875" bestFit="1" customWidth="1"/>
    <col min="694" max="695" width="11.5546875" bestFit="1" customWidth="1"/>
    <col min="696" max="696" width="10.5546875" bestFit="1" customWidth="1"/>
    <col min="697" max="697" width="11.5546875" bestFit="1" customWidth="1"/>
    <col min="698" max="698" width="9.5546875" bestFit="1" customWidth="1"/>
    <col min="699" max="699" width="10.5546875" bestFit="1" customWidth="1"/>
    <col min="700" max="703" width="11.5546875" bestFit="1" customWidth="1"/>
    <col min="704" max="704" width="10.5546875" bestFit="1" customWidth="1"/>
    <col min="705" max="711" width="11.5546875" bestFit="1" customWidth="1"/>
    <col min="712" max="713" width="10.5546875" bestFit="1" customWidth="1"/>
    <col min="714" max="714" width="11.5546875" bestFit="1" customWidth="1"/>
    <col min="715" max="715" width="10.5546875" bestFit="1" customWidth="1"/>
    <col min="716" max="716" width="9.5546875" bestFit="1" customWidth="1"/>
    <col min="717" max="718" width="11.5546875" bestFit="1" customWidth="1"/>
    <col min="719" max="726" width="10.5546875" bestFit="1" customWidth="1"/>
    <col min="727" max="728" width="11.5546875" bestFit="1" customWidth="1"/>
    <col min="729" max="729" width="10.5546875" bestFit="1" customWidth="1"/>
    <col min="730" max="730" width="11.5546875" bestFit="1" customWidth="1"/>
    <col min="731" max="731" width="10.5546875" bestFit="1" customWidth="1"/>
    <col min="732" max="732" width="11.5546875" bestFit="1" customWidth="1"/>
    <col min="733" max="733" width="9.5546875" bestFit="1" customWidth="1"/>
    <col min="734" max="734" width="10.5546875" bestFit="1" customWidth="1"/>
    <col min="735" max="735" width="11.5546875" bestFit="1" customWidth="1"/>
    <col min="736" max="737" width="10.5546875" bestFit="1" customWidth="1"/>
    <col min="738" max="738" width="11.5546875" bestFit="1" customWidth="1"/>
    <col min="739" max="739" width="9.5546875" bestFit="1" customWidth="1"/>
    <col min="740" max="740" width="10.5546875" bestFit="1" customWidth="1"/>
    <col min="741" max="742" width="11.5546875" bestFit="1" customWidth="1"/>
    <col min="743" max="744" width="10.5546875" bestFit="1" customWidth="1"/>
    <col min="745" max="746" width="11.5546875" bestFit="1" customWidth="1"/>
    <col min="747" max="747" width="10.5546875" bestFit="1" customWidth="1"/>
    <col min="748" max="748" width="11.5546875" bestFit="1" customWidth="1"/>
    <col min="749" max="749" width="9.5546875" bestFit="1" customWidth="1"/>
    <col min="750" max="750" width="11.5546875" bestFit="1" customWidth="1"/>
    <col min="751" max="751" width="10.5546875" bestFit="1" customWidth="1"/>
    <col min="752" max="752" width="11.5546875" bestFit="1" customWidth="1"/>
    <col min="753" max="753" width="10.5546875" bestFit="1" customWidth="1"/>
    <col min="754" max="754" width="11.5546875" bestFit="1" customWidth="1"/>
    <col min="755" max="755" width="10.5546875" bestFit="1" customWidth="1"/>
    <col min="756" max="756" width="9.5546875" bestFit="1" customWidth="1"/>
    <col min="757" max="757" width="10.5546875" bestFit="1" customWidth="1"/>
    <col min="758" max="758" width="8.5546875" bestFit="1" customWidth="1"/>
    <col min="759" max="760" width="11.5546875" bestFit="1" customWidth="1"/>
    <col min="761" max="767" width="10.5546875" bestFit="1" customWidth="1"/>
    <col min="768" max="768" width="11.5546875" bestFit="1" customWidth="1"/>
    <col min="769" max="772" width="10.5546875" bestFit="1" customWidth="1"/>
    <col min="773" max="773" width="11.5546875" bestFit="1" customWidth="1"/>
    <col min="774" max="774" width="10.5546875" bestFit="1" customWidth="1"/>
    <col min="775" max="775" width="11.5546875" bestFit="1" customWidth="1"/>
    <col min="776" max="776" width="10.5546875" bestFit="1" customWidth="1"/>
    <col min="777" max="778" width="9.5546875" bestFit="1" customWidth="1"/>
    <col min="779" max="779" width="11.5546875" bestFit="1" customWidth="1"/>
    <col min="780" max="784" width="10.5546875" bestFit="1" customWidth="1"/>
    <col min="785" max="785" width="9.5546875" bestFit="1" customWidth="1"/>
    <col min="786" max="796" width="10.5546875" bestFit="1" customWidth="1"/>
    <col min="797" max="797" width="9.5546875" bestFit="1" customWidth="1"/>
    <col min="798" max="799" width="10.5546875" bestFit="1" customWidth="1"/>
    <col min="800" max="800" width="9.5546875" bestFit="1" customWidth="1"/>
    <col min="801" max="801" width="10.5546875" bestFit="1" customWidth="1"/>
    <col min="802" max="802" width="9.5546875" bestFit="1" customWidth="1"/>
    <col min="803" max="810" width="10.5546875" bestFit="1" customWidth="1"/>
    <col min="811" max="811" width="9.5546875" bestFit="1" customWidth="1"/>
    <col min="812" max="815" width="10.5546875" bestFit="1" customWidth="1"/>
    <col min="816" max="816" width="9.5546875" bestFit="1" customWidth="1"/>
    <col min="817" max="836" width="10.5546875" bestFit="1" customWidth="1"/>
    <col min="837" max="837" width="9.5546875" bestFit="1" customWidth="1"/>
    <col min="838" max="848" width="10.5546875" bestFit="1" customWidth="1"/>
    <col min="849" max="849" width="9.5546875" bestFit="1" customWidth="1"/>
    <col min="850" max="856" width="10.5546875" bestFit="1" customWidth="1"/>
    <col min="857" max="858" width="9.5546875" bestFit="1" customWidth="1"/>
    <col min="859" max="866" width="10.5546875" bestFit="1" customWidth="1"/>
    <col min="867" max="867" width="9.5546875" bestFit="1" customWidth="1"/>
    <col min="868" max="875" width="10.5546875" bestFit="1" customWidth="1"/>
    <col min="876" max="876" width="9.5546875" bestFit="1" customWidth="1"/>
    <col min="877" max="886" width="10.5546875" bestFit="1" customWidth="1"/>
    <col min="887" max="887" width="9.5546875" bestFit="1" customWidth="1"/>
    <col min="888" max="888" width="10.5546875" bestFit="1" customWidth="1"/>
    <col min="889" max="889" width="9.5546875" bestFit="1" customWidth="1"/>
    <col min="890" max="890" width="10.5546875" bestFit="1" customWidth="1"/>
    <col min="891" max="891" width="9.5546875" bestFit="1" customWidth="1"/>
    <col min="892" max="924" width="10.5546875" bestFit="1" customWidth="1"/>
    <col min="925" max="925" width="9.5546875" bestFit="1" customWidth="1"/>
    <col min="926" max="926" width="10.5546875" bestFit="1" customWidth="1"/>
    <col min="927" max="927" width="9.5546875" bestFit="1" customWidth="1"/>
    <col min="928" max="933" width="10.5546875" bestFit="1" customWidth="1"/>
    <col min="934" max="934" width="9.5546875" bestFit="1" customWidth="1"/>
    <col min="935" max="945" width="10.5546875" bestFit="1" customWidth="1"/>
    <col min="946" max="946" width="9.5546875" bestFit="1" customWidth="1"/>
    <col min="947" max="950" width="10.5546875" bestFit="1" customWidth="1"/>
    <col min="951" max="951" width="8.5546875" bestFit="1" customWidth="1"/>
    <col min="952" max="989" width="10.5546875" bestFit="1" customWidth="1"/>
    <col min="990" max="990" width="10.77734375" bestFit="1" customWidth="1"/>
  </cols>
  <sheetData>
    <row r="1" spans="2:20" ht="38.4" customHeight="1" x14ac:dyDescent="0.3"/>
    <row r="3" spans="2:20" x14ac:dyDescent="0.3">
      <c r="B3" s="16" t="s">
        <v>5689</v>
      </c>
      <c r="C3" t="s">
        <v>5751</v>
      </c>
      <c r="E3" s="16" t="s">
        <v>5689</v>
      </c>
      <c r="F3" t="s">
        <v>5751</v>
      </c>
      <c r="H3" s="16" t="s">
        <v>5689</v>
      </c>
      <c r="I3" t="s">
        <v>5751</v>
      </c>
      <c r="K3" s="16" t="s">
        <v>5689</v>
      </c>
      <c r="L3" t="s">
        <v>5752</v>
      </c>
      <c r="M3" t="s">
        <v>5753</v>
      </c>
      <c r="O3" t="s">
        <v>5754</v>
      </c>
      <c r="P3" t="s">
        <v>5755</v>
      </c>
      <c r="R3" s="16" t="s">
        <v>5689</v>
      </c>
      <c r="S3" t="s">
        <v>5774</v>
      </c>
      <c r="T3" t="s">
        <v>5751</v>
      </c>
    </row>
    <row r="4" spans="2:20" x14ac:dyDescent="0.3">
      <c r="B4" s="17" t="s">
        <v>20</v>
      </c>
      <c r="C4" s="42">
        <v>3374645576.6176357</v>
      </c>
      <c r="E4" s="17" t="s">
        <v>66</v>
      </c>
      <c r="F4" s="42">
        <v>1820665747.548681</v>
      </c>
      <c r="H4" s="17" t="s">
        <v>5691</v>
      </c>
      <c r="I4" s="42">
        <v>1849801361.6817997</v>
      </c>
      <c r="K4" s="17" t="s">
        <v>180</v>
      </c>
      <c r="L4" s="42">
        <v>395287294.05400789</v>
      </c>
      <c r="M4" s="42">
        <v>248890008.25728503</v>
      </c>
      <c r="O4" t="s">
        <v>5756</v>
      </c>
      <c r="P4" s="42">
        <f>SUM(tblsales[Tender Value USD])</f>
        <v>16413464674.96471</v>
      </c>
      <c r="R4" s="17" t="s">
        <v>66</v>
      </c>
      <c r="S4" s="42">
        <v>2081828851.5795007</v>
      </c>
      <c r="T4" s="42">
        <v>1820665747.548681</v>
      </c>
    </row>
    <row r="5" spans="2:20" x14ac:dyDescent="0.3">
      <c r="B5" s="17" t="s">
        <v>41</v>
      </c>
      <c r="C5" s="42">
        <v>3234712460.4731493</v>
      </c>
      <c r="E5" s="17" t="s">
        <v>70</v>
      </c>
      <c r="F5" s="42">
        <v>1213786629.017694</v>
      </c>
      <c r="H5" s="17" t="s">
        <v>5692</v>
      </c>
      <c r="I5" s="42">
        <v>2099169088.7881148</v>
      </c>
      <c r="K5" s="17" t="s">
        <v>245</v>
      </c>
      <c r="L5" s="42">
        <v>383441284.65328902</v>
      </c>
      <c r="M5" s="42">
        <v>302282357.49044001</v>
      </c>
      <c r="O5" t="s">
        <v>5741</v>
      </c>
      <c r="P5" s="42">
        <f>SUM(tblsales[Contract Value USD])</f>
        <v>14649565619.889441</v>
      </c>
      <c r="R5" s="17" t="s">
        <v>70</v>
      </c>
      <c r="S5" s="42">
        <v>1341797266.5100002</v>
      </c>
      <c r="T5" s="42">
        <v>1213786629.017694</v>
      </c>
    </row>
    <row r="6" spans="2:20" x14ac:dyDescent="0.3">
      <c r="B6" s="17" t="s">
        <v>36</v>
      </c>
      <c r="C6" s="42">
        <v>2530492004.6063156</v>
      </c>
      <c r="E6" s="17" t="s">
        <v>16</v>
      </c>
      <c r="F6" s="42">
        <v>1145634671.0933199</v>
      </c>
      <c r="H6" s="17" t="s">
        <v>5693</v>
      </c>
      <c r="I6" s="42">
        <v>1011750532.8369052</v>
      </c>
      <c r="K6" s="17" t="s">
        <v>394</v>
      </c>
      <c r="L6" s="42">
        <v>377920314.22974896</v>
      </c>
      <c r="M6" s="42">
        <v>268952025.30733502</v>
      </c>
      <c r="O6" t="s">
        <v>5723</v>
      </c>
      <c r="P6" s="42">
        <f>SUM(tblsales[Invoice Value USD])</f>
        <v>6986176008.9494333</v>
      </c>
      <c r="R6" s="17" t="s">
        <v>16</v>
      </c>
      <c r="S6" s="42">
        <v>1300009924.3756003</v>
      </c>
      <c r="T6" s="42">
        <v>1145634671.0933199</v>
      </c>
    </row>
    <row r="7" spans="2:20" x14ac:dyDescent="0.3">
      <c r="B7" s="17" t="s">
        <v>113</v>
      </c>
      <c r="C7" s="42">
        <v>2265515980.9667225</v>
      </c>
      <c r="E7" s="17" t="s">
        <v>46</v>
      </c>
      <c r="F7" s="42">
        <v>1126262621.7675123</v>
      </c>
      <c r="H7" s="17" t="s">
        <v>5694</v>
      </c>
      <c r="I7" s="42">
        <v>1372220243.0399828</v>
      </c>
      <c r="K7" s="17" t="s">
        <v>255</v>
      </c>
      <c r="L7" s="42">
        <v>377513862.74001396</v>
      </c>
      <c r="M7" s="42">
        <v>263971567.98483801</v>
      </c>
      <c r="O7" t="s">
        <v>5757</v>
      </c>
      <c r="P7" s="42">
        <f>SUM(tblsales[Collected Amount USD])</f>
        <v>4920441581.6253586</v>
      </c>
      <c r="R7" s="17" t="s">
        <v>46</v>
      </c>
      <c r="S7" s="42">
        <v>1276600401.5500998</v>
      </c>
      <c r="T7" s="42">
        <v>1126262621.7675123</v>
      </c>
    </row>
    <row r="8" spans="2:20" x14ac:dyDescent="0.3">
      <c r="B8" s="17" t="s">
        <v>332</v>
      </c>
      <c r="C8" s="42">
        <v>1916288365.7054496</v>
      </c>
      <c r="E8" s="17" t="s">
        <v>73</v>
      </c>
      <c r="F8" s="42">
        <v>1079693103.8837731</v>
      </c>
      <c r="H8" s="17" t="s">
        <v>5695</v>
      </c>
      <c r="I8" s="42">
        <v>1280819493.0247164</v>
      </c>
      <c r="K8" s="17" t="s">
        <v>209</v>
      </c>
      <c r="L8" s="42">
        <v>371091555.39510798</v>
      </c>
      <c r="M8" s="42">
        <v>247810353.445714</v>
      </c>
      <c r="R8" s="17" t="s">
        <v>73</v>
      </c>
      <c r="S8" s="42">
        <v>1236092002.6775999</v>
      </c>
      <c r="T8" s="42">
        <v>1079693103.8837731</v>
      </c>
    </row>
    <row r="9" spans="2:20" x14ac:dyDescent="0.3">
      <c r="B9" s="17" t="s">
        <v>52</v>
      </c>
      <c r="C9" s="42">
        <v>1327911231.5201671</v>
      </c>
      <c r="E9" s="17" t="s">
        <v>57</v>
      </c>
      <c r="F9" s="42">
        <v>1068486792.7752461</v>
      </c>
      <c r="H9" s="17" t="s">
        <v>5696</v>
      </c>
      <c r="I9" s="42">
        <v>1014304556.799384</v>
      </c>
      <c r="K9" s="17" t="s">
        <v>232</v>
      </c>
      <c r="L9" s="42">
        <v>364944829.9301911</v>
      </c>
      <c r="M9" s="42">
        <v>300521877.48193997</v>
      </c>
      <c r="O9" s="38" t="s">
        <v>5758</v>
      </c>
      <c r="R9" s="17" t="s">
        <v>57</v>
      </c>
      <c r="S9" s="42">
        <v>1227677105.4954002</v>
      </c>
      <c r="T9" s="42">
        <v>1068486792.7752461</v>
      </c>
    </row>
    <row r="10" spans="2:20" x14ac:dyDescent="0.3">
      <c r="B10" s="17" t="s">
        <v>5690</v>
      </c>
      <c r="C10" s="42">
        <v>14649565619.889441</v>
      </c>
      <c r="E10" s="17" t="s">
        <v>38</v>
      </c>
      <c r="F10" s="42">
        <v>1048102488.1034056</v>
      </c>
      <c r="H10" s="17" t="s">
        <v>5697</v>
      </c>
      <c r="I10" s="42">
        <v>999364827.29480588</v>
      </c>
      <c r="K10" s="17" t="s">
        <v>202</v>
      </c>
      <c r="L10" s="42">
        <v>358824747.84836996</v>
      </c>
      <c r="M10" s="42">
        <v>244843158.21167099</v>
      </c>
      <c r="O10" s="39">
        <f>P5/P4</f>
        <v>0.8925334114395892</v>
      </c>
      <c r="R10" s="17" t="s">
        <v>38</v>
      </c>
      <c r="S10" s="42">
        <v>1206730503.8227997</v>
      </c>
      <c r="T10" s="42">
        <v>1048102488.1034056</v>
      </c>
    </row>
    <row r="11" spans="2:20" x14ac:dyDescent="0.3">
      <c r="E11" s="17" t="s">
        <v>50</v>
      </c>
      <c r="F11" s="42">
        <v>955076628.40472305</v>
      </c>
      <c r="H11" s="17" t="s">
        <v>5698</v>
      </c>
      <c r="I11" s="42">
        <v>1096257272.89324</v>
      </c>
      <c r="K11" s="17" t="s">
        <v>190</v>
      </c>
      <c r="L11" s="42">
        <v>354989861.44563699</v>
      </c>
      <c r="M11" s="42">
        <v>262257900.72612792</v>
      </c>
      <c r="R11" s="17" t="s">
        <v>50</v>
      </c>
      <c r="S11" s="42">
        <v>1046036404.5325999</v>
      </c>
      <c r="T11" s="42">
        <v>955076628.40472305</v>
      </c>
    </row>
    <row r="12" spans="2:20" x14ac:dyDescent="0.3">
      <c r="E12" s="17" t="s">
        <v>23</v>
      </c>
      <c r="F12" s="42">
        <v>874746808.73766613</v>
      </c>
      <c r="H12" s="17" t="s">
        <v>5699</v>
      </c>
      <c r="I12" s="42">
        <v>1013005825.9202739</v>
      </c>
      <c r="K12" s="17" t="s">
        <v>215</v>
      </c>
      <c r="L12" s="42">
        <v>353094577.003874</v>
      </c>
      <c r="M12" s="42">
        <v>238447950.39536497</v>
      </c>
      <c r="O12" s="16" t="s">
        <v>5689</v>
      </c>
      <c r="P12" t="s">
        <v>5753</v>
      </c>
      <c r="R12" s="17" t="s">
        <v>23</v>
      </c>
      <c r="S12" s="42">
        <v>967301914.94199991</v>
      </c>
      <c r="T12" s="42">
        <v>874746808.73766613</v>
      </c>
    </row>
    <row r="13" spans="2:20" x14ac:dyDescent="0.3">
      <c r="B13" s="16" t="s">
        <v>5689</v>
      </c>
      <c r="C13" t="s">
        <v>5751</v>
      </c>
      <c r="E13" s="17" t="s">
        <v>62</v>
      </c>
      <c r="F13" s="42">
        <v>844453154.26286483</v>
      </c>
      <c r="H13" s="17" t="s">
        <v>5700</v>
      </c>
      <c r="I13" s="42">
        <v>1107272997.1571059</v>
      </c>
      <c r="K13" s="17" t="s">
        <v>265</v>
      </c>
      <c r="L13" s="42">
        <v>352808432.25024593</v>
      </c>
      <c r="M13" s="42">
        <v>241625138.15856695</v>
      </c>
      <c r="O13" s="17" t="s">
        <v>66</v>
      </c>
      <c r="P13" s="42">
        <v>595552685.50037301</v>
      </c>
      <c r="R13" s="17" t="s">
        <v>62</v>
      </c>
      <c r="S13" s="42">
        <v>954225094.81109965</v>
      </c>
      <c r="T13" s="42">
        <v>844453154.26286483</v>
      </c>
    </row>
    <row r="14" spans="2:20" x14ac:dyDescent="0.3">
      <c r="B14" s="17" t="s">
        <v>245</v>
      </c>
      <c r="C14" s="29">
        <v>884422679.85679448</v>
      </c>
      <c r="E14" s="17" t="s">
        <v>28</v>
      </c>
      <c r="F14" s="42">
        <v>795158470.00694871</v>
      </c>
      <c r="H14" s="17" t="s">
        <v>5701</v>
      </c>
      <c r="I14" s="42">
        <v>995182783.94408798</v>
      </c>
      <c r="K14" s="17" t="s">
        <v>262</v>
      </c>
      <c r="L14" s="42">
        <v>341025785.22109801</v>
      </c>
      <c r="M14" s="42">
        <v>236131180.75668201</v>
      </c>
      <c r="O14" s="17" t="s">
        <v>70</v>
      </c>
      <c r="P14" s="42">
        <v>415326249.11600888</v>
      </c>
      <c r="R14" s="17" t="s">
        <v>28</v>
      </c>
      <c r="S14" s="42">
        <v>867641228.67120004</v>
      </c>
      <c r="T14" s="42">
        <v>795158470.00694871</v>
      </c>
    </row>
    <row r="15" spans="2:20" x14ac:dyDescent="0.3">
      <c r="B15" s="17" t="s">
        <v>180</v>
      </c>
      <c r="C15" s="29">
        <v>859940938.0582999</v>
      </c>
      <c r="E15" s="17" t="s">
        <v>78</v>
      </c>
      <c r="F15" s="42">
        <v>782701594.15442896</v>
      </c>
      <c r="H15" s="17" t="s">
        <v>5702</v>
      </c>
      <c r="I15" s="42">
        <v>810416636.50902319</v>
      </c>
      <c r="K15" s="17" t="s">
        <v>248</v>
      </c>
      <c r="L15" s="42">
        <v>339314035.27905291</v>
      </c>
      <c r="M15" s="42">
        <v>236481676.62504598</v>
      </c>
      <c r="O15" s="17" t="s">
        <v>57</v>
      </c>
      <c r="P15" s="42">
        <v>395064249.58596092</v>
      </c>
      <c r="R15" s="17" t="s">
        <v>78</v>
      </c>
      <c r="S15" s="42">
        <v>857055621.18200016</v>
      </c>
      <c r="T15" s="42">
        <v>782701594.15442896</v>
      </c>
    </row>
    <row r="16" spans="2:20" x14ac:dyDescent="0.3">
      <c r="B16" s="17" t="s">
        <v>265</v>
      </c>
      <c r="C16" s="29">
        <v>836140580.28433299</v>
      </c>
      <c r="E16" s="17" t="s">
        <v>332</v>
      </c>
      <c r="F16" s="42">
        <v>694472148.30897331</v>
      </c>
      <c r="H16" s="17" t="s">
        <v>5690</v>
      </c>
      <c r="I16" s="42">
        <v>14649565619.889441</v>
      </c>
      <c r="K16" s="17" t="s">
        <v>238</v>
      </c>
      <c r="L16" s="42">
        <v>315802219.25011504</v>
      </c>
      <c r="M16" s="42">
        <v>223878419.96578297</v>
      </c>
      <c r="O16" s="17" t="s">
        <v>16</v>
      </c>
      <c r="P16" s="42">
        <v>385549856.33758712</v>
      </c>
      <c r="R16" s="17" t="s">
        <v>332</v>
      </c>
      <c r="S16" s="42">
        <v>735686543.01829994</v>
      </c>
      <c r="T16" s="42">
        <v>694472148.30897331</v>
      </c>
    </row>
    <row r="17" spans="2:20" x14ac:dyDescent="0.3">
      <c r="B17" s="17" t="s">
        <v>215</v>
      </c>
      <c r="C17" s="29">
        <v>796392568.6251632</v>
      </c>
      <c r="E17" s="17" t="s">
        <v>33</v>
      </c>
      <c r="F17" s="42">
        <v>637426490.62860596</v>
      </c>
      <c r="K17" s="17" t="s">
        <v>250</v>
      </c>
      <c r="L17" s="42">
        <v>311771966.44656706</v>
      </c>
      <c r="M17" s="42">
        <v>223247654.81233498</v>
      </c>
      <c r="O17" s="17" t="s">
        <v>46</v>
      </c>
      <c r="P17" s="42">
        <v>357792286.02064389</v>
      </c>
      <c r="R17" s="17" t="s">
        <v>33</v>
      </c>
      <c r="S17" s="42">
        <v>726645768.12160003</v>
      </c>
      <c r="T17" s="42">
        <v>637426490.62860596</v>
      </c>
    </row>
    <row r="18" spans="2:20" x14ac:dyDescent="0.3">
      <c r="B18" s="17" t="s">
        <v>232</v>
      </c>
      <c r="C18" s="29">
        <v>776923040.85050213</v>
      </c>
      <c r="E18" s="17" t="s">
        <v>80</v>
      </c>
      <c r="F18" s="42">
        <v>562898271.19559598</v>
      </c>
      <c r="H18" s="16" t="s">
        <v>5689</v>
      </c>
      <c r="I18" t="s">
        <v>5751</v>
      </c>
      <c r="K18" s="17" t="s">
        <v>332</v>
      </c>
      <c r="L18" s="42">
        <v>311575009.58753008</v>
      </c>
      <c r="M18" s="42">
        <v>202647508.35975704</v>
      </c>
      <c r="O18" s="17" t="s">
        <v>73</v>
      </c>
      <c r="P18" s="42">
        <v>347229801.60204995</v>
      </c>
      <c r="R18" s="17" t="s">
        <v>80</v>
      </c>
      <c r="S18" s="42">
        <v>588136043.67490005</v>
      </c>
      <c r="T18" s="42">
        <v>562898271.19559598</v>
      </c>
    </row>
    <row r="19" spans="2:20" x14ac:dyDescent="0.3">
      <c r="B19" s="17" t="s">
        <v>202</v>
      </c>
      <c r="C19" s="29">
        <v>756296836.2781409</v>
      </c>
      <c r="E19" s="17" t="s">
        <v>5690</v>
      </c>
      <c r="F19" s="42">
        <v>14649565619.889441</v>
      </c>
      <c r="H19" s="17" t="s">
        <v>136</v>
      </c>
      <c r="I19" s="42">
        <v>3258995809.2160401</v>
      </c>
      <c r="K19" s="17" t="s">
        <v>274</v>
      </c>
      <c r="L19" s="42">
        <v>303044407.50530905</v>
      </c>
      <c r="M19" s="42">
        <v>197244066.01227796</v>
      </c>
      <c r="O19" s="17" t="s">
        <v>50</v>
      </c>
      <c r="P19" s="42">
        <v>339048432.87877715</v>
      </c>
      <c r="R19" s="17" t="s">
        <v>5690</v>
      </c>
      <c r="S19" s="42">
        <v>16413464674.96471</v>
      </c>
      <c r="T19" s="42">
        <v>14649565619.889441</v>
      </c>
    </row>
    <row r="20" spans="2:20" x14ac:dyDescent="0.3">
      <c r="B20" s="17" t="s">
        <v>209</v>
      </c>
      <c r="C20" s="29">
        <v>744920870.01608205</v>
      </c>
      <c r="H20" s="17" t="s">
        <v>115</v>
      </c>
      <c r="I20" s="42">
        <v>2531977810.542449</v>
      </c>
      <c r="K20" s="17" t="s">
        <v>220</v>
      </c>
      <c r="L20" s="42">
        <v>291401865.82575202</v>
      </c>
      <c r="M20" s="42">
        <v>188140654.47578895</v>
      </c>
      <c r="O20" s="17" t="s">
        <v>23</v>
      </c>
      <c r="P20" s="42">
        <v>305352107.55259001</v>
      </c>
    </row>
    <row r="21" spans="2:20" x14ac:dyDescent="0.3">
      <c r="B21" s="17" t="s">
        <v>190</v>
      </c>
      <c r="C21" s="29">
        <v>731553629.3306278</v>
      </c>
      <c r="H21" s="17" t="s">
        <v>130</v>
      </c>
      <c r="I21" s="42">
        <v>2192828809.9007416</v>
      </c>
      <c r="K21" s="17" t="s">
        <v>242</v>
      </c>
      <c r="L21" s="42">
        <v>280743722.87639296</v>
      </c>
      <c r="M21" s="42">
        <v>192792654.15587205</v>
      </c>
      <c r="O21" s="17" t="s">
        <v>28</v>
      </c>
      <c r="P21" s="42">
        <v>304067555.16882795</v>
      </c>
    </row>
    <row r="22" spans="2:20" x14ac:dyDescent="0.3">
      <c r="B22" s="17" t="s">
        <v>220</v>
      </c>
      <c r="C22" s="29">
        <v>730076135.55902815</v>
      </c>
      <c r="E22" s="16" t="s">
        <v>5689</v>
      </c>
      <c r="F22" t="s">
        <v>5703</v>
      </c>
      <c r="H22" s="17" t="s">
        <v>105</v>
      </c>
      <c r="I22" s="42">
        <v>2005635176.8119113</v>
      </c>
      <c r="K22" s="17" t="s">
        <v>253</v>
      </c>
      <c r="L22" s="42">
        <v>279739881.09280801</v>
      </c>
      <c r="M22" s="42">
        <v>196072926.45732701</v>
      </c>
      <c r="O22" s="17" t="s">
        <v>38</v>
      </c>
      <c r="P22" s="42">
        <v>303745448.06774098</v>
      </c>
    </row>
    <row r="23" spans="2:20" x14ac:dyDescent="0.3">
      <c r="B23" s="17" t="s">
        <v>274</v>
      </c>
      <c r="C23" s="29">
        <v>717971732.54294002</v>
      </c>
      <c r="E23" s="17" t="s">
        <v>381</v>
      </c>
      <c r="F23">
        <v>135</v>
      </c>
      <c r="H23" s="17" t="s">
        <v>99</v>
      </c>
      <c r="I23" s="42">
        <v>1066700800.9314091</v>
      </c>
      <c r="K23" s="17" t="s">
        <v>562</v>
      </c>
      <c r="L23" s="42">
        <v>268893700.14209396</v>
      </c>
      <c r="M23" s="42">
        <v>194673548.52668098</v>
      </c>
      <c r="O23" s="17" t="s">
        <v>62</v>
      </c>
      <c r="P23" s="42">
        <v>295752665.45754403</v>
      </c>
    </row>
    <row r="24" spans="2:20" x14ac:dyDescent="0.3">
      <c r="B24" s="17" t="s">
        <v>262</v>
      </c>
      <c r="C24" s="29">
        <v>692486928.70274186</v>
      </c>
      <c r="E24" s="17" t="s">
        <v>354</v>
      </c>
      <c r="F24">
        <v>145</v>
      </c>
      <c r="H24" s="17" t="s">
        <v>111</v>
      </c>
      <c r="I24" s="42">
        <v>1009497633.4777498</v>
      </c>
      <c r="K24" s="17" t="s">
        <v>281</v>
      </c>
      <c r="L24" s="42">
        <v>252946656.17223006</v>
      </c>
      <c r="M24" s="42">
        <v>209528954.01851803</v>
      </c>
      <c r="O24" s="17" t="s">
        <v>78</v>
      </c>
      <c r="P24" s="42">
        <v>293766466.18666899</v>
      </c>
    </row>
    <row r="25" spans="2:20" x14ac:dyDescent="0.3">
      <c r="B25" s="17" t="s">
        <v>394</v>
      </c>
      <c r="C25" s="29">
        <v>682111564.38956213</v>
      </c>
      <c r="E25" s="17" t="s">
        <v>226</v>
      </c>
      <c r="F25">
        <v>146</v>
      </c>
      <c r="H25" s="17" t="s">
        <v>133</v>
      </c>
      <c r="I25" s="42">
        <v>890070734.89017379</v>
      </c>
      <c r="K25" s="17" t="s">
        <v>5690</v>
      </c>
      <c r="L25" s="42">
        <v>6986176008.9494333</v>
      </c>
      <c r="M25" s="42">
        <v>4920441581.6253586</v>
      </c>
      <c r="O25" s="17" t="s">
        <v>33</v>
      </c>
      <c r="P25" s="42">
        <v>218863030.31464708</v>
      </c>
    </row>
    <row r="26" spans="2:20" x14ac:dyDescent="0.3">
      <c r="B26" s="17" t="s">
        <v>255</v>
      </c>
      <c r="C26" s="29">
        <v>672512089.23188901</v>
      </c>
      <c r="E26" s="17" t="s">
        <v>406</v>
      </c>
      <c r="F26">
        <v>149</v>
      </c>
      <c r="H26" s="17" t="s">
        <v>127</v>
      </c>
      <c r="I26" s="42">
        <v>688281069.81346095</v>
      </c>
      <c r="O26" s="17" t="s">
        <v>332</v>
      </c>
      <c r="P26" s="42">
        <v>205216997.81127006</v>
      </c>
    </row>
    <row r="27" spans="2:20" x14ac:dyDescent="0.3">
      <c r="B27" s="17" t="s">
        <v>248</v>
      </c>
      <c r="C27" s="29">
        <v>664337277.70013916</v>
      </c>
      <c r="E27" s="17" t="s">
        <v>455</v>
      </c>
      <c r="F27">
        <v>130</v>
      </c>
      <c r="H27" s="17" t="s">
        <v>123</v>
      </c>
      <c r="I27" s="42">
        <v>567737277.675511</v>
      </c>
      <c r="O27" s="17" t="s">
        <v>80</v>
      </c>
      <c r="P27" s="42">
        <v>158113750.02466103</v>
      </c>
    </row>
    <row r="28" spans="2:20" x14ac:dyDescent="0.3">
      <c r="B28" s="17" t="s">
        <v>238</v>
      </c>
      <c r="C28" s="29">
        <v>639826163.32017303</v>
      </c>
      <c r="E28" s="17" t="s">
        <v>336</v>
      </c>
      <c r="F28">
        <v>140</v>
      </c>
      <c r="H28" s="17" t="s">
        <v>119</v>
      </c>
      <c r="I28" s="42">
        <v>437840496.62999302</v>
      </c>
      <c r="O28" s="17" t="s">
        <v>5690</v>
      </c>
      <c r="P28" s="42">
        <v>4920441581.6253586</v>
      </c>
    </row>
    <row r="29" spans="2:20" x14ac:dyDescent="0.3">
      <c r="B29" s="17" t="s">
        <v>332</v>
      </c>
      <c r="C29" s="29">
        <v>614570079.21872616</v>
      </c>
      <c r="E29" s="17" t="s">
        <v>320</v>
      </c>
      <c r="F29">
        <v>155</v>
      </c>
      <c r="H29" s="17" t="s">
        <v>5690</v>
      </c>
      <c r="I29" s="42">
        <v>14649565619.889441</v>
      </c>
    </row>
    <row r="30" spans="2:20" x14ac:dyDescent="0.3">
      <c r="B30" s="17" t="s">
        <v>250</v>
      </c>
      <c r="C30" s="29">
        <v>613476917.05429482</v>
      </c>
      <c r="E30" s="17" t="s">
        <v>5690</v>
      </c>
      <c r="F30">
        <v>1000</v>
      </c>
    </row>
    <row r="31" spans="2:20" x14ac:dyDescent="0.3">
      <c r="B31" s="17" t="s">
        <v>562</v>
      </c>
      <c r="C31" s="29">
        <v>600754090.40099704</v>
      </c>
    </row>
    <row r="32" spans="2:20" x14ac:dyDescent="0.3">
      <c r="B32" s="17" t="s">
        <v>281</v>
      </c>
      <c r="C32" s="29">
        <v>584218793.60271394</v>
      </c>
      <c r="K32" s="16" t="s">
        <v>5689</v>
      </c>
      <c r="L32" t="s">
        <v>5752</v>
      </c>
    </row>
    <row r="33" spans="2:12" x14ac:dyDescent="0.3">
      <c r="B33" s="17" t="s">
        <v>253</v>
      </c>
      <c r="C33" s="29">
        <v>526975712.39991397</v>
      </c>
      <c r="K33" s="17" t="s">
        <v>66</v>
      </c>
      <c r="L33" s="42">
        <v>882068326.11441422</v>
      </c>
    </row>
    <row r="34" spans="2:12" x14ac:dyDescent="0.3">
      <c r="B34" s="17" t="s">
        <v>242</v>
      </c>
      <c r="C34" s="29">
        <v>523656992.46637607</v>
      </c>
      <c r="K34" s="17" t="s">
        <v>70</v>
      </c>
      <c r="L34" s="42">
        <v>576056779.41002488</v>
      </c>
    </row>
    <row r="35" spans="2:12" x14ac:dyDescent="0.3">
      <c r="B35" s="17" t="s">
        <v>5690</v>
      </c>
      <c r="C35" s="29">
        <v>14649565619.889441</v>
      </c>
      <c r="K35" s="17" t="s">
        <v>16</v>
      </c>
      <c r="L35" s="42">
        <v>554161416.36974573</v>
      </c>
    </row>
    <row r="36" spans="2:12" x14ac:dyDescent="0.3">
      <c r="K36" s="17" t="s">
        <v>46</v>
      </c>
      <c r="L36" s="42">
        <v>528191755.16094202</v>
      </c>
    </row>
    <row r="37" spans="2:12" x14ac:dyDescent="0.3">
      <c r="K37" s="17" t="s">
        <v>57</v>
      </c>
      <c r="L37" s="42">
        <v>523875694.41492796</v>
      </c>
    </row>
    <row r="38" spans="2:12" x14ac:dyDescent="0.3">
      <c r="K38" s="17" t="s">
        <v>50</v>
      </c>
      <c r="L38" s="42">
        <v>485610077.54624814</v>
      </c>
    </row>
    <row r="39" spans="2:12" x14ac:dyDescent="0.3">
      <c r="K39" s="17" t="s">
        <v>73</v>
      </c>
      <c r="L39" s="42">
        <v>479170124.11036301</v>
      </c>
    </row>
    <row r="40" spans="2:12" x14ac:dyDescent="0.3">
      <c r="K40" s="17" t="s">
        <v>38</v>
      </c>
      <c r="L40" s="42">
        <v>450363629.51908505</v>
      </c>
    </row>
    <row r="41" spans="2:12" x14ac:dyDescent="0.3">
      <c r="K41" s="17" t="s">
        <v>28</v>
      </c>
      <c r="L41" s="42">
        <v>433418269.7567749</v>
      </c>
    </row>
    <row r="42" spans="2:12" x14ac:dyDescent="0.3">
      <c r="K42" s="17" t="s">
        <v>78</v>
      </c>
      <c r="L42" s="42">
        <v>412216332.77983302</v>
      </c>
    </row>
    <row r="43" spans="2:12" x14ac:dyDescent="0.3">
      <c r="K43" s="17" t="s">
        <v>5690</v>
      </c>
      <c r="L43" s="42">
        <v>5325132405.1823549</v>
      </c>
    </row>
  </sheetData>
  <pageMargins left="0.7" right="0.7" top="0.75" bottom="0.75" header="0.3" footer="0.3"/>
  <drawing r:id="rId11"/>
  <tableParts count="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C654-C928-447E-B973-3437EE80EB71}">
  <dimension ref="B1:J34"/>
  <sheetViews>
    <sheetView showGridLines="0" topLeftCell="A4" workbookViewId="0">
      <selection activeCell="F26" sqref="F26"/>
    </sheetView>
  </sheetViews>
  <sheetFormatPr defaultRowHeight="14.4" x14ac:dyDescent="0.3"/>
  <cols>
    <col min="1" max="1" width="1.6640625" customWidth="1"/>
    <col min="2" max="2" width="19.88671875" bestFit="1" customWidth="1"/>
    <col min="3" max="3" width="11.6640625" bestFit="1" customWidth="1"/>
    <col min="4" max="4" width="2.109375" customWidth="1"/>
    <col min="5" max="5" width="19.88671875" bestFit="1" customWidth="1"/>
    <col min="6" max="6" width="18.44140625" customWidth="1"/>
    <col min="7" max="7" width="17.77734375" customWidth="1"/>
    <col min="8" max="8" width="1.77734375" customWidth="1"/>
    <col min="9" max="9" width="12.44140625" bestFit="1" customWidth="1"/>
    <col min="10" max="10" width="16.21875" bestFit="1" customWidth="1"/>
    <col min="11" max="11" width="2.109375" customWidth="1"/>
    <col min="12" max="12" width="20.44140625" customWidth="1"/>
    <col min="13" max="13" width="17.109375" customWidth="1"/>
    <col min="14" max="14" width="10.5546875" bestFit="1" customWidth="1"/>
    <col min="15" max="15" width="2" customWidth="1"/>
    <col min="16" max="16" width="16" customWidth="1"/>
    <col min="17" max="17" width="17.21875" customWidth="1"/>
    <col min="18" max="51" width="10.33203125" bestFit="1" customWidth="1"/>
    <col min="52" max="52" width="10.77734375" bestFit="1" customWidth="1"/>
  </cols>
  <sheetData>
    <row r="1" spans="2:10" ht="38.4" customHeight="1" x14ac:dyDescent="0.3"/>
    <row r="2" spans="2:10" ht="14.4" customHeight="1" x14ac:dyDescent="0.3"/>
    <row r="3" spans="2:10" ht="16.2" customHeight="1" x14ac:dyDescent="0.3">
      <c r="B3" s="16" t="s">
        <v>5689</v>
      </c>
      <c r="C3" t="s">
        <v>5703</v>
      </c>
      <c r="E3" s="16" t="s">
        <v>5689</v>
      </c>
      <c r="F3" t="s">
        <v>5800</v>
      </c>
      <c r="G3" t="s">
        <v>5704</v>
      </c>
      <c r="I3" s="16" t="s">
        <v>5689</v>
      </c>
      <c r="J3" t="s">
        <v>5703</v>
      </c>
    </row>
    <row r="4" spans="2:10" x14ac:dyDescent="0.3">
      <c r="B4" s="17" t="s">
        <v>185</v>
      </c>
      <c r="C4">
        <v>19</v>
      </c>
      <c r="E4" s="17" t="s">
        <v>180</v>
      </c>
      <c r="F4" s="42">
        <v>585380277</v>
      </c>
      <c r="G4" s="42">
        <v>463670909</v>
      </c>
      <c r="I4" s="17" t="s">
        <v>5691</v>
      </c>
      <c r="J4">
        <v>5</v>
      </c>
    </row>
    <row r="5" spans="2:10" x14ac:dyDescent="0.3">
      <c r="B5" s="17" t="s">
        <v>200</v>
      </c>
      <c r="C5">
        <v>18</v>
      </c>
      <c r="E5" s="17" t="s">
        <v>262</v>
      </c>
      <c r="F5" s="42">
        <v>239347526</v>
      </c>
      <c r="G5" s="42">
        <v>242922507</v>
      </c>
      <c r="I5" s="17" t="s">
        <v>5692</v>
      </c>
      <c r="J5">
        <v>1</v>
      </c>
    </row>
    <row r="6" spans="2:10" x14ac:dyDescent="0.3">
      <c r="B6" s="17" t="s">
        <v>205</v>
      </c>
      <c r="C6">
        <v>6</v>
      </c>
      <c r="E6" s="17" t="s">
        <v>265</v>
      </c>
      <c r="F6" s="42">
        <v>159334322</v>
      </c>
      <c r="G6" s="42">
        <v>238672085</v>
      </c>
      <c r="I6" s="17" t="s">
        <v>5693</v>
      </c>
      <c r="J6">
        <v>6</v>
      </c>
    </row>
    <row r="7" spans="2:10" x14ac:dyDescent="0.3">
      <c r="B7" s="17" t="s">
        <v>226</v>
      </c>
      <c r="C7">
        <v>5</v>
      </c>
      <c r="E7" s="17" t="s">
        <v>248</v>
      </c>
      <c r="F7" s="42">
        <v>186007360</v>
      </c>
      <c r="G7" s="42">
        <v>190390068</v>
      </c>
      <c r="I7" s="17" t="s">
        <v>5694</v>
      </c>
      <c r="J7">
        <v>7</v>
      </c>
    </row>
    <row r="8" spans="2:10" x14ac:dyDescent="0.3">
      <c r="B8" s="17" t="s">
        <v>332</v>
      </c>
      <c r="C8">
        <v>3</v>
      </c>
      <c r="E8" s="17" t="s">
        <v>245</v>
      </c>
      <c r="F8" s="42">
        <v>159970172</v>
      </c>
      <c r="G8" s="42">
        <v>179140446</v>
      </c>
      <c r="I8" s="17" t="s">
        <v>5695</v>
      </c>
      <c r="J8">
        <v>5</v>
      </c>
    </row>
    <row r="9" spans="2:10" x14ac:dyDescent="0.3">
      <c r="B9" s="17" t="s">
        <v>5690</v>
      </c>
      <c r="C9">
        <v>51</v>
      </c>
      <c r="E9" s="17" t="s">
        <v>238</v>
      </c>
      <c r="F9" s="42">
        <v>140414128</v>
      </c>
      <c r="G9" s="42">
        <v>157066508</v>
      </c>
      <c r="I9" s="17" t="s">
        <v>5696</v>
      </c>
      <c r="J9">
        <v>3</v>
      </c>
    </row>
    <row r="10" spans="2:10" x14ac:dyDescent="0.3">
      <c r="E10" s="17" t="s">
        <v>202</v>
      </c>
      <c r="F10" s="42">
        <v>154718040</v>
      </c>
      <c r="G10" s="42">
        <v>147095776</v>
      </c>
      <c r="I10" s="17" t="s">
        <v>5697</v>
      </c>
      <c r="J10">
        <v>5</v>
      </c>
    </row>
    <row r="11" spans="2:10" x14ac:dyDescent="0.3">
      <c r="B11" s="16" t="s">
        <v>5689</v>
      </c>
      <c r="C11" t="s">
        <v>5803</v>
      </c>
      <c r="E11" s="17" t="s">
        <v>242</v>
      </c>
      <c r="F11" s="42">
        <v>80038809</v>
      </c>
      <c r="G11" s="42">
        <v>140146327</v>
      </c>
      <c r="I11" s="17" t="s">
        <v>5698</v>
      </c>
      <c r="J11">
        <v>4</v>
      </c>
    </row>
    <row r="12" spans="2:10" x14ac:dyDescent="0.3">
      <c r="B12" s="17" t="s">
        <v>202</v>
      </c>
      <c r="C12" s="43">
        <v>104429839</v>
      </c>
      <c r="E12" s="17" t="s">
        <v>209</v>
      </c>
      <c r="F12" s="42">
        <v>153361030</v>
      </c>
      <c r="G12" s="42">
        <v>105923325</v>
      </c>
      <c r="I12" s="17" t="s">
        <v>5699</v>
      </c>
      <c r="J12">
        <v>7</v>
      </c>
    </row>
    <row r="13" spans="2:10" x14ac:dyDescent="0.3">
      <c r="B13" s="17" t="s">
        <v>248</v>
      </c>
      <c r="C13" s="43">
        <v>96281138</v>
      </c>
      <c r="E13" s="17" t="s">
        <v>232</v>
      </c>
      <c r="F13" s="42">
        <v>133742625</v>
      </c>
      <c r="G13" s="42">
        <v>105752819</v>
      </c>
      <c r="I13" s="17" t="s">
        <v>5700</v>
      </c>
      <c r="J13">
        <v>1</v>
      </c>
    </row>
    <row r="14" spans="2:10" x14ac:dyDescent="0.3">
      <c r="B14" s="17" t="s">
        <v>242</v>
      </c>
      <c r="C14" s="43">
        <v>88005382</v>
      </c>
      <c r="E14" s="17" t="s">
        <v>190</v>
      </c>
      <c r="F14" s="42">
        <v>200034563</v>
      </c>
      <c r="G14" s="42">
        <v>95022805</v>
      </c>
      <c r="I14" s="17" t="s">
        <v>5701</v>
      </c>
      <c r="J14">
        <v>2</v>
      </c>
    </row>
    <row r="15" spans="2:10" x14ac:dyDescent="0.3">
      <c r="B15" s="17" t="s">
        <v>215</v>
      </c>
      <c r="C15" s="43">
        <v>87657584</v>
      </c>
      <c r="E15" s="17" t="s">
        <v>274</v>
      </c>
      <c r="F15" s="42">
        <v>98322107</v>
      </c>
      <c r="G15" s="42">
        <v>82330639</v>
      </c>
      <c r="I15" s="17" t="s">
        <v>5702</v>
      </c>
      <c r="J15">
        <v>5</v>
      </c>
    </row>
    <row r="16" spans="2:10" x14ac:dyDescent="0.3">
      <c r="B16" s="17" t="s">
        <v>281</v>
      </c>
      <c r="C16" s="43">
        <v>62761006</v>
      </c>
      <c r="E16" s="17" t="s">
        <v>215</v>
      </c>
      <c r="F16" s="42">
        <v>152593792</v>
      </c>
      <c r="G16" s="42">
        <v>67433588</v>
      </c>
      <c r="I16" s="17" t="s">
        <v>5690</v>
      </c>
      <c r="J16">
        <v>51</v>
      </c>
    </row>
    <row r="17" spans="2:10" x14ac:dyDescent="0.3">
      <c r="B17" s="17" t="s">
        <v>255</v>
      </c>
      <c r="C17" s="43">
        <v>57898289</v>
      </c>
      <c r="E17" s="17" t="s">
        <v>253</v>
      </c>
      <c r="F17" s="42">
        <v>123418482</v>
      </c>
      <c r="G17" s="42">
        <v>65675117</v>
      </c>
    </row>
    <row r="18" spans="2:10" x14ac:dyDescent="0.3">
      <c r="B18" s="17" t="s">
        <v>220</v>
      </c>
      <c r="C18" s="43">
        <v>51450020</v>
      </c>
      <c r="E18" s="17" t="s">
        <v>250</v>
      </c>
      <c r="F18" s="42">
        <v>119778387</v>
      </c>
      <c r="G18" s="42">
        <v>61191870</v>
      </c>
      <c r="I18" s="16" t="s">
        <v>5689</v>
      </c>
      <c r="J18" t="s">
        <v>5703</v>
      </c>
    </row>
    <row r="19" spans="2:10" x14ac:dyDescent="0.3">
      <c r="B19" s="17" t="s">
        <v>250</v>
      </c>
      <c r="C19" s="43">
        <v>50504761</v>
      </c>
      <c r="E19" s="17" t="s">
        <v>220</v>
      </c>
      <c r="F19" s="42">
        <v>168871467</v>
      </c>
      <c r="G19" s="42">
        <v>49581561</v>
      </c>
      <c r="I19" s="17" t="s">
        <v>332</v>
      </c>
      <c r="J19">
        <v>22</v>
      </c>
    </row>
    <row r="20" spans="2:10" x14ac:dyDescent="0.3">
      <c r="B20" s="17" t="s">
        <v>274</v>
      </c>
      <c r="C20" s="43">
        <v>37296310</v>
      </c>
      <c r="E20" s="17" t="s">
        <v>281</v>
      </c>
      <c r="F20" s="42">
        <v>4597975</v>
      </c>
      <c r="G20" s="42">
        <v>43604926</v>
      </c>
      <c r="I20" s="17" t="s">
        <v>187</v>
      </c>
      <c r="J20">
        <v>13</v>
      </c>
    </row>
    <row r="21" spans="2:10" x14ac:dyDescent="0.3">
      <c r="B21" s="17" t="s">
        <v>245</v>
      </c>
      <c r="C21" s="43">
        <v>26653560</v>
      </c>
      <c r="E21" s="17" t="s">
        <v>255</v>
      </c>
      <c r="F21" s="42">
        <v>74624237</v>
      </c>
      <c r="G21" s="42">
        <v>17996470</v>
      </c>
      <c r="I21" s="17" t="s">
        <v>194</v>
      </c>
      <c r="J21">
        <v>9</v>
      </c>
    </row>
    <row r="22" spans="2:10" x14ac:dyDescent="0.3">
      <c r="B22" s="17" t="s">
        <v>5690</v>
      </c>
      <c r="C22">
        <v>662937889</v>
      </c>
      <c r="E22" s="17" t="s">
        <v>562</v>
      </c>
      <c r="F22" s="42">
        <v>32675618</v>
      </c>
      <c r="G22" s="42"/>
      <c r="I22" s="17" t="s">
        <v>193</v>
      </c>
      <c r="J22">
        <v>7</v>
      </c>
    </row>
    <row r="23" spans="2:10" x14ac:dyDescent="0.3">
      <c r="E23" s="17" t="s">
        <v>5690</v>
      </c>
      <c r="F23" s="42">
        <v>2967230917</v>
      </c>
      <c r="G23" s="42">
        <v>2453617746</v>
      </c>
      <c r="I23" s="17" t="s">
        <v>5690</v>
      </c>
      <c r="J23">
        <v>51</v>
      </c>
    </row>
    <row r="25" spans="2:10" x14ac:dyDescent="0.3">
      <c r="E25" s="16" t="s">
        <v>5689</v>
      </c>
      <c r="F25" t="s">
        <v>5703</v>
      </c>
    </row>
    <row r="26" spans="2:10" x14ac:dyDescent="0.3">
      <c r="E26" s="17" t="s">
        <v>183</v>
      </c>
      <c r="F26">
        <v>11</v>
      </c>
    </row>
    <row r="27" spans="2:10" x14ac:dyDescent="0.3">
      <c r="E27" s="17" t="s">
        <v>203</v>
      </c>
      <c r="F27">
        <v>10</v>
      </c>
    </row>
    <row r="28" spans="2:10" x14ac:dyDescent="0.3">
      <c r="E28" s="17" t="s">
        <v>191</v>
      </c>
      <c r="F28">
        <v>10</v>
      </c>
    </row>
    <row r="29" spans="2:10" x14ac:dyDescent="0.3">
      <c r="E29" s="17" t="s">
        <v>240</v>
      </c>
      <c r="F29">
        <v>8</v>
      </c>
    </row>
    <row r="30" spans="2:10" x14ac:dyDescent="0.3">
      <c r="E30" s="17" t="s">
        <v>233</v>
      </c>
      <c r="F30">
        <v>5</v>
      </c>
    </row>
    <row r="31" spans="2:10" x14ac:dyDescent="0.3">
      <c r="E31" s="17" t="s">
        <v>213</v>
      </c>
      <c r="F31">
        <v>4</v>
      </c>
    </row>
    <row r="32" spans="2:10" x14ac:dyDescent="0.3">
      <c r="E32" s="17" t="s">
        <v>198</v>
      </c>
      <c r="F32">
        <v>2</v>
      </c>
    </row>
    <row r="33" spans="5:6" x14ac:dyDescent="0.3">
      <c r="E33" s="17" t="s">
        <v>246</v>
      </c>
      <c r="F33">
        <v>1</v>
      </c>
    </row>
    <row r="34" spans="5:6" x14ac:dyDescent="0.3">
      <c r="E34" s="17" t="s">
        <v>5690</v>
      </c>
      <c r="F34">
        <v>51</v>
      </c>
    </row>
  </sheetData>
  <pageMargins left="0.7" right="0.7" top="0.75" bottom="0.75" header="0.3" footer="0.3"/>
  <pageSetup orientation="portrait" r:id="rId7"/>
  <drawing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968A-9545-4BBC-8853-23075110EA22}">
  <dimension ref="B1:O19"/>
  <sheetViews>
    <sheetView showGridLines="0" workbookViewId="0">
      <selection activeCell="F4" sqref="F4:F14"/>
    </sheetView>
  </sheetViews>
  <sheetFormatPr defaultRowHeight="14.4" x14ac:dyDescent="0.3"/>
  <cols>
    <col min="1" max="1" width="4" customWidth="1"/>
    <col min="2" max="2" width="12.5546875" bestFit="1" customWidth="1"/>
    <col min="3" max="3" width="24" bestFit="1" customWidth="1"/>
    <col min="4" max="4" width="2.44140625" customWidth="1"/>
    <col min="5" max="5" width="22.33203125" customWidth="1"/>
    <col min="6" max="6" width="24.6640625" bestFit="1" customWidth="1"/>
    <col min="7" max="7" width="2.44140625" customWidth="1"/>
    <col min="8" max="8" width="12.5546875" bestFit="1" customWidth="1"/>
    <col min="9" max="9" width="15.44140625" bestFit="1" customWidth="1"/>
    <col min="10" max="10" width="2.77734375" customWidth="1"/>
    <col min="11" max="11" width="12.5546875" bestFit="1" customWidth="1"/>
    <col min="12" max="12" width="24" bestFit="1" customWidth="1"/>
    <col min="13" max="13" width="3.77734375" customWidth="1"/>
    <col min="14" max="14" width="12.5546875" bestFit="1" customWidth="1"/>
    <col min="15" max="15" width="24.6640625" bestFit="1" customWidth="1"/>
    <col min="16" max="16" width="24" bestFit="1" customWidth="1"/>
  </cols>
  <sheetData>
    <row r="1" spans="2:15" ht="37.799999999999997" customHeight="1" x14ac:dyDescent="0.3"/>
    <row r="3" spans="2:15" x14ac:dyDescent="0.3">
      <c r="B3" s="16" t="s">
        <v>5689</v>
      </c>
      <c r="C3" t="s">
        <v>5705</v>
      </c>
      <c r="E3" s="16" t="s">
        <v>5689</v>
      </c>
      <c r="F3" t="s">
        <v>5706</v>
      </c>
      <c r="H3" s="16" t="s">
        <v>5689</v>
      </c>
      <c r="I3" t="s">
        <v>5705</v>
      </c>
      <c r="K3" s="16" t="s">
        <v>5689</v>
      </c>
      <c r="L3" t="s">
        <v>5705</v>
      </c>
      <c r="N3" s="16" t="s">
        <v>5689</v>
      </c>
      <c r="O3" t="s">
        <v>5705</v>
      </c>
    </row>
    <row r="4" spans="2:15" x14ac:dyDescent="0.3">
      <c r="B4" s="17" t="s">
        <v>16</v>
      </c>
      <c r="C4" s="42">
        <v>316129939</v>
      </c>
      <c r="E4" s="17" t="s">
        <v>16</v>
      </c>
      <c r="F4" s="42">
        <v>15940198</v>
      </c>
      <c r="H4" s="17" t="s">
        <v>20</v>
      </c>
      <c r="I4" s="42">
        <v>929081254</v>
      </c>
      <c r="K4" s="17" t="s">
        <v>18</v>
      </c>
      <c r="L4" s="42">
        <v>1018159124</v>
      </c>
      <c r="N4" s="17" t="s">
        <v>26</v>
      </c>
      <c r="O4" s="42">
        <v>701622505</v>
      </c>
    </row>
    <row r="5" spans="2:15" x14ac:dyDescent="0.3">
      <c r="B5" s="17" t="s">
        <v>23</v>
      </c>
      <c r="C5" s="42">
        <v>311599050</v>
      </c>
      <c r="E5" s="17" t="s">
        <v>38</v>
      </c>
      <c r="F5" s="42">
        <v>14174624</v>
      </c>
      <c r="H5" s="17" t="s">
        <v>52</v>
      </c>
      <c r="I5" s="42">
        <v>569272197</v>
      </c>
      <c r="K5" s="17" t="s">
        <v>25</v>
      </c>
      <c r="L5" s="42">
        <v>679675780</v>
      </c>
      <c r="N5" s="17" t="s">
        <v>21</v>
      </c>
      <c r="O5" s="42">
        <v>633783720</v>
      </c>
    </row>
    <row r="6" spans="2:15" x14ac:dyDescent="0.3">
      <c r="B6" s="17" t="s">
        <v>73</v>
      </c>
      <c r="C6" s="42">
        <v>277820719</v>
      </c>
      <c r="E6" s="17" t="s">
        <v>23</v>
      </c>
      <c r="F6" s="42">
        <v>10317082</v>
      </c>
      <c r="H6" s="17" t="s">
        <v>36</v>
      </c>
      <c r="I6" s="42">
        <v>444438297</v>
      </c>
      <c r="K6" s="17" t="s">
        <v>40</v>
      </c>
      <c r="L6" s="42">
        <v>537877534</v>
      </c>
      <c r="N6" s="17" t="s">
        <v>82</v>
      </c>
      <c r="O6" s="42">
        <v>43611069</v>
      </c>
    </row>
    <row r="7" spans="2:15" x14ac:dyDescent="0.3">
      <c r="B7" s="17" t="s">
        <v>70</v>
      </c>
      <c r="C7" s="42">
        <v>260751314</v>
      </c>
      <c r="E7" s="17" t="s">
        <v>46</v>
      </c>
      <c r="F7" s="42">
        <v>10021482</v>
      </c>
      <c r="H7" s="17" t="s">
        <v>41</v>
      </c>
      <c r="I7" s="42">
        <v>421863001</v>
      </c>
      <c r="K7" s="17" t="s">
        <v>30</v>
      </c>
      <c r="L7" s="42">
        <v>241308270</v>
      </c>
      <c r="N7" s="17" t="s">
        <v>77</v>
      </c>
      <c r="O7" s="42">
        <v>277820719</v>
      </c>
    </row>
    <row r="8" spans="2:15" x14ac:dyDescent="0.3">
      <c r="B8" s="17" t="s">
        <v>62</v>
      </c>
      <c r="C8" s="42">
        <v>240487985</v>
      </c>
      <c r="E8" s="17" t="s">
        <v>54</v>
      </c>
      <c r="F8" s="42">
        <v>10011138</v>
      </c>
      <c r="H8" s="17" t="s">
        <v>59</v>
      </c>
      <c r="I8" s="42">
        <v>112365959</v>
      </c>
      <c r="K8" s="17" t="s">
        <v>5690</v>
      </c>
      <c r="L8" s="42">
        <v>2477020708</v>
      </c>
      <c r="N8" s="17" t="s">
        <v>332</v>
      </c>
      <c r="O8" s="42">
        <v>820182695</v>
      </c>
    </row>
    <row r="9" spans="2:15" x14ac:dyDescent="0.3">
      <c r="B9" s="17" t="s">
        <v>28</v>
      </c>
      <c r="C9" s="42">
        <v>182016108</v>
      </c>
      <c r="E9" s="17" t="s">
        <v>62</v>
      </c>
      <c r="F9" s="42">
        <v>9846877</v>
      </c>
      <c r="H9" s="17" t="s">
        <v>5690</v>
      </c>
      <c r="I9" s="42">
        <v>2477020708</v>
      </c>
      <c r="N9" s="17" t="s">
        <v>5690</v>
      </c>
      <c r="O9" s="42">
        <v>2477020708</v>
      </c>
    </row>
    <row r="10" spans="2:15" x14ac:dyDescent="0.3">
      <c r="B10" s="17" t="s">
        <v>38</v>
      </c>
      <c r="C10" s="42">
        <v>168117408</v>
      </c>
      <c r="E10" s="17" t="s">
        <v>80</v>
      </c>
      <c r="F10" s="42">
        <v>9683342</v>
      </c>
      <c r="K10" s="16" t="s">
        <v>5689</v>
      </c>
      <c r="L10" t="s">
        <v>5705</v>
      </c>
    </row>
    <row r="11" spans="2:15" x14ac:dyDescent="0.3">
      <c r="B11" s="17" t="s">
        <v>54</v>
      </c>
      <c r="C11" s="42">
        <v>135637673</v>
      </c>
      <c r="E11" s="17" t="s">
        <v>57</v>
      </c>
      <c r="F11" s="42">
        <v>9190376</v>
      </c>
      <c r="H11" s="16" t="s">
        <v>5689</v>
      </c>
      <c r="I11" t="s">
        <v>5707</v>
      </c>
      <c r="K11" s="17" t="s">
        <v>19</v>
      </c>
      <c r="L11" s="42">
        <v>671340058</v>
      </c>
      <c r="N11" s="16" t="s">
        <v>5689</v>
      </c>
      <c r="O11" t="s">
        <v>5706</v>
      </c>
    </row>
    <row r="12" spans="2:15" x14ac:dyDescent="0.3">
      <c r="B12" s="17" t="s">
        <v>50</v>
      </c>
      <c r="C12" s="42">
        <v>129272141</v>
      </c>
      <c r="E12" s="17" t="s">
        <v>78</v>
      </c>
      <c r="F12" s="42">
        <v>8359241</v>
      </c>
      <c r="H12" s="17" t="s">
        <v>20</v>
      </c>
      <c r="I12">
        <v>4</v>
      </c>
      <c r="K12" s="17" t="s">
        <v>35</v>
      </c>
      <c r="L12" s="42">
        <v>467328751</v>
      </c>
      <c r="N12" s="17">
        <v>30</v>
      </c>
      <c r="O12" s="42">
        <v>15940198</v>
      </c>
    </row>
    <row r="13" spans="2:15" x14ac:dyDescent="0.3">
      <c r="B13" s="17" t="s">
        <v>78</v>
      </c>
      <c r="C13" s="42">
        <v>119336157</v>
      </c>
      <c r="E13" s="17" t="s">
        <v>70</v>
      </c>
      <c r="F13" s="42">
        <v>7664695</v>
      </c>
      <c r="H13" s="17" t="s">
        <v>52</v>
      </c>
      <c r="I13">
        <v>4</v>
      </c>
      <c r="K13" s="17" t="s">
        <v>31</v>
      </c>
      <c r="L13" s="42">
        <v>1060531180</v>
      </c>
      <c r="N13" s="17">
        <v>45</v>
      </c>
      <c r="O13" s="42">
        <v>29541357</v>
      </c>
    </row>
    <row r="14" spans="2:15" x14ac:dyDescent="0.3">
      <c r="B14" s="17" t="s">
        <v>57</v>
      </c>
      <c r="C14" s="42">
        <v>112365959</v>
      </c>
      <c r="E14" s="17" t="s">
        <v>5690</v>
      </c>
      <c r="F14" s="42">
        <v>105209055</v>
      </c>
      <c r="H14" s="17" t="s">
        <v>41</v>
      </c>
      <c r="I14">
        <v>3</v>
      </c>
      <c r="K14" s="17" t="s">
        <v>75</v>
      </c>
      <c r="L14" s="42">
        <v>277820719</v>
      </c>
      <c r="N14" s="17">
        <v>60</v>
      </c>
      <c r="O14" s="42">
        <v>32555347</v>
      </c>
    </row>
    <row r="15" spans="2:15" x14ac:dyDescent="0.3">
      <c r="B15" s="17" t="s">
        <v>66</v>
      </c>
      <c r="C15" s="42">
        <v>107325416</v>
      </c>
      <c r="H15" s="17" t="s">
        <v>36</v>
      </c>
      <c r="I15">
        <v>3</v>
      </c>
      <c r="K15" s="17" t="s">
        <v>5690</v>
      </c>
      <c r="L15" s="42">
        <v>2477020708</v>
      </c>
      <c r="N15" s="17">
        <v>90</v>
      </c>
      <c r="O15" s="42">
        <v>43370726</v>
      </c>
    </row>
    <row r="16" spans="2:15" x14ac:dyDescent="0.3">
      <c r="B16" s="17" t="s">
        <v>33</v>
      </c>
      <c r="C16" s="42">
        <v>59292162</v>
      </c>
      <c r="H16" s="17" t="s">
        <v>59</v>
      </c>
      <c r="I16">
        <v>1</v>
      </c>
      <c r="N16" s="17" t="s">
        <v>5690</v>
      </c>
      <c r="O16" s="42">
        <v>121407628</v>
      </c>
    </row>
    <row r="17" spans="2:9" x14ac:dyDescent="0.3">
      <c r="B17" s="17" t="s">
        <v>80</v>
      </c>
      <c r="C17" s="42">
        <v>43611069</v>
      </c>
      <c r="H17" s="17" t="s">
        <v>5690</v>
      </c>
      <c r="I17">
        <v>15</v>
      </c>
    </row>
    <row r="18" spans="2:9" x14ac:dyDescent="0.3">
      <c r="B18" s="17" t="s">
        <v>46</v>
      </c>
      <c r="C18" s="42">
        <v>13257608</v>
      </c>
    </row>
    <row r="19" spans="2:9" x14ac:dyDescent="0.3">
      <c r="B19" s="17" t="s">
        <v>5690</v>
      </c>
      <c r="C19" s="42">
        <v>2477020708</v>
      </c>
    </row>
  </sheetData>
  <pageMargins left="0.7" right="0.7" top="0.75" bottom="0.75" header="0.3" footer="0.3"/>
  <pageSetup orientation="portrait" r:id="rId9"/>
  <drawing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8657-E8A4-47A6-92BE-03941C60B999}">
  <dimension ref="B1:S27"/>
  <sheetViews>
    <sheetView showGridLines="0" topLeftCell="E1" workbookViewId="0">
      <selection activeCell="B3" sqref="B3"/>
    </sheetView>
  </sheetViews>
  <sheetFormatPr defaultRowHeight="14.4" x14ac:dyDescent="0.3"/>
  <cols>
    <col min="1" max="1" width="3.5546875" customWidth="1"/>
    <col min="2" max="2" width="12.5546875" bestFit="1" customWidth="1"/>
    <col min="3" max="3" width="24.33203125" bestFit="1" customWidth="1"/>
    <col min="4" max="4" width="14.6640625" bestFit="1" customWidth="1"/>
    <col min="5" max="5" width="19.88671875" customWidth="1"/>
    <col min="6" max="6" width="2.6640625" customWidth="1"/>
    <col min="7" max="7" width="12.5546875" bestFit="1" customWidth="1"/>
    <col min="8" max="12" width="23.88671875" customWidth="1"/>
    <col min="13" max="13" width="10.77734375" bestFit="1" customWidth="1"/>
    <col min="14" max="14" width="12.5546875" bestFit="1" customWidth="1"/>
    <col min="15" max="15" width="9.109375" bestFit="1" customWidth="1"/>
    <col min="16" max="16" width="8.88671875" bestFit="1" customWidth="1"/>
    <col min="17" max="17" width="12.77734375" bestFit="1" customWidth="1"/>
    <col min="18" max="18" width="17.77734375" bestFit="1" customWidth="1"/>
    <col min="19" max="22" width="12" bestFit="1" customWidth="1"/>
  </cols>
  <sheetData>
    <row r="1" spans="2:19" ht="38.4" customHeight="1" x14ac:dyDescent="0.3"/>
    <row r="3" spans="2:19" x14ac:dyDescent="0.3">
      <c r="B3" s="16" t="s">
        <v>5689</v>
      </c>
      <c r="C3" t="s">
        <v>5818</v>
      </c>
      <c r="D3" t="s">
        <v>5824</v>
      </c>
      <c r="E3" t="s">
        <v>5817</v>
      </c>
      <c r="G3" s="16" t="s">
        <v>5689</v>
      </c>
      <c r="H3" t="s">
        <v>5825</v>
      </c>
      <c r="I3" t="s">
        <v>5827</v>
      </c>
      <c r="K3" s="46" t="s">
        <v>5819</v>
      </c>
      <c r="L3" s="49">
        <f>SUM(tblestimator[Q1_2025_Achieved])</f>
        <v>60030669</v>
      </c>
      <c r="N3" s="55" t="s">
        <v>5689</v>
      </c>
      <c r="O3" s="55" t="s">
        <v>5812</v>
      </c>
      <c r="P3" s="55" t="s">
        <v>5831</v>
      </c>
      <c r="Q3" s="55" t="s">
        <v>5832</v>
      </c>
      <c r="R3" s="55" t="s">
        <v>5826</v>
      </c>
      <c r="S3" s="55" t="s">
        <v>94</v>
      </c>
    </row>
    <row r="4" spans="2:19" x14ac:dyDescent="0.3">
      <c r="B4" s="17" t="s">
        <v>99</v>
      </c>
      <c r="C4">
        <v>19</v>
      </c>
      <c r="D4">
        <v>30</v>
      </c>
      <c r="E4">
        <v>0.73</v>
      </c>
      <c r="G4" s="17" t="s">
        <v>136</v>
      </c>
      <c r="H4" s="42">
        <v>48038301</v>
      </c>
      <c r="I4" s="42">
        <v>42062288</v>
      </c>
      <c r="K4" s="46" t="s">
        <v>5820</v>
      </c>
      <c r="L4" s="49">
        <f>SUM(tblestimator[Q2_2025_Achieved])</f>
        <v>83629661</v>
      </c>
      <c r="N4" s="17" t="s">
        <v>111</v>
      </c>
      <c r="O4">
        <v>66</v>
      </c>
      <c r="P4">
        <v>35</v>
      </c>
      <c r="Q4" s="43">
        <v>6816611</v>
      </c>
      <c r="R4" s="42">
        <v>38303825</v>
      </c>
      <c r="S4">
        <v>0.24</v>
      </c>
    </row>
    <row r="5" spans="2:19" x14ac:dyDescent="0.3">
      <c r="B5" s="17" t="s">
        <v>130</v>
      </c>
      <c r="C5">
        <v>20</v>
      </c>
      <c r="D5">
        <v>46</v>
      </c>
      <c r="E5">
        <v>0.61</v>
      </c>
      <c r="G5" s="17" t="s">
        <v>130</v>
      </c>
      <c r="H5" s="42">
        <v>37989285</v>
      </c>
      <c r="I5" s="42">
        <v>27994206</v>
      </c>
      <c r="K5" s="46" t="s">
        <v>5821</v>
      </c>
      <c r="L5" s="49">
        <f>SUM(tblestimator[Q3_2025_Achieved])</f>
        <v>94021970</v>
      </c>
      <c r="N5" s="17" t="s">
        <v>136</v>
      </c>
      <c r="O5">
        <v>12</v>
      </c>
      <c r="P5">
        <v>12</v>
      </c>
      <c r="Q5" s="43">
        <v>48038301</v>
      </c>
      <c r="R5" s="42">
        <v>42062288</v>
      </c>
      <c r="S5">
        <v>0.42</v>
      </c>
    </row>
    <row r="6" spans="2:19" x14ac:dyDescent="0.3">
      <c r="B6" s="17" t="s">
        <v>115</v>
      </c>
      <c r="C6">
        <v>10</v>
      </c>
      <c r="D6">
        <v>18</v>
      </c>
      <c r="E6">
        <v>0.6</v>
      </c>
      <c r="G6" s="17" t="s">
        <v>123</v>
      </c>
      <c r="H6" s="42">
        <v>36688908</v>
      </c>
      <c r="I6" s="42">
        <v>30482510</v>
      </c>
      <c r="K6" s="46" t="s">
        <v>5822</v>
      </c>
      <c r="L6" s="49">
        <f>SUM(tblestimator[Q4_2025_Achieved])</f>
        <v>71302772</v>
      </c>
      <c r="N6" s="17" t="s">
        <v>99</v>
      </c>
      <c r="O6">
        <v>30</v>
      </c>
      <c r="P6">
        <v>19</v>
      </c>
      <c r="Q6" s="43">
        <v>21930988</v>
      </c>
      <c r="R6" s="42">
        <v>35607221</v>
      </c>
      <c r="S6">
        <v>0.73</v>
      </c>
    </row>
    <row r="7" spans="2:19" x14ac:dyDescent="0.3">
      <c r="B7" s="17" t="s">
        <v>127</v>
      </c>
      <c r="C7">
        <v>39</v>
      </c>
      <c r="D7">
        <v>58</v>
      </c>
      <c r="E7">
        <v>0.49</v>
      </c>
      <c r="G7" s="17" t="s">
        <v>119</v>
      </c>
      <c r="H7" s="42">
        <v>35084521</v>
      </c>
      <c r="I7" s="42">
        <v>61844000</v>
      </c>
      <c r="K7" s="46" t="s">
        <v>5823</v>
      </c>
      <c r="L7" s="49">
        <f>SUM(tblestimator[Q1_2026_Achieved])</f>
        <v>52485308</v>
      </c>
      <c r="N7" s="17" t="s">
        <v>133</v>
      </c>
      <c r="O7">
        <v>7</v>
      </c>
      <c r="P7">
        <v>27</v>
      </c>
      <c r="Q7" s="43">
        <v>19700661</v>
      </c>
      <c r="R7" s="42">
        <v>34907029</v>
      </c>
      <c r="S7">
        <v>0.39</v>
      </c>
    </row>
    <row r="8" spans="2:19" x14ac:dyDescent="0.3">
      <c r="B8" s="17" t="s">
        <v>136</v>
      </c>
      <c r="C8">
        <v>12</v>
      </c>
      <c r="D8">
        <v>12</v>
      </c>
      <c r="E8">
        <v>0.42</v>
      </c>
      <c r="G8" s="17" t="s">
        <v>99</v>
      </c>
      <c r="H8" s="42">
        <v>21930988</v>
      </c>
      <c r="I8" s="42">
        <v>35607221</v>
      </c>
      <c r="N8" s="17" t="s">
        <v>130</v>
      </c>
      <c r="O8">
        <v>46</v>
      </c>
      <c r="P8">
        <v>20</v>
      </c>
      <c r="Q8" s="43">
        <v>37989285</v>
      </c>
      <c r="R8" s="42">
        <v>27994206</v>
      </c>
      <c r="S8">
        <v>0.61</v>
      </c>
    </row>
    <row r="9" spans="2:19" x14ac:dyDescent="0.3">
      <c r="B9" s="17" t="s">
        <v>133</v>
      </c>
      <c r="C9">
        <v>27</v>
      </c>
      <c r="D9">
        <v>7</v>
      </c>
      <c r="E9">
        <v>0.39</v>
      </c>
      <c r="G9" s="17" t="s">
        <v>133</v>
      </c>
      <c r="H9" s="42">
        <v>19700661</v>
      </c>
      <c r="I9" s="42">
        <v>34907029</v>
      </c>
      <c r="L9" s="15"/>
      <c r="N9" s="17" t="s">
        <v>115</v>
      </c>
      <c r="O9">
        <v>18</v>
      </c>
      <c r="P9">
        <v>10</v>
      </c>
      <c r="Q9" s="43">
        <v>17444428</v>
      </c>
      <c r="R9" s="42">
        <v>38976973</v>
      </c>
      <c r="S9">
        <v>0.6</v>
      </c>
    </row>
    <row r="10" spans="2:19" x14ac:dyDescent="0.3">
      <c r="B10" s="17" t="s">
        <v>123</v>
      </c>
      <c r="C10">
        <v>26</v>
      </c>
      <c r="D10">
        <v>14</v>
      </c>
      <c r="E10">
        <v>0.3</v>
      </c>
      <c r="G10" s="17" t="s">
        <v>115</v>
      </c>
      <c r="H10" s="42">
        <v>17444428</v>
      </c>
      <c r="I10" s="42">
        <v>38976973</v>
      </c>
      <c r="L10" s="15"/>
      <c r="N10" s="17" t="s">
        <v>123</v>
      </c>
      <c r="O10">
        <v>14</v>
      </c>
      <c r="P10">
        <v>26</v>
      </c>
      <c r="Q10" s="43">
        <v>36688908</v>
      </c>
      <c r="R10" s="42">
        <v>30482510</v>
      </c>
      <c r="S10">
        <v>0.3</v>
      </c>
    </row>
    <row r="11" spans="2:19" x14ac:dyDescent="0.3">
      <c r="B11" s="17" t="s">
        <v>105</v>
      </c>
      <c r="C11">
        <v>26</v>
      </c>
      <c r="D11">
        <v>45</v>
      </c>
      <c r="E11">
        <v>0.28999999999999998</v>
      </c>
      <c r="G11" s="17" t="s">
        <v>105</v>
      </c>
      <c r="H11" s="42">
        <v>16356579</v>
      </c>
      <c r="I11" s="42">
        <v>20449840</v>
      </c>
      <c r="N11" s="17" t="s">
        <v>127</v>
      </c>
      <c r="O11">
        <v>58</v>
      </c>
      <c r="P11">
        <v>39</v>
      </c>
      <c r="Q11" s="43">
        <v>6718952</v>
      </c>
      <c r="R11" s="42">
        <v>30842488</v>
      </c>
      <c r="S11">
        <v>0.49</v>
      </c>
    </row>
    <row r="12" spans="2:19" x14ac:dyDescent="0.3">
      <c r="B12" s="17" t="s">
        <v>111</v>
      </c>
      <c r="C12">
        <v>35</v>
      </c>
      <c r="D12">
        <v>66</v>
      </c>
      <c r="E12">
        <v>0.24</v>
      </c>
      <c r="G12" s="17" t="s">
        <v>111</v>
      </c>
      <c r="H12" s="42">
        <v>6816611</v>
      </c>
      <c r="I12" s="42">
        <v>38303825</v>
      </c>
      <c r="N12" s="17" t="s">
        <v>119</v>
      </c>
      <c r="O12">
        <v>20</v>
      </c>
      <c r="P12">
        <v>13</v>
      </c>
      <c r="Q12" s="43">
        <v>35084521</v>
      </c>
      <c r="R12" s="42">
        <v>61844000</v>
      </c>
    </row>
    <row r="13" spans="2:19" x14ac:dyDescent="0.3">
      <c r="B13" s="17" t="s">
        <v>119</v>
      </c>
      <c r="C13">
        <v>13</v>
      </c>
      <c r="D13">
        <v>20</v>
      </c>
      <c r="G13" s="17" t="s">
        <v>127</v>
      </c>
      <c r="H13" s="42">
        <v>6718952</v>
      </c>
      <c r="I13" s="42">
        <v>30842488</v>
      </c>
      <c r="N13" s="17" t="s">
        <v>105</v>
      </c>
      <c r="O13">
        <v>45</v>
      </c>
      <c r="P13">
        <v>26</v>
      </c>
      <c r="Q13" s="43">
        <v>16356579</v>
      </c>
      <c r="R13" s="42">
        <v>20449840</v>
      </c>
      <c r="S13">
        <v>0.28999999999999998</v>
      </c>
    </row>
    <row r="14" spans="2:19" x14ac:dyDescent="0.3">
      <c r="B14" s="17" t="s">
        <v>5690</v>
      </c>
      <c r="C14">
        <v>227</v>
      </c>
      <c r="D14">
        <v>316</v>
      </c>
      <c r="E14">
        <v>4.0699999999999994</v>
      </c>
      <c r="G14" s="17" t="s">
        <v>5690</v>
      </c>
      <c r="H14" s="42">
        <v>246769234</v>
      </c>
      <c r="I14" s="42">
        <v>361470380</v>
      </c>
      <c r="N14" s="56" t="s">
        <v>5690</v>
      </c>
      <c r="O14" s="55">
        <v>316</v>
      </c>
      <c r="P14" s="55">
        <v>227</v>
      </c>
      <c r="Q14" s="57">
        <v>246769234</v>
      </c>
      <c r="R14" s="58">
        <v>361470380</v>
      </c>
      <c r="S14" s="55">
        <v>0.45222222222222214</v>
      </c>
    </row>
    <row r="16" spans="2:19" x14ac:dyDescent="0.3">
      <c r="B16" s="16" t="s">
        <v>5689</v>
      </c>
      <c r="C16" t="s">
        <v>5827</v>
      </c>
      <c r="G16" s="52" t="s">
        <v>5689</v>
      </c>
      <c r="H16" s="51" t="s">
        <v>5833</v>
      </c>
      <c r="I16" s="51" t="s">
        <v>5834</v>
      </c>
      <c r="J16" s="51" t="s">
        <v>5835</v>
      </c>
      <c r="K16" s="51" t="s">
        <v>5836</v>
      </c>
      <c r="L16" s="51" t="s">
        <v>5837</v>
      </c>
      <c r="N16" s="16" t="s">
        <v>5689</v>
      </c>
      <c r="O16" t="s">
        <v>5818</v>
      </c>
      <c r="P16" t="s">
        <v>5824</v>
      </c>
      <c r="Q16" t="s">
        <v>5817</v>
      </c>
    </row>
    <row r="17" spans="2:17" x14ac:dyDescent="0.3">
      <c r="B17" s="17" t="s">
        <v>5712</v>
      </c>
      <c r="C17" s="43">
        <v>159263157</v>
      </c>
      <c r="G17" s="53" t="s">
        <v>111</v>
      </c>
      <c r="H17" s="54">
        <v>5626720</v>
      </c>
      <c r="I17" s="54">
        <v>7100172</v>
      </c>
      <c r="J17" s="54">
        <v>12068195</v>
      </c>
      <c r="K17" s="54"/>
      <c r="L17" s="54">
        <v>13508738</v>
      </c>
      <c r="N17" s="17" t="s">
        <v>20</v>
      </c>
      <c r="O17">
        <v>31</v>
      </c>
      <c r="P17">
        <v>42</v>
      </c>
      <c r="Q17">
        <v>1.1499999999999999</v>
      </c>
    </row>
    <row r="18" spans="2:17" x14ac:dyDescent="0.3">
      <c r="B18" s="17" t="s">
        <v>5713</v>
      </c>
      <c r="C18" s="43">
        <v>35607221</v>
      </c>
      <c r="G18" s="53" t="s">
        <v>136</v>
      </c>
      <c r="H18" s="54">
        <v>10217122</v>
      </c>
      <c r="I18" s="54">
        <v>11454640</v>
      </c>
      <c r="J18" s="54">
        <v>6151960</v>
      </c>
      <c r="K18" s="54">
        <v>11002622</v>
      </c>
      <c r="L18" s="54">
        <v>3235944</v>
      </c>
      <c r="N18" s="17" t="s">
        <v>113</v>
      </c>
      <c r="O18">
        <v>100</v>
      </c>
      <c r="P18">
        <v>138</v>
      </c>
      <c r="Q18">
        <v>1.03</v>
      </c>
    </row>
    <row r="19" spans="2:17" x14ac:dyDescent="0.3">
      <c r="B19" s="17" t="s">
        <v>5714</v>
      </c>
      <c r="C19" s="43">
        <v>136117492</v>
      </c>
      <c r="G19" s="53" t="s">
        <v>99</v>
      </c>
      <c r="H19" s="54">
        <v>952812</v>
      </c>
      <c r="I19" s="54">
        <v>12603221</v>
      </c>
      <c r="J19" s="54">
        <v>10862230</v>
      </c>
      <c r="K19" s="54">
        <v>9288625</v>
      </c>
      <c r="L19" s="54">
        <v>1900333</v>
      </c>
      <c r="N19" s="17" t="s">
        <v>41</v>
      </c>
      <c r="O19">
        <v>46</v>
      </c>
      <c r="P19">
        <v>91</v>
      </c>
      <c r="Q19">
        <v>0.89999999999999991</v>
      </c>
    </row>
    <row r="20" spans="2:17" x14ac:dyDescent="0.3">
      <c r="B20" s="17" t="s">
        <v>5715</v>
      </c>
      <c r="C20" s="43">
        <v>30482510</v>
      </c>
      <c r="G20" s="53" t="s">
        <v>133</v>
      </c>
      <c r="H20" s="54">
        <v>6439459</v>
      </c>
      <c r="I20" s="54">
        <v>6604993</v>
      </c>
      <c r="J20" s="54">
        <v>14206809</v>
      </c>
      <c r="K20" s="54">
        <v>6196574</v>
      </c>
      <c r="L20" s="54">
        <v>1459194</v>
      </c>
      <c r="N20" s="17" t="s">
        <v>36</v>
      </c>
      <c r="O20">
        <v>10</v>
      </c>
      <c r="P20">
        <v>18</v>
      </c>
      <c r="Q20">
        <v>0.6</v>
      </c>
    </row>
    <row r="21" spans="2:17" x14ac:dyDescent="0.3">
      <c r="B21" s="17" t="s">
        <v>5690</v>
      </c>
      <c r="C21">
        <v>361470380</v>
      </c>
      <c r="G21" s="53" t="s">
        <v>130</v>
      </c>
      <c r="H21" s="54">
        <v>7211316</v>
      </c>
      <c r="I21" s="54">
        <v>4595555</v>
      </c>
      <c r="J21" s="54">
        <v>1710599</v>
      </c>
      <c r="K21" s="54">
        <v>8422606</v>
      </c>
      <c r="L21" s="54">
        <v>6054130</v>
      </c>
      <c r="N21" s="17" t="s">
        <v>52</v>
      </c>
      <c r="O21">
        <v>40</v>
      </c>
      <c r="P21">
        <v>27</v>
      </c>
      <c r="Q21">
        <v>0.39</v>
      </c>
    </row>
    <row r="22" spans="2:17" x14ac:dyDescent="0.3">
      <c r="G22" s="53" t="s">
        <v>115</v>
      </c>
      <c r="H22" s="54">
        <v>13004203</v>
      </c>
      <c r="I22" s="54">
        <v>4810548</v>
      </c>
      <c r="J22" s="54">
        <v>9055587</v>
      </c>
      <c r="K22" s="54">
        <v>12106635</v>
      </c>
      <c r="L22" s="54"/>
      <c r="N22" s="17" t="s">
        <v>5690</v>
      </c>
      <c r="O22">
        <v>227</v>
      </c>
      <c r="P22">
        <v>316</v>
      </c>
      <c r="Q22">
        <v>4.0699999999999994</v>
      </c>
    </row>
    <row r="23" spans="2:17" x14ac:dyDescent="0.3">
      <c r="G23" s="53" t="s">
        <v>123</v>
      </c>
      <c r="H23" s="54">
        <v>3647873</v>
      </c>
      <c r="I23" s="54">
        <v>13773770</v>
      </c>
      <c r="J23" s="54">
        <v>7089369</v>
      </c>
      <c r="K23" s="54">
        <v>4964828</v>
      </c>
      <c r="L23" s="54">
        <v>1006670</v>
      </c>
    </row>
    <row r="24" spans="2:17" x14ac:dyDescent="0.3">
      <c r="G24" s="53" t="s">
        <v>127</v>
      </c>
      <c r="H24" s="54">
        <v>2359697</v>
      </c>
      <c r="I24" s="54">
        <v>2660610</v>
      </c>
      <c r="J24" s="54">
        <v>12734715</v>
      </c>
      <c r="K24" s="54">
        <v>7564627</v>
      </c>
      <c r="L24" s="54">
        <v>5522839</v>
      </c>
    </row>
    <row r="25" spans="2:17" x14ac:dyDescent="0.3">
      <c r="G25" s="53" t="s">
        <v>119</v>
      </c>
      <c r="H25" s="54">
        <v>10571467</v>
      </c>
      <c r="I25" s="54">
        <v>11551513</v>
      </c>
      <c r="J25" s="54">
        <v>14613900</v>
      </c>
      <c r="K25" s="54">
        <v>10278236</v>
      </c>
      <c r="L25" s="54">
        <v>14828884</v>
      </c>
    </row>
    <row r="26" spans="2:17" x14ac:dyDescent="0.3">
      <c r="G26" s="53" t="s">
        <v>105</v>
      </c>
      <c r="H26" s="54"/>
      <c r="I26" s="54">
        <v>8474639</v>
      </c>
      <c r="J26" s="54">
        <v>5528606</v>
      </c>
      <c r="K26" s="54">
        <v>1478019</v>
      </c>
      <c r="L26" s="54">
        <v>4968576</v>
      </c>
    </row>
    <row r="27" spans="2:17" x14ac:dyDescent="0.3">
      <c r="G27" s="53" t="s">
        <v>5690</v>
      </c>
      <c r="H27" s="54">
        <v>60030669</v>
      </c>
      <c r="I27" s="54">
        <v>83629661</v>
      </c>
      <c r="J27" s="54">
        <v>94021970</v>
      </c>
      <c r="K27" s="54">
        <v>71302772</v>
      </c>
      <c r="L27" s="54">
        <v>52485308</v>
      </c>
    </row>
  </sheetData>
  <phoneticPr fontId="1" type="noConversion"/>
  <pageMargins left="0.7" right="0.7" top="0.75" bottom="0.75" header="0.3" footer="0.3"/>
  <pageSetup orientation="portrait" r:id="rId7"/>
  <drawing r:id="rId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5F412-D512-4ED2-9EFB-4B8E30B97A87}">
  <dimension ref="B1:J19"/>
  <sheetViews>
    <sheetView showGridLines="0" workbookViewId="0">
      <selection activeCell="G29" sqref="G29"/>
    </sheetView>
  </sheetViews>
  <sheetFormatPr defaultRowHeight="14.4" x14ac:dyDescent="0.3"/>
  <cols>
    <col min="1" max="1" width="3.6640625" customWidth="1"/>
    <col min="2" max="2" width="12.44140625" bestFit="1" customWidth="1"/>
    <col min="3" max="3" width="23.109375" customWidth="1"/>
    <col min="4" max="4" width="26" customWidth="1"/>
    <col min="5" max="5" width="2.77734375" customWidth="1"/>
    <col min="6" max="6" width="17.33203125" bestFit="1" customWidth="1"/>
    <col min="7" max="7" width="21.44140625" customWidth="1"/>
    <col min="8" max="8" width="3.109375" customWidth="1"/>
    <col min="9" max="9" width="15.5546875" bestFit="1" customWidth="1"/>
    <col min="10" max="10" width="25" bestFit="1" customWidth="1"/>
    <col min="11" max="11" width="12.44140625" bestFit="1" customWidth="1"/>
    <col min="12" max="12" width="18.88671875" bestFit="1" customWidth="1"/>
    <col min="13" max="25" width="10.33203125" bestFit="1" customWidth="1"/>
    <col min="26" max="26" width="10.77734375" bestFit="1" customWidth="1"/>
  </cols>
  <sheetData>
    <row r="1" spans="2:10" ht="38.4" customHeight="1" x14ac:dyDescent="0.3"/>
    <row r="2" spans="2:10" ht="9" customHeight="1" x14ac:dyDescent="0.3"/>
    <row r="3" spans="2:10" ht="6.6" customHeight="1" x14ac:dyDescent="0.3"/>
    <row r="4" spans="2:10" x14ac:dyDescent="0.3">
      <c r="B4" s="16" t="s">
        <v>5689</v>
      </c>
      <c r="C4" t="s">
        <v>5804</v>
      </c>
      <c r="D4" t="s">
        <v>5805</v>
      </c>
      <c r="F4" s="16" t="s">
        <v>5689</v>
      </c>
      <c r="G4" t="s">
        <v>5805</v>
      </c>
      <c r="I4" s="16" t="s">
        <v>5689</v>
      </c>
      <c r="J4" t="s">
        <v>5806</v>
      </c>
    </row>
    <row r="5" spans="2:10" x14ac:dyDescent="0.3">
      <c r="B5" s="17" t="s">
        <v>5691</v>
      </c>
      <c r="C5" s="43">
        <v>25517960.087799996</v>
      </c>
      <c r="D5" s="43">
        <v>30647914.871100001</v>
      </c>
      <c r="F5" s="17" t="s">
        <v>20</v>
      </c>
      <c r="G5" s="42">
        <v>83921215.943499997</v>
      </c>
      <c r="I5" s="17" t="s">
        <v>41</v>
      </c>
      <c r="J5">
        <v>1.5999999999999986E-2</v>
      </c>
    </row>
    <row r="6" spans="2:10" x14ac:dyDescent="0.3">
      <c r="B6" s="17" t="s">
        <v>5692</v>
      </c>
      <c r="C6" s="43">
        <v>35682223.3653</v>
      </c>
      <c r="D6" s="43">
        <v>29780629.092599999</v>
      </c>
      <c r="F6" s="17" t="s">
        <v>113</v>
      </c>
      <c r="G6" s="42">
        <v>43558259.391199999</v>
      </c>
      <c r="I6" s="17" t="s">
        <v>52</v>
      </c>
      <c r="J6">
        <v>0.79300000000000004</v>
      </c>
    </row>
    <row r="7" spans="2:10" x14ac:dyDescent="0.3">
      <c r="B7" s="17" t="s">
        <v>5693</v>
      </c>
      <c r="C7" s="43">
        <v>16350702.691099998</v>
      </c>
      <c r="D7" s="43">
        <v>20435590.740199998</v>
      </c>
      <c r="F7" s="17" t="s">
        <v>41</v>
      </c>
      <c r="G7" s="42">
        <v>40246219.508400001</v>
      </c>
      <c r="I7" s="17" t="s">
        <v>113</v>
      </c>
      <c r="J7">
        <v>0.11800000000000006</v>
      </c>
    </row>
    <row r="8" spans="2:10" x14ac:dyDescent="0.3">
      <c r="B8" s="17" t="s">
        <v>5694</v>
      </c>
      <c r="C8" s="43">
        <v>9892490.7367999982</v>
      </c>
      <c r="D8" s="43">
        <v>10374582.783200001</v>
      </c>
      <c r="F8" s="17" t="s">
        <v>52</v>
      </c>
      <c r="G8" s="42">
        <v>32957280.475299999</v>
      </c>
      <c r="I8" s="17" t="s">
        <v>36</v>
      </c>
      <c r="J8">
        <v>-0.97300000000000009</v>
      </c>
    </row>
    <row r="9" spans="2:10" x14ac:dyDescent="0.3">
      <c r="B9" s="17" t="s">
        <v>5695</v>
      </c>
      <c r="C9" s="43">
        <v>14542121.831499999</v>
      </c>
      <c r="D9" s="43">
        <v>11355632.790800001</v>
      </c>
      <c r="F9" s="17" t="s">
        <v>36</v>
      </c>
      <c r="G9" s="42">
        <v>31899581.664299998</v>
      </c>
      <c r="I9" s="17" t="s">
        <v>20</v>
      </c>
      <c r="J9">
        <v>0.9930000000000001</v>
      </c>
    </row>
    <row r="10" spans="2:10" x14ac:dyDescent="0.3">
      <c r="B10" s="17" t="s">
        <v>5696</v>
      </c>
      <c r="C10" s="43">
        <v>12149022.941400001</v>
      </c>
      <c r="D10" s="43">
        <v>28818503.594600003</v>
      </c>
      <c r="F10" s="17" t="s">
        <v>5690</v>
      </c>
      <c r="G10" s="42">
        <v>232582556.98270002</v>
      </c>
      <c r="I10" s="17" t="s">
        <v>5690</v>
      </c>
      <c r="J10">
        <v>0.94699999999999884</v>
      </c>
    </row>
    <row r="11" spans="2:10" x14ac:dyDescent="0.3">
      <c r="B11" s="17" t="s">
        <v>5697</v>
      </c>
      <c r="C11" s="43">
        <v>14772798.8982</v>
      </c>
      <c r="D11" s="43">
        <v>10614935.3155</v>
      </c>
    </row>
    <row r="12" spans="2:10" x14ac:dyDescent="0.3">
      <c r="B12" s="17" t="s">
        <v>5698</v>
      </c>
      <c r="C12" s="43">
        <v>17566078.710300002</v>
      </c>
      <c r="D12" s="43">
        <v>7561669.9914000006</v>
      </c>
    </row>
    <row r="13" spans="2:10" x14ac:dyDescent="0.3">
      <c r="B13" s="17" t="s">
        <v>5699</v>
      </c>
      <c r="C13" s="43">
        <v>30082366.532800004</v>
      </c>
      <c r="D13" s="43">
        <v>27430077.013999999</v>
      </c>
      <c r="F13" s="44" t="s">
        <v>142</v>
      </c>
      <c r="G13" s="45">
        <f>SUM(tblcost[MaterialCost USD])</f>
        <v>128250156.32999998</v>
      </c>
    </row>
    <row r="14" spans="2:10" x14ac:dyDescent="0.3">
      <c r="B14" s="17" t="s">
        <v>5700</v>
      </c>
      <c r="C14" s="43">
        <v>14010668.386299999</v>
      </c>
      <c r="D14" s="43">
        <v>23206548.900800001</v>
      </c>
      <c r="F14" s="44" t="s">
        <v>5810</v>
      </c>
      <c r="G14" s="45">
        <f>SUM(tblcost[SubcontractorCost])</f>
        <v>108970317</v>
      </c>
    </row>
    <row r="15" spans="2:10" x14ac:dyDescent="0.3">
      <c r="B15" s="17" t="s">
        <v>5701</v>
      </c>
      <c r="C15" s="43">
        <v>14754793.806000002</v>
      </c>
      <c r="D15" s="43">
        <v>12158275.374599999</v>
      </c>
      <c r="F15" s="44" t="s">
        <v>141</v>
      </c>
      <c r="G15" s="45">
        <f>SUM(tblcost[LaborCost USD])</f>
        <v>50650836.509100005</v>
      </c>
    </row>
    <row r="16" spans="2:10" x14ac:dyDescent="0.3">
      <c r="B16" s="17" t="s">
        <v>5702</v>
      </c>
      <c r="C16" s="43">
        <v>8369756.1161999991</v>
      </c>
      <c r="D16" s="43">
        <v>20198196.513900001</v>
      </c>
      <c r="F16" s="44" t="s">
        <v>143</v>
      </c>
      <c r="G16" s="45">
        <f>SUM(tblcost[EquipmentCost])</f>
        <v>41107281</v>
      </c>
    </row>
    <row r="17" spans="2:7" x14ac:dyDescent="0.3">
      <c r="B17" s="17" t="s">
        <v>5690</v>
      </c>
      <c r="C17" s="43">
        <v>213690984.10370004</v>
      </c>
      <c r="D17" s="43">
        <v>232582556.98270002</v>
      </c>
      <c r="F17" s="44" t="s">
        <v>5809</v>
      </c>
      <c r="G17" s="45">
        <f>SUM(Clean_Monthly_Costs!D61:D86)</f>
        <v>3995331.9255999997</v>
      </c>
    </row>
    <row r="18" spans="2:7" x14ac:dyDescent="0.3">
      <c r="F18" s="44" t="s">
        <v>5808</v>
      </c>
      <c r="G18" s="45">
        <f>SUM(tblcost[TravelCost USD])</f>
        <v>3104860.8080999996</v>
      </c>
    </row>
    <row r="19" spans="2:7" x14ac:dyDescent="0.3">
      <c r="F19" s="44" t="s">
        <v>5807</v>
      </c>
      <c r="G19" s="45">
        <f>SUM(tblcost[MiscCost USD])</f>
        <v>1273700.6251999999</v>
      </c>
    </row>
  </sheetData>
  <sortState xmlns:xlrd2="http://schemas.microsoft.com/office/spreadsheetml/2017/richdata2" ref="F13:G19">
    <sortCondition descending="1" ref="G13:G19"/>
  </sortState>
  <pageMargins left="0.7" right="0.7" top="0.75" bottom="0.75" header="0.3" footer="0.3"/>
  <pageSetup orientation="portrait" r:id="rId4"/>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881C-662F-4D19-9713-9EAF7E3D40D9}">
  <dimension ref="F8"/>
  <sheetViews>
    <sheetView showGridLines="0" showRowColHeaders="0" zoomScaleNormal="100" workbookViewId="0"/>
  </sheetViews>
  <sheetFormatPr defaultRowHeight="14.4" x14ac:dyDescent="0.3"/>
  <cols>
    <col min="1" max="16384" width="8.88671875" style="19"/>
  </cols>
  <sheetData>
    <row r="8" spans="6:6" x14ac:dyDescent="0.3">
      <c r="F8" s="18"/>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475A-0964-4489-A201-2895EA759653}">
  <dimension ref="A1"/>
  <sheetViews>
    <sheetView showGridLines="0" showRowColHeaders="0" workbookViewId="0"/>
  </sheetViews>
  <sheetFormatPr defaultRowHeight="14.4" x14ac:dyDescent="0.3"/>
  <cols>
    <col min="1" max="16384" width="8.88671875" style="19"/>
  </cols>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96A31-DEC4-497E-B9D3-FD669F2ED34F}">
  <dimension ref="A1"/>
  <sheetViews>
    <sheetView showGridLines="0" showRowColHeaders="0" workbookViewId="0"/>
  </sheetViews>
  <sheetFormatPr defaultRowHeight="14.4" x14ac:dyDescent="0.3"/>
  <cols>
    <col min="1" max="16384" width="8.88671875" style="59"/>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5DA9-3559-4A01-8F6A-2740101C111E}">
  <dimension ref="X39:X50"/>
  <sheetViews>
    <sheetView showGridLines="0" showRowColHeaders="0" workbookViewId="0"/>
  </sheetViews>
  <sheetFormatPr defaultRowHeight="14.4" x14ac:dyDescent="0.3"/>
  <cols>
    <col min="1" max="17" width="8.88671875" style="19"/>
    <col min="18" max="18" width="12.5546875" style="19" bestFit="1" customWidth="1"/>
    <col min="19" max="19" width="9.109375" style="19" bestFit="1" customWidth="1"/>
    <col min="20" max="20" width="8.88671875" style="19"/>
    <col min="21" max="21" width="12.77734375" style="19" bestFit="1" customWidth="1"/>
    <col min="22" max="22" width="17.77734375" style="19" bestFit="1" customWidth="1"/>
    <col min="23" max="24" width="12" style="19" bestFit="1" customWidth="1"/>
    <col min="25" max="33" width="8.88671875" style="19"/>
    <col min="34" max="34" width="19" style="19" customWidth="1"/>
    <col min="35" max="35" width="22.44140625" style="19" customWidth="1"/>
    <col min="36" max="16384" width="8.88671875" style="19"/>
  </cols>
  <sheetData>
    <row r="39" spans="24:24" x14ac:dyDescent="0.3">
      <c r="X39"/>
    </row>
    <row r="40" spans="24:24" x14ac:dyDescent="0.3">
      <c r="X40"/>
    </row>
    <row r="41" spans="24:24" x14ac:dyDescent="0.3">
      <c r="X41"/>
    </row>
    <row r="42" spans="24:24" x14ac:dyDescent="0.3">
      <c r="X42"/>
    </row>
    <row r="43" spans="24:24" x14ac:dyDescent="0.3">
      <c r="X43"/>
    </row>
    <row r="44" spans="24:24" x14ac:dyDescent="0.3">
      <c r="X44"/>
    </row>
    <row r="45" spans="24:24" x14ac:dyDescent="0.3">
      <c r="X45"/>
    </row>
    <row r="46" spans="24:24" x14ac:dyDescent="0.3">
      <c r="X46"/>
    </row>
    <row r="47" spans="24:24" x14ac:dyDescent="0.3">
      <c r="X47"/>
    </row>
    <row r="48" spans="24:24" x14ac:dyDescent="0.3">
      <c r="X48"/>
    </row>
    <row r="49" spans="24:24" x14ac:dyDescent="0.3">
      <c r="X49"/>
    </row>
    <row r="50" spans="24:24" x14ac:dyDescent="0.3">
      <c r="X50"/>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904B-350C-47FB-9020-7AF5454D1010}">
  <dimension ref="A1"/>
  <sheetViews>
    <sheetView showGridLines="0" showRowColHeaders="0" workbookViewId="0"/>
  </sheetViews>
  <sheetFormatPr defaultRowHeight="14.4" x14ac:dyDescent="0.3"/>
  <cols>
    <col min="1" max="16384" width="8.88671875" style="19"/>
  </cols>
  <sheetData/>
  <pageMargins left="0.7" right="0.7" top="0.75" bottom="0.75" header="0.3" footer="0.3"/>
  <pageSetup paperSize="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D8437DD-DCBF-4C82-81D7-8536282A626D}">
  <ds:schemaRefs/>
</ds:datastoreItem>
</file>

<file path=customXml/itemProps2.xml><?xml version="1.0" encoding="utf-8"?>
<ds:datastoreItem xmlns:ds="http://schemas.openxmlformats.org/officeDocument/2006/customXml" ds:itemID="{145EBB60-05C2-45D1-A6AA-72B6AAEE4D0B}">
  <ds:schemaRefs/>
</ds:datastoreItem>
</file>

<file path=customXml/itemProps3.xml><?xml version="1.0" encoding="utf-8"?>
<ds:datastoreItem xmlns:ds="http://schemas.openxmlformats.org/officeDocument/2006/customXml" ds:itemID="{CC03A19A-F825-4F61-82D7-646601F41787}">
  <ds:schemaRefs/>
</ds:datastoreItem>
</file>

<file path=customXml/itemProps4.xml><?xml version="1.0" encoding="utf-8"?>
<ds:datastoreItem xmlns:ds="http://schemas.openxmlformats.org/officeDocument/2006/customXml" ds:itemID="{B0B6A596-C67C-4CDB-AE47-C622552C0E8D}">
  <ds:schemaRefs/>
</ds:datastoreItem>
</file>

<file path=customXml/itemProps5.xml><?xml version="1.0" encoding="utf-8"?>
<ds:datastoreItem xmlns:ds="http://schemas.openxmlformats.org/officeDocument/2006/customXml" ds:itemID="{74C37217-E229-4039-827F-1681DC636008}">
  <ds:schemaRefs/>
</ds:datastoreItem>
</file>

<file path=customXml/itemProps6.xml><?xml version="1.0" encoding="utf-8"?>
<ds:datastoreItem xmlns:ds="http://schemas.openxmlformats.org/officeDocument/2006/customXml" ds:itemID="{7EB56110-C550-4EA1-A8E0-EE0282BE2337}">
  <ds:schemaRefs/>
</ds:datastoreItem>
</file>

<file path=customXml/itemProps7.xml><?xml version="1.0" encoding="utf-8"?>
<ds:datastoreItem xmlns:ds="http://schemas.openxmlformats.org/officeDocument/2006/customXml" ds:itemID="{AD17C83D-3A56-47C4-8B6E-9259E5470BFF}">
  <ds:schemaRefs/>
</ds:datastoreItem>
</file>

<file path=customXml/itemProps8.xml><?xml version="1.0" encoding="utf-8"?>
<ds:datastoreItem xmlns:ds="http://schemas.openxmlformats.org/officeDocument/2006/customXml" ds:itemID="{48451E7A-2C60-4527-A664-0AD25705D9B3}">
  <ds:schemaRefs/>
</ds:datastoreItem>
</file>

<file path=customXml/itemProps9.xml><?xml version="1.0" encoding="utf-8"?>
<ds:datastoreItem xmlns:ds="http://schemas.openxmlformats.org/officeDocument/2006/customXml" ds:itemID="{8AB8FDD9-B40D-40D6-B187-1644046B9DFB}">
  <ds:schemaRefs/>
</ds:datastoreItem>
</file>

<file path=customXml/itemProps10.xml><?xml version="1.0" encoding="utf-8"?>
<ds:datastoreItem xmlns:ds="http://schemas.openxmlformats.org/officeDocument/2006/customXml" ds:itemID="{3CF318F5-EFCA-417E-8E52-27B9A6DDA92A}">
  <ds:schemaRefs/>
</ds:datastoreItem>
</file>

<file path=customXml/itemProps11.xml><?xml version="1.0" encoding="utf-8"?>
<ds:datastoreItem xmlns:ds="http://schemas.openxmlformats.org/officeDocument/2006/customXml" ds:itemID="{177CCAEB-78E7-4ABF-B1A4-BE2027E18A0A}">
  <ds:schemaRefs/>
</ds:datastoreItem>
</file>

<file path=customXml/itemProps12.xml><?xml version="1.0" encoding="utf-8"?>
<ds:datastoreItem xmlns:ds="http://schemas.openxmlformats.org/officeDocument/2006/customXml" ds:itemID="{AE2BAD6A-F48E-4687-AA36-B6D94219ADB3}">
  <ds:schemaRefs/>
</ds:datastoreItem>
</file>

<file path=customXml/itemProps13.xml><?xml version="1.0" encoding="utf-8"?>
<ds:datastoreItem xmlns:ds="http://schemas.openxmlformats.org/officeDocument/2006/customXml" ds:itemID="{3CAC1DD1-7758-4C20-9865-8EAF484AFEC2}">
  <ds:schemaRefs>
    <ds:schemaRef ds:uri="http://schemas.microsoft.com/DataMashup"/>
  </ds:schemaRefs>
</ds:datastoreItem>
</file>

<file path=customXml/itemProps14.xml><?xml version="1.0" encoding="utf-8"?>
<ds:datastoreItem xmlns:ds="http://schemas.openxmlformats.org/officeDocument/2006/customXml" ds:itemID="{FA41D83C-C293-482F-BDA6-34F2DE40FA18}">
  <ds:schemaRefs/>
</ds:datastoreItem>
</file>

<file path=customXml/itemProps15.xml><?xml version="1.0" encoding="utf-8"?>
<ds:datastoreItem xmlns:ds="http://schemas.openxmlformats.org/officeDocument/2006/customXml" ds:itemID="{4A72D230-02AF-4395-8784-E8067E133027}">
  <ds:schemaRefs/>
</ds:datastoreItem>
</file>

<file path=customXml/itemProps16.xml><?xml version="1.0" encoding="utf-8"?>
<ds:datastoreItem xmlns:ds="http://schemas.openxmlformats.org/officeDocument/2006/customXml" ds:itemID="{BC59DC42-06A5-40D9-9479-942C21A61A29}">
  <ds:schemaRefs/>
</ds:datastoreItem>
</file>

<file path=customXml/itemProps17.xml><?xml version="1.0" encoding="utf-8"?>
<ds:datastoreItem xmlns:ds="http://schemas.openxmlformats.org/officeDocument/2006/customXml" ds:itemID="{7D9D22E9-DE4F-4748-9F4D-BF1D962395C8}">
  <ds:schemaRefs/>
</ds:datastoreItem>
</file>

<file path=customXml/itemProps18.xml><?xml version="1.0" encoding="utf-8"?>
<ds:datastoreItem xmlns:ds="http://schemas.openxmlformats.org/officeDocument/2006/customXml" ds:itemID="{9A1CBB10-4DC4-48A2-A7EB-7023DDA722DE}">
  <ds:schemaRefs/>
</ds:datastoreItem>
</file>

<file path=customXml/itemProps19.xml><?xml version="1.0" encoding="utf-8"?>
<ds:datastoreItem xmlns:ds="http://schemas.openxmlformats.org/officeDocument/2006/customXml" ds:itemID="{FB0311F9-FC64-4CF8-A1E9-C051297659D0}">
  <ds:schemaRefs/>
</ds:datastoreItem>
</file>

<file path=customXml/itemProps20.xml><?xml version="1.0" encoding="utf-8"?>
<ds:datastoreItem xmlns:ds="http://schemas.openxmlformats.org/officeDocument/2006/customXml" ds:itemID="{1829B89C-D9D9-4652-B2C8-85E4D5440808}">
  <ds:schemaRefs/>
</ds:datastoreItem>
</file>

<file path=customXml/itemProps21.xml><?xml version="1.0" encoding="utf-8"?>
<ds:datastoreItem xmlns:ds="http://schemas.openxmlformats.org/officeDocument/2006/customXml" ds:itemID="{6A5ABD7A-156A-409B-9255-194BCE5F2F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Project</vt:lpstr>
      <vt:lpstr>Raw_Sales_Transactions</vt:lpstr>
      <vt:lpstr>Raw_Project_Master</vt:lpstr>
      <vt:lpstr>Raw_Client_Master</vt:lpstr>
      <vt:lpstr>Raw_Estimator_Team</vt:lpstr>
      <vt:lpstr>Raw_Monthly_Costs</vt:lpstr>
      <vt:lpstr>Data_Quality</vt:lpstr>
      <vt:lpstr>Clean_Sales_Transactions</vt:lpstr>
      <vt:lpstr>Clean_Project_Master</vt:lpstr>
      <vt:lpstr>Clean_Client_Master</vt:lpstr>
      <vt:lpstr>Clean_Estimator_Team</vt:lpstr>
      <vt:lpstr>Clean_Monthly_Costs</vt:lpstr>
      <vt:lpstr>Sales_Analysis</vt:lpstr>
      <vt:lpstr>project_Analysis</vt:lpstr>
      <vt:lpstr>client_analysis</vt:lpstr>
      <vt:lpstr>estimator_analysis</vt:lpstr>
      <vt:lpstr>cost_analysis</vt:lpstr>
      <vt:lpstr>Sales_Analysis_Dashboard</vt:lpstr>
      <vt:lpstr>Project_Cost_Analysis_Dashboard</vt:lpstr>
      <vt:lpstr>Client_Analysis_Dashboard</vt:lpstr>
      <vt:lpstr>Estimator_Analysis_Dashboard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Shifana Aslam</dc:creator>
  <cp:lastModifiedBy>Shifana Aslam</cp:lastModifiedBy>
  <dcterms:created xsi:type="dcterms:W3CDTF">2026-08-15T14:03:15Z</dcterms:created>
  <dcterms:modified xsi:type="dcterms:W3CDTF">2026-09-21T12:51:04Z</dcterms:modified>
</cp:coreProperties>
</file>