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ware\Desktop\"/>
    </mc:Choice>
  </mc:AlternateContent>
  <bookViews>
    <workbookView xWindow="0" yWindow="0" windowWidth="28800" windowHeight="12210" activeTab="9" xr2:uid="{00000000-000D-0000-FFFF-FFFF00000000}"/>
  </bookViews>
  <sheets>
    <sheet name="Spirit" sheetId="2" r:id="rId1"/>
    <sheet name="Cocktail" sheetId="3" r:id="rId2"/>
    <sheet name="Vodka" sheetId="4" r:id="rId3"/>
    <sheet name="Gin" sheetId="5" r:id="rId4"/>
    <sheet name="Liqueur" sheetId="6" r:id="rId5"/>
    <sheet name="Brandy" sheetId="7" r:id="rId6"/>
    <sheet name="Tequila" sheetId="8" r:id="rId7"/>
    <sheet name="Rum" sheetId="9" r:id="rId8"/>
    <sheet name="Scotch and Whiskey" sheetId="10" r:id="rId9"/>
    <sheet name="MODEL" sheetId="11" r:id="rId10"/>
    <sheet name="Catagory data_STS" sheetId="12" state="veryHidden" r:id="rId11"/>
    <sheet name="STS_1" sheetId="13" r:id="rId12"/>
    <sheet name="STS_2" sheetId="14" r:id="rId13"/>
    <sheet name="STS_3" sheetId="15" r:id="rId14"/>
  </sheets>
  <definedNames>
    <definedName name="ChartData" localSheetId="12">STS_2!$K$5:$K$10</definedName>
    <definedName name="ChartData" localSheetId="13">STS_3!$K$5:$K$15</definedName>
    <definedName name="ChartData1" localSheetId="11">STS_1!$AC$5:$AC$30</definedName>
    <definedName name="ChartData2" localSheetId="11">STS_1!$AG$5:$AG$20</definedName>
    <definedName name="InputValues" localSheetId="12">STS_2!$A$5:$A$10</definedName>
    <definedName name="InputValues" localSheetId="13">STS_3!$A$5:$A$15</definedName>
    <definedName name="InputValues1" localSheetId="11">STS_1!$A$5:$A$20</definedName>
    <definedName name="InputValues2" localSheetId="11">STS_1!$B$4:$AA$4</definedName>
    <definedName name="OutputAddresses" localSheetId="11">STS_1!$AZ$2</definedName>
    <definedName name="OutputAddresses" localSheetId="12">STS_2!$B$4</definedName>
    <definedName name="OutputAddresses" localSheetId="13">STS_3!$B$4</definedName>
    <definedName name="OutputValues" localSheetId="12">STS_2!$B$5:$B$10</definedName>
    <definedName name="OutputValues" localSheetId="13">STS_3!$B$5:$B$15</definedName>
    <definedName name="OutputValues_1" localSheetId="11">STS_1!$B$5:$AA$20</definedName>
    <definedName name="solver_adj" localSheetId="9" hidden="1">MODEL!$B$18:$B$26,MODEL!$F$18:$F$26,MODEL!$J$18:$J$26</definedName>
    <definedName name="solver_cvg" localSheetId="9" hidden="1">0.0001</definedName>
    <definedName name="solver_drv" localSheetId="9" hidden="1">1</definedName>
    <definedName name="solver_eng" localSheetId="9" hidden="1">2</definedName>
    <definedName name="solver_est" localSheetId="9" hidden="1">1</definedName>
    <definedName name="solver_itr" localSheetId="9" hidden="1">2147483647</definedName>
    <definedName name="solver_lhs1" localSheetId="9" hidden="1">MODEL!$B$18:$B$26</definedName>
    <definedName name="solver_lhs10" localSheetId="9" hidden="1">MODEL!$J$29</definedName>
    <definedName name="solver_lhs2" localSheetId="9" hidden="1">MODEL!$B$18:$B$26</definedName>
    <definedName name="solver_lhs3" localSheetId="9" hidden="1">MODEL!$B$29</definedName>
    <definedName name="solver_lhs4" localSheetId="9" hidden="1">MODEL!$D$34</definedName>
    <definedName name="solver_lhs5" localSheetId="9" hidden="1">MODEL!$F$18:$F$26</definedName>
    <definedName name="solver_lhs6" localSheetId="9" hidden="1">MODEL!$F$18:$F$26</definedName>
    <definedName name="solver_lhs7" localSheetId="9" hidden="1">MODEL!$F$29</definedName>
    <definedName name="solver_lhs8" localSheetId="9" hidden="1">MODEL!$J$18:$J$26</definedName>
    <definedName name="solver_lhs9" localSheetId="9" hidden="1">MODEL!$J$18:$J$26</definedName>
    <definedName name="solver_mip" localSheetId="9" hidden="1">2147483647</definedName>
    <definedName name="solver_mni" localSheetId="9" hidden="1">30</definedName>
    <definedName name="solver_mrt" localSheetId="9" hidden="1">0.075</definedName>
    <definedName name="solver_msl" localSheetId="9" hidden="1">2</definedName>
    <definedName name="solver_neg" localSheetId="9" hidden="1">1</definedName>
    <definedName name="solver_nod" localSheetId="9" hidden="1">2147483647</definedName>
    <definedName name="solver_num" localSheetId="9" hidden="1">10</definedName>
    <definedName name="solver_nwt" localSheetId="9" hidden="1">1</definedName>
    <definedName name="solver_opt" localSheetId="9" hidden="1">MODEL!$D$41</definedName>
    <definedName name="solver_pre" localSheetId="9" hidden="1">0.000001</definedName>
    <definedName name="solver_rbv" localSheetId="9" hidden="1">1</definedName>
    <definedName name="solver_rel1" localSheetId="9" hidden="1">1</definedName>
    <definedName name="solver_rel10" localSheetId="9" hidden="1">1</definedName>
    <definedName name="solver_rel2" localSheetId="9" hidden="1">4</definedName>
    <definedName name="solver_rel3" localSheetId="9" hidden="1">1</definedName>
    <definedName name="solver_rel4" localSheetId="9" hidden="1">1</definedName>
    <definedName name="solver_rel5" localSheetId="9" hidden="1">1</definedName>
    <definedName name="solver_rel6" localSheetId="9" hidden="1">4</definedName>
    <definedName name="solver_rel7" localSheetId="9" hidden="1">1</definedName>
    <definedName name="solver_rel8" localSheetId="9" hidden="1">1</definedName>
    <definedName name="solver_rel9" localSheetId="9" hidden="1">4</definedName>
    <definedName name="solver_rhs1" localSheetId="9" hidden="1">MODEL!$D$18:$D$26</definedName>
    <definedName name="solver_rhs10" localSheetId="9" hidden="1">MODEL!$L$29</definedName>
    <definedName name="solver_rhs2" localSheetId="9" hidden="1">integer</definedName>
    <definedName name="solver_rhs3" localSheetId="9" hidden="1">MODEL!$D$29</definedName>
    <definedName name="solver_rhs4" localSheetId="9" hidden="1">MODEL!$F$34</definedName>
    <definedName name="solver_rhs5" localSheetId="9" hidden="1">MODEL!$H$18:$H$26</definedName>
    <definedName name="solver_rhs6" localSheetId="9" hidden="1">integer</definedName>
    <definedName name="solver_rhs7" localSheetId="9" hidden="1">MODEL!$H$29</definedName>
    <definedName name="solver_rhs8" localSheetId="9" hidden="1">MODEL!$L$18:$L$26</definedName>
    <definedName name="solver_rhs9" localSheetId="9" hidden="1">integer</definedName>
    <definedName name="solver_rlx" localSheetId="9" hidden="1">2</definedName>
    <definedName name="solver_rsd" localSheetId="9" hidden="1">0</definedName>
    <definedName name="solver_scl" localSheetId="9" hidden="1">1</definedName>
    <definedName name="solver_sho" localSheetId="9" hidden="1">2</definedName>
    <definedName name="solver_ssz" localSheetId="9" hidden="1">100</definedName>
    <definedName name="solver_tim" localSheetId="9" hidden="1">2147483647</definedName>
    <definedName name="solver_tol" localSheetId="9" hidden="1">0.01</definedName>
    <definedName name="solver_typ" localSheetId="9" hidden="1">1</definedName>
    <definedName name="solver_val" localSheetId="9" hidden="1">0</definedName>
    <definedName name="solver_ver" localSheetId="9" hidden="1">3</definedName>
  </definedNames>
  <calcPr calcId="171027"/>
</workbook>
</file>

<file path=xl/calcChain.xml><?xml version="1.0" encoding="utf-8"?>
<calcChain xmlns="http://schemas.openxmlformats.org/spreadsheetml/2006/main">
  <c r="K1" i="15" l="1"/>
  <c r="K15" i="15"/>
  <c r="K14" i="15"/>
  <c r="K13" i="15"/>
  <c r="K12" i="15"/>
  <c r="K11" i="15"/>
  <c r="K10" i="15"/>
  <c r="K9" i="15"/>
  <c r="K8" i="15"/>
  <c r="K7" i="15"/>
  <c r="K6" i="15"/>
  <c r="K5" i="15"/>
  <c r="J4" i="15"/>
  <c r="K1" i="14"/>
  <c r="K10" i="14"/>
  <c r="K9" i="14"/>
  <c r="K8" i="14"/>
  <c r="K7" i="14"/>
  <c r="K6" i="14"/>
  <c r="K5" i="14"/>
  <c r="J4" i="14"/>
  <c r="AG1" i="13"/>
  <c r="AC1" i="13"/>
  <c r="AI4" i="13"/>
  <c r="AF5" i="13"/>
  <c r="AF4" i="13"/>
  <c r="AE4" i="13"/>
  <c r="AB5" i="13"/>
  <c r="AB4" i="13"/>
  <c r="AG20" i="13"/>
  <c r="AG19" i="13"/>
  <c r="AG18" i="13"/>
  <c r="AG17" i="13"/>
  <c r="AG16" i="13"/>
  <c r="AG15" i="13"/>
  <c r="AG14" i="13"/>
  <c r="AG13" i="13"/>
  <c r="AG12" i="13"/>
  <c r="AG11" i="13"/>
  <c r="AG10" i="13"/>
  <c r="AG9" i="13"/>
  <c r="AG8" i="13"/>
  <c r="AG7" i="13"/>
  <c r="AG6" i="13"/>
  <c r="AG5" i="13"/>
  <c r="AC30" i="13"/>
  <c r="AC29" i="13"/>
  <c r="AC28" i="13"/>
  <c r="AC27" i="13"/>
  <c r="AC26" i="13"/>
  <c r="AC25" i="13"/>
  <c r="AC24" i="13"/>
  <c r="AC23" i="13"/>
  <c r="AC22" i="13"/>
  <c r="AC21" i="13"/>
  <c r="AC20" i="13"/>
  <c r="AC19" i="13"/>
  <c r="AC18" i="13"/>
  <c r="AC17" i="13"/>
  <c r="AC16" i="13"/>
  <c r="AC15" i="13"/>
  <c r="AC14" i="13"/>
  <c r="AC13" i="13"/>
  <c r="AC12" i="13"/>
  <c r="AC11" i="13"/>
  <c r="AC10" i="13"/>
  <c r="AC9" i="13"/>
  <c r="AC8" i="13"/>
  <c r="AC7" i="13"/>
  <c r="AC6" i="13"/>
  <c r="AC5" i="13"/>
  <c r="D19" i="11" l="1"/>
  <c r="D20" i="11"/>
  <c r="D21" i="11"/>
  <c r="D22" i="11"/>
  <c r="D23" i="11"/>
  <c r="D24" i="11"/>
  <c r="D25" i="11"/>
  <c r="D26" i="11"/>
  <c r="D18" i="11"/>
  <c r="B33" i="11"/>
  <c r="B34" i="11"/>
  <c r="B35" i="11"/>
  <c r="B36" i="11"/>
  <c r="B37" i="11"/>
  <c r="B38" i="11"/>
  <c r="B39" i="11"/>
  <c r="B40" i="11"/>
  <c r="B32" i="11"/>
  <c r="J29" i="11"/>
  <c r="F29" i="11"/>
  <c r="B29" i="11"/>
  <c r="L19" i="11"/>
  <c r="L20" i="11"/>
  <c r="L21" i="11"/>
  <c r="L22" i="11"/>
  <c r="L23" i="11"/>
  <c r="L24" i="11"/>
  <c r="L25" i="11"/>
  <c r="L26" i="11"/>
  <c r="L18" i="11"/>
  <c r="H18" i="11"/>
  <c r="H19" i="11"/>
  <c r="H20" i="11"/>
  <c r="H21" i="11"/>
  <c r="H22" i="11"/>
  <c r="H23" i="11"/>
  <c r="H24" i="11"/>
  <c r="H25" i="11"/>
  <c r="H26" i="11"/>
  <c r="E4" i="11"/>
  <c r="E11" i="11"/>
  <c r="E10" i="11"/>
  <c r="E9" i="11"/>
  <c r="E8" i="11"/>
  <c r="E7" i="11"/>
  <c r="E6" i="11"/>
  <c r="E5" i="11"/>
  <c r="E3" i="11"/>
  <c r="F32" i="10"/>
  <c r="E32" i="10"/>
  <c r="D32" i="10"/>
  <c r="C32" i="10"/>
  <c r="E13" i="9"/>
  <c r="D13" i="9"/>
  <c r="C13" i="9"/>
  <c r="B13" i="9"/>
  <c r="E6" i="8"/>
  <c r="D6" i="8"/>
  <c r="C6" i="8"/>
  <c r="B6" i="8"/>
  <c r="E12" i="7"/>
  <c r="D12" i="7"/>
  <c r="C12" i="7"/>
  <c r="B12" i="7"/>
  <c r="E33" i="6"/>
  <c r="D33" i="6"/>
  <c r="C33" i="6"/>
  <c r="B33" i="6"/>
  <c r="E13" i="5"/>
  <c r="D13" i="5"/>
  <c r="C13" i="5"/>
  <c r="B13" i="5"/>
  <c r="E17" i="4"/>
  <c r="D17" i="4"/>
  <c r="C17" i="4"/>
  <c r="B17" i="4"/>
  <c r="E6" i="3"/>
  <c r="D6" i="3"/>
  <c r="C6" i="3"/>
  <c r="B6" i="3"/>
  <c r="F9" i="2"/>
  <c r="E9" i="2"/>
  <c r="D9" i="2"/>
  <c r="C9" i="2"/>
  <c r="D34" i="11" l="1"/>
  <c r="D37" i="11"/>
  <c r="E12" i="11"/>
  <c r="D41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alienware</author>
  </authors>
  <commentList>
    <comment ref="B5" authorId="0" shapeId="0" xr:uid="{C2360392-BEB1-46C3-9912-F02169F889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" authorId="0" shapeId="0" xr:uid="{F94C6F65-7C88-4D62-A247-17F7C583A4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" authorId="0" shapeId="0" xr:uid="{2C93C558-6F5E-4F0E-A263-9B8829F9DB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" authorId="0" shapeId="0" xr:uid="{A8A7047D-B675-417D-B98B-03289DAFF4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" authorId="0" shapeId="0" xr:uid="{A452F84B-80F0-4D9B-8CB0-0FB9D25123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" authorId="0" shapeId="0" xr:uid="{DB82E89D-042E-4C98-9165-1FC26D3A93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5" authorId="0" shapeId="0" xr:uid="{4B1565B6-FBF6-4843-A874-EC6B0B9909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" authorId="0" shapeId="0" xr:uid="{44E03C68-BCDD-40C6-8F3B-CAD18B32B5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5" authorId="0" shapeId="0" xr:uid="{1304EC26-A8C8-40EC-823E-AE1D59DE91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5" authorId="0" shapeId="0" xr:uid="{BF41DBB5-1925-4D91-9830-B05DA92E45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" authorId="0" shapeId="0" xr:uid="{A2288473-24C5-4DB2-8CE5-B4A483E522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" authorId="0" shapeId="0" xr:uid="{549771E2-04E8-4A84-A8AC-C606A3FCDB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5" authorId="0" shapeId="0" xr:uid="{68035F25-82D9-4DE2-9BE4-1E900DC2CE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5" authorId="0" shapeId="0" xr:uid="{B92D67E5-4180-4603-8856-58E9DD1433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" authorId="0" shapeId="0" xr:uid="{1271AF34-20D7-4057-A020-D5C1F2810F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5" authorId="0" shapeId="0" xr:uid="{6FBBA6F1-DF70-44BC-9663-74A1B91DFA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5" authorId="0" shapeId="0" xr:uid="{C8CA6E39-BA1A-4065-B8B5-87E439FAE0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5" authorId="0" shapeId="0" xr:uid="{A6C73FA1-2E60-44F3-8EB4-86584FFB98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5" authorId="0" shapeId="0" xr:uid="{81BB9CC4-5ADD-4C6F-AD2E-23F8369D5B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5" authorId="0" shapeId="0" xr:uid="{C11324E7-E3CA-4D50-B17D-41E64CB198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5" authorId="0" shapeId="0" xr:uid="{9C9BBAD5-0E92-4948-90EF-0E102FDB3D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5" authorId="0" shapeId="0" xr:uid="{058CFC59-3D05-449C-AF78-ADE0B0E918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5" authorId="0" shapeId="0" xr:uid="{065A9683-966D-414A-BABB-E5B4832AF7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5" authorId="0" shapeId="0" xr:uid="{BED009EE-F1C4-4C81-8B2B-0C1C5669DA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5" authorId="0" shapeId="0" xr:uid="{8CA2DA9E-E952-4DE6-AA29-C2AD63CB21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5" authorId="0" shapeId="0" xr:uid="{E4B21330-E6FF-4D69-B104-2F2AB57E30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EE3CA966-D9F1-42CD-876C-467ABDA772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" authorId="0" shapeId="0" xr:uid="{5DCD2F34-A696-4E39-87A7-D30C92CC4E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" authorId="0" shapeId="0" xr:uid="{61F87EE5-73A8-4176-8FE5-50D3053438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" authorId="0" shapeId="0" xr:uid="{2875F8DA-4734-4424-8791-EC675034BA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" authorId="0" shapeId="0" xr:uid="{EF17EB70-463B-41B3-9D27-BB75595BA7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" authorId="0" shapeId="0" xr:uid="{297233DC-7E8B-4887-A1A9-8F92BE6167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6" authorId="0" shapeId="0" xr:uid="{4A089899-08F7-4588-ACD5-5265E6007A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" authorId="0" shapeId="0" xr:uid="{14513979-CD80-4163-8A9E-6B6566FB69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6" authorId="0" shapeId="0" xr:uid="{95B2C59F-A0C5-41C0-80B4-C317B3FEEA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6" authorId="0" shapeId="0" xr:uid="{B1F4B96D-FDB4-416D-ABA9-F70BEBF14E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" authorId="0" shapeId="0" xr:uid="{3DE6D28F-8D2A-4199-9B7C-01530D71C6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" authorId="0" shapeId="0" xr:uid="{E1E665BC-E864-4E56-9AAD-4A137DDF08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6" authorId="0" shapeId="0" xr:uid="{7D4F43EE-F18C-4B94-A1B5-ED713FE1F4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6" authorId="0" shapeId="0" xr:uid="{6E336B6E-C2BB-4307-8976-95DB191E5D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" authorId="0" shapeId="0" xr:uid="{4A62072A-E106-4C3D-8CCD-FEF2D431E6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6" authorId="0" shapeId="0" xr:uid="{2E7018F5-1DC6-4157-A1E1-B543F044EE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6" authorId="0" shapeId="0" xr:uid="{74F64A60-F534-4904-BBED-1B2737FEA1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6" authorId="0" shapeId="0" xr:uid="{E6C466D5-D90D-4DF1-995A-A5EC301BBB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6" authorId="0" shapeId="0" xr:uid="{DA3665BA-D733-4265-8339-A0A57CCEE0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6" authorId="0" shapeId="0" xr:uid="{405C4356-17CA-431B-9F7F-57D01B1AD4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6" authorId="0" shapeId="0" xr:uid="{22B6146E-42DB-4036-9220-7C74B7F4B3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6" authorId="0" shapeId="0" xr:uid="{00E55903-56DF-4032-A017-40AEA125BF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6" authorId="0" shapeId="0" xr:uid="{DEEE108E-B076-4F1C-AE93-B080BC78CB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6" authorId="0" shapeId="0" xr:uid="{0D445817-61FC-471A-B58A-EAEB67BD08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6" authorId="0" shapeId="0" xr:uid="{96076836-06EA-4F6E-A04D-4523E0A89E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6" authorId="0" shapeId="0" xr:uid="{8A743947-0410-449F-99FE-B718146878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 xr:uid="{C87DD8BB-5448-4F2F-B9D1-89FD482C5F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" authorId="0" shapeId="0" xr:uid="{09A302AB-4582-4C75-87CA-5A1D69E920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" authorId="0" shapeId="0" xr:uid="{0CE03C3C-870E-41F8-9CED-447D371453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" authorId="0" shapeId="0" xr:uid="{E0BFAFF7-8561-4DE7-AEC2-8B462F7DFD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" authorId="0" shapeId="0" xr:uid="{99473BDD-0C90-44C3-B1A9-B70B84B7D4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" authorId="0" shapeId="0" xr:uid="{16F72307-19E0-48D9-8AC9-FB97F023FA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7" authorId="0" shapeId="0" xr:uid="{81AB99FC-B99F-44EC-99AD-545DE6924A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" authorId="0" shapeId="0" xr:uid="{F90A3FFD-AA6D-4F9C-A89E-75576C4190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7" authorId="0" shapeId="0" xr:uid="{B01C49F9-1822-4573-B635-5B31425C2A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7" authorId="0" shapeId="0" xr:uid="{D28CE1B3-54D9-4DAF-994C-DD058107F0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" authorId="0" shapeId="0" xr:uid="{85D9F614-39F1-4EA0-BEE9-D13B568625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" authorId="0" shapeId="0" xr:uid="{C3B063E6-DBED-4864-B74F-FF6A738649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7" authorId="0" shapeId="0" xr:uid="{0603319B-1DF3-457A-AA15-929914E078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7" authorId="0" shapeId="0" xr:uid="{727ACC7B-F5EF-479E-AEB8-52C04D1241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" authorId="0" shapeId="0" xr:uid="{B7F9B6F0-70E2-40AD-9711-560D61C13D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7" authorId="0" shapeId="0" xr:uid="{0778E9A5-3298-4597-AE91-BBA4004C92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7" authorId="0" shapeId="0" xr:uid="{0B4677FB-3EDC-4807-BD30-EA7A87E279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7" authorId="0" shapeId="0" xr:uid="{26796431-3BEF-4884-9E14-16584AE169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7" authorId="0" shapeId="0" xr:uid="{FC75D689-0848-4C8D-8CCE-E5D10FF495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7" authorId="0" shapeId="0" xr:uid="{12E38727-6136-44E3-8672-5E072009A0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7" authorId="0" shapeId="0" xr:uid="{B40CF10C-3432-46C8-8C69-BC6ED5844D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7" authorId="0" shapeId="0" xr:uid="{4BE1B3B3-AD52-424D-82BD-6505F47E23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7" authorId="0" shapeId="0" xr:uid="{BB25AA05-7179-487E-9C7E-6E5B255AF6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7" authorId="0" shapeId="0" xr:uid="{1EE4A4F1-7FF5-462A-858D-533A471216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7" authorId="0" shapeId="0" xr:uid="{99035E67-AE78-429A-8055-41C409A7D2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7" authorId="0" shapeId="0" xr:uid="{19F15B0A-7304-4292-BDAE-B358D1EDEF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EA922C72-3218-4F32-8AA5-29DADBB33B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" authorId="0" shapeId="0" xr:uid="{7984695E-D04A-45DF-AF70-72F6FAAEC3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" authorId="0" shapeId="0" xr:uid="{CF23B302-58C7-48E1-8920-0001E489CD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" authorId="0" shapeId="0" xr:uid="{59A8A247-5CD0-44DC-808C-9EC6F11D95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" authorId="0" shapeId="0" xr:uid="{9873150D-74A0-4D25-9428-4CEDCA6290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" authorId="0" shapeId="0" xr:uid="{1DB8E7FF-9092-4307-BD30-5FE71C4A07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8" authorId="0" shapeId="0" xr:uid="{C3AFA4B2-A7E4-4A4D-AB7A-375110B639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8" authorId="0" shapeId="0" xr:uid="{067BD037-606E-42F2-895E-89A14A9E05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8" authorId="0" shapeId="0" xr:uid="{731014F0-D502-46B4-9800-4B90FE8856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8" authorId="0" shapeId="0" xr:uid="{A7D144EE-9D31-4CB2-A915-9DE41498EF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8" authorId="0" shapeId="0" xr:uid="{F9E1E0B3-10E5-4AB1-980A-F7C4371E0B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8" authorId="0" shapeId="0" xr:uid="{6DCBEB55-DFB3-4ED4-B58B-322EC6979E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8" authorId="0" shapeId="0" xr:uid="{939339FC-63FF-451C-A3AC-E628B37064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8" authorId="0" shapeId="0" xr:uid="{324C3DF3-0937-4DF2-A136-EA64DDBF5D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8" authorId="0" shapeId="0" xr:uid="{FB22E209-EA8F-405C-88DD-C7B166E67E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8" authorId="0" shapeId="0" xr:uid="{CC6E1FB0-FE8C-47C6-BD00-33E93B5279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8" authorId="0" shapeId="0" xr:uid="{98C6308E-3406-4637-A090-1235539307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8" authorId="0" shapeId="0" xr:uid="{352DC92F-FE9B-4857-BE3B-DF77492B53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8" authorId="0" shapeId="0" xr:uid="{B8C0AF11-B7AA-46A1-BF7D-A4511A74F9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8" authorId="0" shapeId="0" xr:uid="{440A0C9F-EA1D-4E64-82DD-69E41F7E39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8" authorId="0" shapeId="0" xr:uid="{9429A774-5176-4852-A1C9-3C784D5CD4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8" authorId="0" shapeId="0" xr:uid="{D24367E8-DACD-4927-8E41-C0C1B0DDCF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8" authorId="0" shapeId="0" xr:uid="{4F218FC5-458D-45D0-BDC6-76763AA5BE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8" authorId="0" shapeId="0" xr:uid="{13837411-53EF-4C59-A9AA-63FF410FAE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8" authorId="0" shapeId="0" xr:uid="{6A316717-EA3C-4AF7-8A8A-B25B6D5548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8" authorId="0" shapeId="0" xr:uid="{5E9D83A2-F5B2-4907-9D32-918551845E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6A73B7CB-7558-4E38-A83F-224863B345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" authorId="0" shapeId="0" xr:uid="{436DF97C-FC0D-4C92-89E2-E01B76B8B8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" authorId="0" shapeId="0" xr:uid="{B60AA7D3-770B-4EAA-A674-91530125EE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" authorId="0" shapeId="0" xr:uid="{7E11EB96-77F9-43EF-9B45-EAFCE9254C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" authorId="0" shapeId="0" xr:uid="{292BABC8-8ABD-4109-BFE2-18950C0E38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" authorId="0" shapeId="0" xr:uid="{6F423C1D-320C-4F26-A12E-3ACFDC162F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9" authorId="0" shapeId="0" xr:uid="{7D9CA4EC-F08A-44D9-82CD-5ECE772B2B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9" authorId="0" shapeId="0" xr:uid="{F4537058-3C03-4626-AC18-2D1307758E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9" authorId="0" shapeId="0" xr:uid="{DB867800-E9D1-42D9-A1D5-0C8197ECF7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9" authorId="0" shapeId="0" xr:uid="{8171DD83-3D53-47F2-8489-0C9A31CBAF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9" authorId="0" shapeId="0" xr:uid="{B52A72BC-06F2-4EC4-926E-8F2A452DF9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9" authorId="0" shapeId="0" xr:uid="{63561027-5E64-431B-937B-D71A245E79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9" authorId="0" shapeId="0" xr:uid="{808C85E8-A528-444E-AE15-37921E40CA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9" authorId="0" shapeId="0" xr:uid="{34F81DDE-92DF-46FB-ACD7-D1A9787AA0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9" authorId="0" shapeId="0" xr:uid="{FCFA4012-5929-4F56-838A-02568B081A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9" authorId="0" shapeId="0" xr:uid="{32925DD3-BD8B-4007-A388-81B1E36ECF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9" authorId="0" shapeId="0" xr:uid="{93451A90-A98E-42AC-A5B2-79F0D98B05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9" authorId="0" shapeId="0" xr:uid="{FC824F4B-D76D-427C-B34B-B82C50A686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9" authorId="0" shapeId="0" xr:uid="{7E9C29C3-7A62-49D5-A259-B2676FF828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9" authorId="0" shapeId="0" xr:uid="{39A16FE5-142F-481F-A65A-C478595C88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9" authorId="0" shapeId="0" xr:uid="{2CBC1001-5228-4F8C-B1DB-D64B99048B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9" authorId="0" shapeId="0" xr:uid="{BBBDA266-67E4-4636-BCA8-326DAC6367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9" authorId="0" shapeId="0" xr:uid="{6F203EE8-0844-4828-8071-FEE5DA5F3E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9" authorId="0" shapeId="0" xr:uid="{019383CE-E6B3-485D-8A24-76C8BA4B88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9" authorId="0" shapeId="0" xr:uid="{2117E124-238A-4772-9EF3-BF4F626EC4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9" authorId="0" shapeId="0" xr:uid="{07F2A980-4809-4B76-B1E4-5685776737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4CEA256F-45BA-4BC3-8EA2-B355CA6C1A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" authorId="0" shapeId="0" xr:uid="{D185F112-ECBC-439F-9265-522A8445D0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" authorId="0" shapeId="0" xr:uid="{041D7943-FF82-425C-B30E-B1A66B1003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" authorId="0" shapeId="0" xr:uid="{E7BFF63E-B735-45A2-B12F-3321CDCA76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" authorId="0" shapeId="0" xr:uid="{78E113D1-1D3F-4B9D-B560-803E084BB1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" authorId="0" shapeId="0" xr:uid="{84206AF3-3F7E-42C3-939B-53DCC13655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0" authorId="0" shapeId="0" xr:uid="{56457847-7379-470C-8B25-7CFEDD18ED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0" authorId="0" shapeId="0" xr:uid="{45B72264-92BF-4102-BFBB-BFDF3F9448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0" authorId="0" shapeId="0" xr:uid="{3FFCE365-8A91-451C-954A-A70D71E1AA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0" authorId="0" shapeId="0" xr:uid="{37BCAAEB-81F1-40CE-B160-8C00DEA28A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0" authorId="0" shapeId="0" xr:uid="{086A4F22-FEC6-4C3A-88E1-185238EB2F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0" authorId="0" shapeId="0" xr:uid="{CD9D121A-7939-45B1-8681-A378030A33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0" authorId="0" shapeId="0" xr:uid="{A20E3682-4686-4BAB-8B66-6C6BF6D14C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0" authorId="0" shapeId="0" xr:uid="{541D2EA4-CFAC-4806-B5EA-1CC58DEC51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0" authorId="0" shapeId="0" xr:uid="{52E8186A-3E57-4278-86A1-78E28323DE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0" authorId="0" shapeId="0" xr:uid="{AC0C6FE6-7364-4933-88BC-FE57174D7C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0" authorId="0" shapeId="0" xr:uid="{95520E53-AE8C-4DFA-AE44-9FE8B94408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0" authorId="0" shapeId="0" xr:uid="{2F29B36A-03C1-4CFA-BCBD-26B71249EC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0" authorId="0" shapeId="0" xr:uid="{B5D6A2D6-77FB-4500-9A8C-BB0034529C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0" authorId="0" shapeId="0" xr:uid="{2BABB52E-04C7-405C-B1C6-4170104903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0" authorId="0" shapeId="0" xr:uid="{FD3BF6CB-AFB5-489A-8A4D-9C3E92FD86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0" authorId="0" shapeId="0" xr:uid="{E1DCC96F-E909-4BEC-8ABD-493E626D90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0" authorId="0" shapeId="0" xr:uid="{C3FAC746-9173-4854-B658-B770780F99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0" authorId="0" shapeId="0" xr:uid="{7BC0E830-43AA-40FB-A332-DDD1C0B818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0" authorId="0" shapeId="0" xr:uid="{AC787653-6A89-48A5-88FB-A4076D31E8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0" authorId="0" shapeId="0" xr:uid="{1222B7DF-4A29-4C72-A36B-3260E4DA3A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6554E5E3-D025-4FBC-9A30-08D60A9CBA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1" authorId="0" shapeId="0" xr:uid="{C4932DAB-D100-44B9-B092-5E621D6784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1" authorId="0" shapeId="0" xr:uid="{B393DAD7-59A7-455A-ADA5-A3FD431294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1" authorId="0" shapeId="0" xr:uid="{859B5C90-AB2D-470C-BCDE-17F5A11E13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1" authorId="0" shapeId="0" xr:uid="{89A58CA9-9015-4AFE-9D27-5E82DA1587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1" authorId="0" shapeId="0" xr:uid="{6C6BB143-328E-4230-BE6A-CC8F3A9F61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1" authorId="0" shapeId="0" xr:uid="{14718C5D-F237-443F-9408-A7A1F245C6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1" authorId="0" shapeId="0" xr:uid="{2008B1AF-CE03-4556-AF6C-25D790ECB6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1" authorId="0" shapeId="0" xr:uid="{9E17D337-35EA-4DA0-98C4-431E4BC8BD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1" authorId="0" shapeId="0" xr:uid="{CB51B79D-632F-40E4-886E-B6DCFF6134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1" authorId="0" shapeId="0" xr:uid="{5E774D2C-1424-488E-A71B-D9F961D442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1" authorId="0" shapeId="0" xr:uid="{C2389CE4-CF68-4C06-AF61-1E326A7089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1" authorId="0" shapeId="0" xr:uid="{01DF545D-1EBA-4814-BBBC-A11353B5C5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1" authorId="0" shapeId="0" xr:uid="{991BB01E-7456-4367-BA41-A46995D013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1" authorId="0" shapeId="0" xr:uid="{1A971F70-FFBD-42AC-9C46-23C9C4C761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1" authorId="0" shapeId="0" xr:uid="{3CD08DFD-E1F4-467A-943F-EBF7A5BE94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1" authorId="0" shapeId="0" xr:uid="{56F7E255-84B7-4678-8939-C69B4D0A6E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1" authorId="0" shapeId="0" xr:uid="{62872FD1-D25C-4917-8E7C-E3CF271A90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1" authorId="0" shapeId="0" xr:uid="{83A98A56-7C73-41D1-96E4-45B68E40B0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1" authorId="0" shapeId="0" xr:uid="{E0F9036C-C6F1-4190-8E71-AB8B2A0EC4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1" authorId="0" shapeId="0" xr:uid="{82573053-9692-40E5-8CCA-2DAA140F15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1" authorId="0" shapeId="0" xr:uid="{E91A4D33-A335-4380-AC49-993F35A835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1" authorId="0" shapeId="0" xr:uid="{19F0D618-C18A-42C2-8083-509FC180FB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1" authorId="0" shapeId="0" xr:uid="{657622A8-DC83-4419-98A4-0E2DF12771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1" authorId="0" shapeId="0" xr:uid="{3429FF95-5FA5-451B-A1B1-CB2348D0FF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1" authorId="0" shapeId="0" xr:uid="{468EF8D0-1F4E-4EEB-81D9-F229BB10D8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" authorId="0" shapeId="0" xr:uid="{098E0D9B-B426-49A0-B0B2-BBE2DC4100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2" authorId="0" shapeId="0" xr:uid="{0436A57E-0553-4CD4-B2A5-C623390D2A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2" authorId="0" shapeId="0" xr:uid="{F24116CE-BDB8-40C5-B44B-E5ECC32A53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2" authorId="0" shapeId="0" xr:uid="{F05C3298-CD0E-4DE9-A687-F377297923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2" authorId="0" shapeId="0" xr:uid="{2A8D136A-882D-4056-BE7F-401C75C184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2" authorId="0" shapeId="0" xr:uid="{3F6F16DB-98CD-4793-A378-7D0CFACEA4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2" authorId="0" shapeId="0" xr:uid="{BEF0F2A5-BE5E-42DE-B306-45A353BC5E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2" authorId="0" shapeId="0" xr:uid="{D01076CB-B92C-468D-91E8-933CE8E296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2" authorId="0" shapeId="0" xr:uid="{27712ECA-464D-4924-83D1-E55E9E8A26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2" authorId="0" shapeId="0" xr:uid="{92E5ED27-1757-4963-B962-1BB608CC4E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2" authorId="0" shapeId="0" xr:uid="{722FABA6-6A15-4FA2-893C-26F97BB8D3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2" authorId="0" shapeId="0" xr:uid="{BB6D3BAF-A01A-49DF-96A6-094A381925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2" authorId="0" shapeId="0" xr:uid="{940D2B29-DB41-4584-9A15-424714FDEE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2" authorId="0" shapeId="0" xr:uid="{D2C9BCEC-69FA-45FC-972F-B5E744FD59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2" authorId="0" shapeId="0" xr:uid="{14F89F89-F9C5-4BFA-A313-F8A2E29886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2" authorId="0" shapeId="0" xr:uid="{06679871-1C23-4763-82E0-5DBA78766A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2" authorId="0" shapeId="0" xr:uid="{BF624F7A-3F6F-4DBF-B09E-6EDB4E2FB3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2" authorId="0" shapeId="0" xr:uid="{C02F19AD-E9C1-460D-ADDB-6C3FAB1D46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2" authorId="0" shapeId="0" xr:uid="{029E3328-3FB7-46B6-9BBA-0FB89BD805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2" authorId="0" shapeId="0" xr:uid="{1AA43821-8F47-4492-9FB9-A1C4300AAB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2" authorId="0" shapeId="0" xr:uid="{550D845C-590F-4FF0-A43F-0C5DD9A33D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2" authorId="0" shapeId="0" xr:uid="{B07215FF-0033-4F56-ACEE-5EAE79E4AC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2" authorId="0" shapeId="0" xr:uid="{C6625F5F-FCE5-4F18-968D-CEC6668308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2" authorId="0" shapeId="0" xr:uid="{B6AF2793-8972-48AC-B63E-34F9976F7E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2" authorId="0" shapeId="0" xr:uid="{827932E3-CF04-4043-8B39-797ABAD8F7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2" authorId="0" shapeId="0" xr:uid="{44961A30-AA1C-493C-9AF0-25B4D7BF14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3" authorId="0" shapeId="0" xr:uid="{D35922D0-BBB6-4104-8908-9B0D861F7F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3" authorId="0" shapeId="0" xr:uid="{62778034-D5D5-4504-A440-0C354A9022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3" authorId="0" shapeId="0" xr:uid="{60B984D5-E649-498B-B8BE-D1DFEC75DC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3" authorId="0" shapeId="0" xr:uid="{23B1C89E-D2B0-4E78-BB53-DDCC38C2FA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3" authorId="0" shapeId="0" xr:uid="{4E545629-4142-4591-8F02-13A6DFEFA5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3" authorId="0" shapeId="0" xr:uid="{23C19A71-5A8B-4E61-9D18-8213FC849D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3" authorId="0" shapeId="0" xr:uid="{516A76F4-B154-47A9-A695-72E6952C7C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3" authorId="0" shapeId="0" xr:uid="{9D37D6E8-8E56-472F-A734-9B2B13FE4C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3" authorId="0" shapeId="0" xr:uid="{DF457E0C-9629-43B6-9C58-D7ABAE664F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3" authorId="0" shapeId="0" xr:uid="{9BDAD1C9-EC72-441E-82DD-E8E059ABF2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3" authorId="0" shapeId="0" xr:uid="{A2741E15-586B-4AC0-9910-5470EF778E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3" authorId="0" shapeId="0" xr:uid="{865ED929-72B6-40E1-ABC5-9CF33469DB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3" authorId="0" shapeId="0" xr:uid="{E112A3AB-E56D-4461-AB61-017D8719AE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3" authorId="0" shapeId="0" xr:uid="{3CEB221C-A407-45C0-A631-1ED91C05EC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3" authorId="0" shapeId="0" xr:uid="{5F951AE8-64C0-4516-90DB-02174474CF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3" authorId="0" shapeId="0" xr:uid="{ECD6EAF9-1090-45A2-97E2-2284BF6C52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3" authorId="0" shapeId="0" xr:uid="{5BCDEC36-8ADA-4218-A0F2-DC95D8E7CF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3" authorId="0" shapeId="0" xr:uid="{FFDD47F1-F133-4CE0-9659-6B8DAA3CF8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3" authorId="0" shapeId="0" xr:uid="{88E4ACED-4F93-41E9-B211-14E5C4B0DB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3" authorId="0" shapeId="0" xr:uid="{EC5368B2-13E1-4A1F-897C-23C5DD2730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3" authorId="0" shapeId="0" xr:uid="{EDDE4A67-1D5A-4AA5-A4C7-AD592F5168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3" authorId="0" shapeId="0" xr:uid="{4267A0AC-482E-4547-97F0-D8D129F0B9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3" authorId="0" shapeId="0" xr:uid="{00B7380E-81EE-4AC3-8E08-0CE4511C3A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3" authorId="0" shapeId="0" xr:uid="{3BB685F7-43E6-4FB4-AA92-7C4D2F35AF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3" authorId="0" shapeId="0" xr:uid="{7E9C48BC-877C-4162-97A0-5FE5D66934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3" authorId="0" shapeId="0" xr:uid="{E8B5DBC2-FFF7-44A2-803C-C4F6E2ECB0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" authorId="0" shapeId="0" xr:uid="{F94A6254-256F-4F9C-A452-09FD63F49D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4" authorId="0" shapeId="0" xr:uid="{DCB83964-A48D-4909-8FD7-CC94E00FBE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4" authorId="0" shapeId="0" xr:uid="{92BFD78B-D33D-42E1-BE3D-E69665F700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4" authorId="0" shapeId="0" xr:uid="{F1A93824-9775-481F-B9FF-D83FE87349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4" authorId="0" shapeId="0" xr:uid="{3DE05329-8E90-4BCD-A43A-10D56E18DB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4" authorId="0" shapeId="0" xr:uid="{FD79F4A3-019F-4D7D-B729-21376396F3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4" authorId="0" shapeId="0" xr:uid="{FE8D8B1B-0B7A-4981-B3D0-94E5093570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4" authorId="0" shapeId="0" xr:uid="{601F987F-A5E5-4F49-A80F-964B5C3F47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4" authorId="0" shapeId="0" xr:uid="{40E33CC2-D5F0-41D0-B4AD-613B440701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4" authorId="0" shapeId="0" xr:uid="{8475FEEB-D632-4B3C-A2DB-DAA2F00887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4" authorId="0" shapeId="0" xr:uid="{375B908F-4AD6-4AE6-917B-19B3D074EA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4" authorId="0" shapeId="0" xr:uid="{0A0802A3-6219-41D8-A53E-9D34013955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4" authorId="0" shapeId="0" xr:uid="{F0D8FF99-215B-4CC9-A96A-54FC4AC263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4" authorId="0" shapeId="0" xr:uid="{1D1F790D-5975-44BC-AC5B-DCC970D43C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4" authorId="0" shapeId="0" xr:uid="{AC251D2F-2C2C-44B5-B86E-43155D4EF6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4" authorId="0" shapeId="0" xr:uid="{AEF1CFA4-0B5F-49BD-824F-99B6AB32C8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4" authorId="0" shapeId="0" xr:uid="{D9610CF0-22A2-4B5B-81C3-5A6911EF51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4" authorId="0" shapeId="0" xr:uid="{6FAE5096-F021-44BD-9A3B-2284ED0AC5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4" authorId="0" shapeId="0" xr:uid="{D409963B-8ADC-4E77-A5FC-2E1170122B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4" authorId="0" shapeId="0" xr:uid="{AA8D6664-6570-4BD1-B0BE-B2F2BD7E92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4" authorId="0" shapeId="0" xr:uid="{8417EB83-C8BD-413B-8CBA-43660CDB2E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4" authorId="0" shapeId="0" xr:uid="{7C1CD00B-A2CE-4501-BCDC-861E73BEC9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4" authorId="0" shapeId="0" xr:uid="{C9886522-F103-4DDF-A8C5-604EB9E7E6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4" authorId="0" shapeId="0" xr:uid="{0B1EB4F2-95E8-452D-B84A-DFBFC3BA87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4" authorId="0" shapeId="0" xr:uid="{D7B75819-51A8-42AC-8C13-83C79AD944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4" authorId="0" shapeId="0" xr:uid="{AB8B7D14-AC08-4679-8A07-B77E479003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" authorId="0" shapeId="0" xr:uid="{3C83E9E4-DEF3-4AEB-B0BF-D95FC4B730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5" authorId="0" shapeId="0" xr:uid="{C236D62B-DE33-4D88-B16E-55E93EEB54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5" authorId="0" shapeId="0" xr:uid="{4FDA0D10-1230-441E-A122-623DB7C130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5" authorId="0" shapeId="0" xr:uid="{15555703-33F1-49C6-A71B-4779A9EC01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5" authorId="0" shapeId="0" xr:uid="{B75FF091-85F4-48A4-969A-6671977BA9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5" authorId="0" shapeId="0" xr:uid="{A6406E86-EDB0-44BF-A929-D500FF7444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5" authorId="0" shapeId="0" xr:uid="{240F4CB7-AD5F-4762-9DC0-1D08503152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5" authorId="0" shapeId="0" xr:uid="{529EA2E5-E980-4299-B02F-BA6F681E5C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5" authorId="0" shapeId="0" xr:uid="{D52BAF89-77CF-4292-B32C-388BBC4BE4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5" authorId="0" shapeId="0" xr:uid="{EA9079D6-367D-4BCB-A87B-2FDFE41721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5" authorId="0" shapeId="0" xr:uid="{8E06DF33-88B4-49E7-ABCA-CD978B2921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5" authorId="0" shapeId="0" xr:uid="{E03116B1-535C-478B-A0A2-B3A424E7B0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5" authorId="0" shapeId="0" xr:uid="{7816337B-60CD-4195-A92E-4891692E8F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5" authorId="0" shapeId="0" xr:uid="{5EB4D68A-58AA-4350-86E3-4D1E7C5109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5" authorId="0" shapeId="0" xr:uid="{BC578DB2-156B-4241-8F76-6D366CC5CD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5" authorId="0" shapeId="0" xr:uid="{F93D6270-2C92-4BA2-8588-4F83BA8ACE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5" authorId="0" shapeId="0" xr:uid="{E7510D9E-1295-4546-9665-078261ABBF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5" authorId="0" shapeId="0" xr:uid="{67376D12-AA35-4E13-8273-B0D1FBBB57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5" authorId="0" shapeId="0" xr:uid="{DAC0BF53-A3B5-444E-A0B7-E52308228C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5" authorId="0" shapeId="0" xr:uid="{2743F9DA-BCC3-40DE-8107-E623ED6154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5" authorId="0" shapeId="0" xr:uid="{509B2ABD-B434-45A5-B7C4-AC55B489A0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5" authorId="0" shapeId="0" xr:uid="{2AE72AE2-8263-4C62-91BC-C8CEA52D35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5" authorId="0" shapeId="0" xr:uid="{EE37761C-9A74-4E47-BC2C-159C575231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5" authorId="0" shapeId="0" xr:uid="{D314C4BF-863A-445D-9B45-2170540DDE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5" authorId="0" shapeId="0" xr:uid="{30654412-7358-40E6-B392-517A12F65E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5" authorId="0" shapeId="0" xr:uid="{A95AFF4D-BDFD-4930-80D8-ACF06D20DF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6" authorId="0" shapeId="0" xr:uid="{AEA96A76-BF8E-4C84-91F1-18F0CDC3BB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6" authorId="0" shapeId="0" xr:uid="{4BB43CE5-1F74-43D9-BF5E-BAE2ED33D3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6" authorId="0" shapeId="0" xr:uid="{68118753-0311-4BB4-BE0C-369265E0A7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6" authorId="0" shapeId="0" xr:uid="{C58CCE3A-64D0-4CDF-ADA7-5020A94BB9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6" authorId="0" shapeId="0" xr:uid="{35C49FD5-11C0-41CC-A743-213E9E397F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6" authorId="0" shapeId="0" xr:uid="{4D6EAB87-BA4C-42DD-9429-1081E81E8E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6" authorId="0" shapeId="0" xr:uid="{90008443-44A2-480E-9B9A-8ED7C6BAEB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6" authorId="0" shapeId="0" xr:uid="{05512036-5F47-43EF-8320-5406AA9473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6" authorId="0" shapeId="0" xr:uid="{7E7DF52D-7C17-40BA-AC6D-3B7AF87DD4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6" authorId="0" shapeId="0" xr:uid="{AE1E7863-08E8-4898-8780-787AB3D8E1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6" authorId="0" shapeId="0" xr:uid="{EFDE36AC-AF56-4107-ABC1-47D9F37937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6" authorId="0" shapeId="0" xr:uid="{FCA05BDF-1E15-420D-BF6B-678FCB705B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6" authorId="0" shapeId="0" xr:uid="{6A908E4E-85E8-455D-A1A9-42C003BC7C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6" authorId="0" shapeId="0" xr:uid="{ECCE0160-B6BF-4181-8F71-2EA9E1E8B7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6" authorId="0" shapeId="0" xr:uid="{26DEEFDE-35A0-4FE9-B984-4A88645706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6" authorId="0" shapeId="0" xr:uid="{EB8638FF-E958-4BE1-8762-B30030A9C4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6" authorId="0" shapeId="0" xr:uid="{5EDFA994-5BFB-468D-856A-220B9DA599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6" authorId="0" shapeId="0" xr:uid="{5D0547CE-ADD0-48D6-8803-7313251281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6" authorId="0" shapeId="0" xr:uid="{3E531C0B-D14C-4E5C-A359-B5F8617E40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6" authorId="0" shapeId="0" xr:uid="{F536BBA3-87B9-46BA-B9E2-D1105F5E92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6" authorId="0" shapeId="0" xr:uid="{B320B265-198C-420A-8A1A-145623D8B8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6" authorId="0" shapeId="0" xr:uid="{4FE443A4-CCD0-448C-B835-EFE6562E25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6" authorId="0" shapeId="0" xr:uid="{0A5933D9-ED55-473C-9681-ECD673017E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6" authorId="0" shapeId="0" xr:uid="{68C1E722-189D-45A0-9AF1-4DC10BB498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6" authorId="0" shapeId="0" xr:uid="{2AF3176C-437E-43AE-93B7-0062AD018C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6" authorId="0" shapeId="0" xr:uid="{C6EE93E1-D70E-4992-BDB6-EF58E9DB4A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7" authorId="0" shapeId="0" xr:uid="{15080093-8404-4A43-9E15-0B31A6995C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7" authorId="0" shapeId="0" xr:uid="{A04BC9BE-51A6-4E62-A4FF-C8FA3B882C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7" authorId="0" shapeId="0" xr:uid="{8244AE61-6820-42CB-9CF2-09BE16FC09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7" authorId="0" shapeId="0" xr:uid="{68A03033-A365-4E09-ABF3-FB89A1D805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7" authorId="0" shapeId="0" xr:uid="{9D2585DD-B4A3-4354-9A50-CB06C2EE9E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7" authorId="0" shapeId="0" xr:uid="{3BEBA5D5-1B96-4D19-B2C8-11506300D2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7" authorId="0" shapeId="0" xr:uid="{86F6F5A4-E741-4EE5-B64A-1E9D3E10EC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7" authorId="0" shapeId="0" xr:uid="{4A805B3C-C333-4106-8973-D96F950EC1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7" authorId="0" shapeId="0" xr:uid="{C6931041-EC3F-4B67-B420-411F4B9629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7" authorId="0" shapeId="0" xr:uid="{481D1498-0FD1-4EBF-A782-3ABCAE4247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7" authorId="0" shapeId="0" xr:uid="{5942A27C-F855-46B7-8711-0EED7F97A5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7" authorId="0" shapeId="0" xr:uid="{4E9B7ECA-FD38-4AB4-BCC8-C2D15CC540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7" authorId="0" shapeId="0" xr:uid="{BCF34E52-9D30-4FFE-9DFF-47CC5F5789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7" authorId="0" shapeId="0" xr:uid="{25AFC82A-C451-4123-886C-33D84C48D6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7" authorId="0" shapeId="0" xr:uid="{69A8D029-C853-4302-88D8-63FED9263C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7" authorId="0" shapeId="0" xr:uid="{5ADAFED9-EE37-48E5-8F4C-0F5261B1D4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7" authorId="0" shapeId="0" xr:uid="{F2773835-5E09-45A2-93C0-DED62D4B34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7" authorId="0" shapeId="0" xr:uid="{70C4D4F4-8201-4C5F-8A49-5297AA6193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7" authorId="0" shapeId="0" xr:uid="{7A977EDE-796B-4050-AF6C-5228959729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7" authorId="0" shapeId="0" xr:uid="{609E1BFC-4AC4-4DC9-BE4A-BB814B5B56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7" authorId="0" shapeId="0" xr:uid="{0E5D50BC-7ED3-4AE3-9BF0-424B4B0424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7" authorId="0" shapeId="0" xr:uid="{696C1507-A78E-45A7-8191-86BA80CF07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7" authorId="0" shapeId="0" xr:uid="{1BEF8AB1-C756-41B1-B403-379E0472E7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7" authorId="0" shapeId="0" xr:uid="{4B91274D-B44D-44F6-9E64-44646F7A35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7" authorId="0" shapeId="0" xr:uid="{9527E518-D410-45FB-B783-46D4607F50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7" authorId="0" shapeId="0" xr:uid="{CD336215-8B31-4BDD-8BC7-63F7CBA1ED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8" authorId="0" shapeId="0" xr:uid="{D0CEB8A8-FF4D-4706-ACCB-7492EFD41A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8" authorId="0" shapeId="0" xr:uid="{1881260A-4867-4553-96E2-FC6A782A03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8" authorId="0" shapeId="0" xr:uid="{0C7BA4A9-1AFD-4FD4-9416-B34EF66BE0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8" authorId="0" shapeId="0" xr:uid="{22F7F319-3FB4-4832-B002-A01AF2084D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8" authorId="0" shapeId="0" xr:uid="{DF1852ED-4DE7-4F21-BEB5-C3506A91F4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8" authorId="0" shapeId="0" xr:uid="{F197EB52-EEC6-473F-B007-1B5BBB687F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8" authorId="0" shapeId="0" xr:uid="{31298F00-8E7A-425C-B597-323BB4CB92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8" authorId="0" shapeId="0" xr:uid="{C12FC24E-4CDA-4FEB-9E39-6D3063CAC1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8" authorId="0" shapeId="0" xr:uid="{CD40F80E-F578-474F-9E97-8109609261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8" authorId="0" shapeId="0" xr:uid="{F3A17AFE-37F3-445D-93D5-165C8CD812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8" authorId="0" shapeId="0" xr:uid="{9C499C09-D29D-4457-BBEB-575E096DB1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8" authorId="0" shapeId="0" xr:uid="{13200104-69B8-45D6-A912-1427819661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8" authorId="0" shapeId="0" xr:uid="{FF37BE30-79A2-49FA-912A-FFC43C3053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8" authorId="0" shapeId="0" xr:uid="{7A2A81A9-DF4C-4A52-A510-A941F623DD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8" authorId="0" shapeId="0" xr:uid="{C805BA01-E59C-471B-9FAC-92CB014148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8" authorId="0" shapeId="0" xr:uid="{BCE24D31-5B57-42DA-99E1-8F08E3D2B3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8" authorId="0" shapeId="0" xr:uid="{3CB67647-B4A6-44AB-9FDF-B805093AB7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8" authorId="0" shapeId="0" xr:uid="{5B99E952-17CD-4E05-8FDD-70F1A8345A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8" authorId="0" shapeId="0" xr:uid="{867FB788-3340-4ADD-BAD7-01A3DFB4A1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8" authorId="0" shapeId="0" xr:uid="{1FF8C14C-B1FF-4761-A601-99A043374C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8" authorId="0" shapeId="0" xr:uid="{8914AE1B-6A89-414C-B37D-E7D1B4BB0B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8" authorId="0" shapeId="0" xr:uid="{574CFB2B-7F65-4CE5-BC59-E8D9F3A84A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8" authorId="0" shapeId="0" xr:uid="{1412880A-4287-4F9B-9C1A-0EA0EBFB9F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8" authorId="0" shapeId="0" xr:uid="{CB492848-1E58-486C-AFA8-14B2E9BE15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8" authorId="0" shapeId="0" xr:uid="{2406F998-69C8-4162-97B0-4AB7C0755D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8" authorId="0" shapeId="0" xr:uid="{D0041AE2-3CF8-4CC5-B990-C53106608A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9" authorId="0" shapeId="0" xr:uid="{E99A7672-57A4-4431-927D-FB1CB83DF6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9" authorId="0" shapeId="0" xr:uid="{886FBA5D-0D36-4809-A390-6C7DD0ABA9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9" authorId="0" shapeId="0" xr:uid="{B968BE5C-BFEC-4703-A634-63801590E9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9" authorId="0" shapeId="0" xr:uid="{3DA4373A-65B0-44AC-BD30-ECAEB3717C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9" authorId="0" shapeId="0" xr:uid="{73199F35-BFC0-4F02-9ADF-C13964C8EF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9" authorId="0" shapeId="0" xr:uid="{DCE49024-25FA-49EE-A54E-CFF1628155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9" authorId="0" shapeId="0" xr:uid="{4CBE3116-F117-484D-B75A-6890FE5293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9" authorId="0" shapeId="0" xr:uid="{442FE496-4B58-42B3-87AF-96175CC5D9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9" authorId="0" shapeId="0" xr:uid="{A187631A-149F-45F5-9E69-B82CDC1302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9" authorId="0" shapeId="0" xr:uid="{7008C2FA-2981-4EE4-BB80-E231347711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9" authorId="0" shapeId="0" xr:uid="{A3A1D50E-DEDA-4DCA-80FC-A1C60169BB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9" authorId="0" shapeId="0" xr:uid="{A7DFA866-A8D3-462B-B27C-027FF8EC21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9" authorId="0" shapeId="0" xr:uid="{F418ED43-AB77-419E-A8EF-425B9AB81D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9" authorId="0" shapeId="0" xr:uid="{BA11D08B-3C6F-4D04-988B-1EAEECD5F2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9" authorId="0" shapeId="0" xr:uid="{AFF30926-4C9F-4B24-A6CB-01C689B39D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9" authorId="0" shapeId="0" xr:uid="{C732E721-5B1F-4AC1-862B-E46078CA0E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19" authorId="0" shapeId="0" xr:uid="{CD9A7548-5A5F-4A12-93D3-08D4854826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19" authorId="0" shapeId="0" xr:uid="{9140982E-B0ED-48C4-AEE1-8DBBB6891F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19" authorId="0" shapeId="0" xr:uid="{CA7682AD-622B-40E2-96A2-D0BFDADEF1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19" authorId="0" shapeId="0" xr:uid="{B022F0D7-C92D-4488-91FB-DC9AFACC96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19" authorId="0" shapeId="0" xr:uid="{2FC744BF-BE76-4A0D-B02E-DC827B8F4E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19" authorId="0" shapeId="0" xr:uid="{A65E0F7D-3AF4-4784-BA2B-4B7AD418B8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19" authorId="0" shapeId="0" xr:uid="{AC78E154-63CC-481B-A3F2-DE7471577A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19" authorId="0" shapeId="0" xr:uid="{371EA448-31A4-4A37-860C-429F5F8E35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19" authorId="0" shapeId="0" xr:uid="{E4D00D1A-6DE4-43B7-8583-29C76C806A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19" authorId="0" shapeId="0" xr:uid="{01C8E7A5-DF30-4D8B-8500-BC76387A3F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0" authorId="0" shapeId="0" xr:uid="{865145CD-9C62-45D1-B183-719A90799A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0" authorId="0" shapeId="0" xr:uid="{C364A949-D275-4179-8DA9-14889F434E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0" authorId="0" shapeId="0" xr:uid="{F2C07198-3ED0-465C-A88F-600DB06F14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0" authorId="0" shapeId="0" xr:uid="{9E3084D1-1EF3-49DB-BC4A-EAFB23D626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0" authorId="0" shapeId="0" xr:uid="{1B7E72A5-1BE7-4AF1-BB42-DC9870CD65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0" authorId="0" shapeId="0" xr:uid="{23215E11-8295-4566-8074-CB18B021C1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0" authorId="0" shapeId="0" xr:uid="{3912CA07-5EA9-47CD-B02E-A604EC0942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0" authorId="0" shapeId="0" xr:uid="{81D84197-473D-4106-A0B5-16ACC3D691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0" authorId="0" shapeId="0" xr:uid="{D6010200-E0A9-4D40-8839-DAC08C6766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0" authorId="0" shapeId="0" xr:uid="{2EB2F58A-5941-4F7C-9E90-3FB4FA6D01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0" authorId="0" shapeId="0" xr:uid="{78ECECBA-9550-4031-AB43-F537B3E982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0" authorId="0" shapeId="0" xr:uid="{BD19E2B4-0911-4C72-861E-B97FD75B85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0" authorId="0" shapeId="0" xr:uid="{16D0494F-B847-4FC1-9F17-7F36507F91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0" authorId="0" shapeId="0" xr:uid="{A389A6F1-95B5-4298-9853-B5B25BF2BB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0" authorId="0" shapeId="0" xr:uid="{90435D13-8496-4308-AF61-499F52008E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0" authorId="0" shapeId="0" xr:uid="{3910696F-E97F-4A37-8E8D-1054F357CD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R20" authorId="0" shapeId="0" xr:uid="{AA060834-A619-47C6-9C1A-6393656403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S20" authorId="0" shapeId="0" xr:uid="{637DFD69-6415-454E-9A50-C6F53D7A87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T20" authorId="0" shapeId="0" xr:uid="{147394CF-4DCC-41E0-8C86-86FCB1BF49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U20" authorId="0" shapeId="0" xr:uid="{A5657317-4BEB-4DD4-A793-B85FA9431B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V20" authorId="0" shapeId="0" xr:uid="{712E5E72-CD1F-4CA5-80CC-894E9B42CF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W20" authorId="0" shapeId="0" xr:uid="{088928AF-A99C-458A-A5AC-59F25DEECA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X20" authorId="0" shapeId="0" xr:uid="{035A962D-F936-49FD-92D5-FC0E0E197B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Y20" authorId="0" shapeId="0" xr:uid="{41F395FB-16B2-4FD0-B96C-28AC883DC4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Z20" authorId="0" shapeId="0" xr:uid="{1FF63405-316C-4E02-9EA7-C11DE5B471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AA20" authorId="0" shapeId="0" xr:uid="{A10DAFAE-1446-437E-975F-7D35C6CD81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alienware</author>
  </authors>
  <commentList>
    <comment ref="B5" authorId="0" shapeId="0" xr:uid="{AE803810-E8E1-40F0-8486-CDC1FD83CA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A114D7BF-512D-4E7A-A8D8-C81C37F2F9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 xr:uid="{515DBB71-A005-4C98-875B-D5C4762D93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F33274FB-43BC-4AFD-BF17-B421A64CDA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78D86DDC-5C4D-44D2-A0C0-BC800B98E3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25B1605F-0814-45ED-A0F6-AD7FCCB3E5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alienware</author>
  </authors>
  <commentList>
    <comment ref="B5" authorId="0" shapeId="0" xr:uid="{F03FB3A3-B091-489A-A457-A5E53BFC23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573492E6-AA50-4C3D-8184-92EEB41BFA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 xr:uid="{42D0C364-F353-42A2-9355-F404C63C8F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4F19641B-EB5F-4B1B-B00B-FE208DCF77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6E59CA87-88E4-4838-89D7-EE99F7E097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28DF18AB-6071-4DBE-881D-D88C0D168A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5FFFEAA6-95AB-4978-B4D6-C489660064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" authorId="0" shapeId="0" xr:uid="{5F33602C-C304-41C4-9F61-CF47418309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3" authorId="0" shapeId="0" xr:uid="{52E4FE35-FFB5-43C2-A5CC-B43EE147C6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" authorId="0" shapeId="0" xr:uid="{03F70560-B908-49EE-9904-B36FBCA38C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" authorId="0" shapeId="0" xr:uid="{5FCE2361-72B2-4D91-935F-D29587BEF1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</commentList>
</comments>
</file>

<file path=xl/sharedStrings.xml><?xml version="1.0" encoding="utf-8"?>
<sst xmlns="http://schemas.openxmlformats.org/spreadsheetml/2006/main" count="306" uniqueCount="184">
  <si>
    <t>Category Name</t>
  </si>
  <si>
    <t>Bottles Sold</t>
  </si>
  <si>
    <t>Bottle Volume (ml)</t>
  </si>
  <si>
    <t>State Bottle Cost</t>
  </si>
  <si>
    <t>State Bottle Retail</t>
  </si>
  <si>
    <t>DISTILLED SPIRITS SPECIALTY</t>
  </si>
  <si>
    <t>Cocktails /RTD</t>
  </si>
  <si>
    <t>AMERICAN COCKTAILS</t>
  </si>
  <si>
    <t>Cocktails / RTD</t>
  </si>
  <si>
    <t>Total</t>
  </si>
  <si>
    <t>American Distilled Spirits Specialty</t>
  </si>
  <si>
    <t>American Distilled Spirit Specialty</t>
  </si>
  <si>
    <t>Neutral Grain Spirits Flavored</t>
  </si>
  <si>
    <t>Imported Distilled Spirit Specialty</t>
  </si>
  <si>
    <t>Neutral Grain Spirits</t>
  </si>
  <si>
    <t>Imported Distilled Spirits Specialty</t>
  </si>
  <si>
    <t>AMERICAN DRY GINS</t>
  </si>
  <si>
    <t>Imported Vodkas</t>
  </si>
  <si>
    <t>Imported Vodka</t>
  </si>
  <si>
    <t>American Dry Gins</t>
  </si>
  <si>
    <t>100 PROOF VODKA</t>
  </si>
  <si>
    <t>American Gins</t>
  </si>
  <si>
    <t>American Flavored Vodka</t>
  </si>
  <si>
    <t>AMERICAN SLOE GINS</t>
  </si>
  <si>
    <t>LOW PROOF VODKA</t>
  </si>
  <si>
    <t>VODKA FLAVORED</t>
  </si>
  <si>
    <t>Imported Dry Gins</t>
  </si>
  <si>
    <t>American Vodkas</t>
  </si>
  <si>
    <t>IMPORTED DRY GINS</t>
  </si>
  <si>
    <t>American Vodka</t>
  </si>
  <si>
    <t>FLAVORED GINS</t>
  </si>
  <si>
    <t>Imported Flavored Vodka</t>
  </si>
  <si>
    <t>IMPORTED VODKA</t>
  </si>
  <si>
    <t>Flavored Gin</t>
  </si>
  <si>
    <t>OTHER PROOF VODKA</t>
  </si>
  <si>
    <t>American Sloe Gins</t>
  </si>
  <si>
    <t>VODKA 80 PROOF</t>
  </si>
  <si>
    <t>IMPORTED VODKA - CHERRY</t>
  </si>
  <si>
    <t>TOTAL</t>
  </si>
  <si>
    <t>IMPORTED VODKA - MISC</t>
  </si>
  <si>
    <t>PEACH BRANDIES</t>
  </si>
  <si>
    <t>APRICOT BRANDIES</t>
  </si>
  <si>
    <t>SCHNAPPS - IMPORTED</t>
  </si>
  <si>
    <t>IMPORTED GRAPE BRANDIES</t>
  </si>
  <si>
    <t>MISCELLANEOUS SCHNAPPS</t>
  </si>
  <si>
    <t>American Brandies</t>
  </si>
  <si>
    <t>PEACH SCHNAPPS</t>
  </si>
  <si>
    <t>AMERICAN GRAPE BRANDIES</t>
  </si>
  <si>
    <t>CREAM LIQUEURS</t>
  </si>
  <si>
    <t>Imported Brandies</t>
  </si>
  <si>
    <t>WATERMELON SCHNAPPS</t>
  </si>
  <si>
    <t>GRAPE SCHNAPPS</t>
  </si>
  <si>
    <t>MISCELLANEOUS  BRANDIES</t>
  </si>
  <si>
    <t>CINNAMON SCHNAPPS</t>
  </si>
  <si>
    <t>CHERRY BRANDIES</t>
  </si>
  <si>
    <t>SPEARMINT SCHNAPPS</t>
  </si>
  <si>
    <t>BLACKBERRY BRANDIES</t>
  </si>
  <si>
    <t>American Schnapps</t>
  </si>
  <si>
    <t>Imported Cordials &amp; Liqueur</t>
  </si>
  <si>
    <t>RASPBERRY SCHNAPPS</t>
  </si>
  <si>
    <t>COFFEE LIQUEURS</t>
  </si>
  <si>
    <t>WHISKEY LIQUEUR</t>
  </si>
  <si>
    <t>APPLE SCHNAPPS</t>
  </si>
  <si>
    <t>IMPORTED SCHNAPPS</t>
  </si>
  <si>
    <t>BUTTERSCOTCH SCHNAPPS</t>
  </si>
  <si>
    <t>Imported Cordials &amp; Liqueurs</t>
  </si>
  <si>
    <t>TEQUILA</t>
  </si>
  <si>
    <t>Coffee Liqueurs</t>
  </si>
  <si>
    <t>Mixto Tequila</t>
  </si>
  <si>
    <t>STRAWBERRY SCHNAPPS</t>
  </si>
  <si>
    <t>100% Agave Tequila</t>
  </si>
  <si>
    <t>MISC. AMERICAN CORDIALS &amp; LIQUEURS</t>
  </si>
  <si>
    <t>ROOT BEER SCHNAPPS</t>
  </si>
  <si>
    <t>Cream Liqueurs</t>
  </si>
  <si>
    <t>American Cordials &amp; Liqueur</t>
  </si>
  <si>
    <t>MISC. IMPORTED CORDIALS &amp; LIQUEURS</t>
  </si>
  <si>
    <t>TROPICAL FRUIT SCHNAPPS</t>
  </si>
  <si>
    <t>PEPPERMINT SCHNAPPS</t>
  </si>
  <si>
    <t>American Cordials &amp; Liqueurs</t>
  </si>
  <si>
    <t>Imported Schnapps</t>
  </si>
  <si>
    <t>AMERICAN AMARETTO</t>
  </si>
  <si>
    <t>Gold Rum</t>
  </si>
  <si>
    <t>PUERTO RICO &amp; VIRGIN ISLANDS RUM</t>
  </si>
  <si>
    <t>Spiced Rum</t>
  </si>
  <si>
    <t>FLAVORED RUM</t>
  </si>
  <si>
    <t>White Rum</t>
  </si>
  <si>
    <t>BARBADOS RUM</t>
  </si>
  <si>
    <t>JAMAICA RUM</t>
  </si>
  <si>
    <t>SPICED RUM</t>
  </si>
  <si>
    <t>Flavored Rum</t>
  </si>
  <si>
    <t>Aged Dark Rum</t>
  </si>
  <si>
    <t>Yuanyuan</t>
  </si>
  <si>
    <t>Iowa Distillery Whiskies</t>
  </si>
  <si>
    <t>Whiskey Liqueur</t>
  </si>
  <si>
    <t>BLENDED WHISKIES</t>
  </si>
  <si>
    <t>TENNESSEE WHISKIES</t>
  </si>
  <si>
    <t>Blended Whiskies</t>
  </si>
  <si>
    <t>Straight Bourbon Whiskies</t>
  </si>
  <si>
    <t>BOTTLED IN BOND BOURBON</t>
  </si>
  <si>
    <t>SINGLE BARREL BOURBON WHISKIES</t>
  </si>
  <si>
    <t>Canadian Whiskies</t>
  </si>
  <si>
    <t>SCOTCH WHISKIES</t>
  </si>
  <si>
    <t>Scotch Whiskies</t>
  </si>
  <si>
    <t>Corn Whiskies</t>
  </si>
  <si>
    <t>CORN WHISKIES</t>
  </si>
  <si>
    <t>STRAIGHT RYE WHISKIES</t>
  </si>
  <si>
    <t>Straight Rye Whiskies</t>
  </si>
  <si>
    <t>Single Malt Scotch</t>
  </si>
  <si>
    <t>Bottled in Bond Bourbon</t>
  </si>
  <si>
    <t>Irish Whiskies</t>
  </si>
  <si>
    <t>STRAIGHT BOURBON WHISKIES</t>
  </si>
  <si>
    <t>CANADIAN WHISKIES</t>
  </si>
  <si>
    <t>Single Barrel Bourbon Whiskies</t>
  </si>
  <si>
    <t>IRISH WHISKIES</t>
  </si>
  <si>
    <t>Tennessee Whiskies</t>
  </si>
  <si>
    <t>SINGLE MALT SCOTCH</t>
  </si>
  <si>
    <t>JAPANESE WHISKY</t>
  </si>
  <si>
    <t>ROCK &amp; RYE</t>
  </si>
  <si>
    <t>Total bottle sold</t>
  </si>
  <si>
    <t>Average bottle volume</t>
  </si>
  <si>
    <t>Average bottle cost</t>
  </si>
  <si>
    <t>Average bottle retail</t>
  </si>
  <si>
    <t>Cedar Rapids</t>
  </si>
  <si>
    <t>Davenport</t>
  </si>
  <si>
    <t>Des Moines</t>
  </si>
  <si>
    <t>Average bottle volume（ml）</t>
  </si>
  <si>
    <t>Scotch and Whiskey</t>
  </si>
  <si>
    <t>Tequila</t>
  </si>
  <si>
    <t>Rum</t>
  </si>
  <si>
    <t>Brandy</t>
  </si>
  <si>
    <t>Gin</t>
  </si>
  <si>
    <t>Vodka</t>
  </si>
  <si>
    <t>Cocktail</t>
  </si>
  <si>
    <t>Liqueur</t>
  </si>
  <si>
    <t>Spirit</t>
  </si>
  <si>
    <t>Number of Stores</t>
  </si>
  <si>
    <t>1oz = 29.5735296ml</t>
  </si>
  <si>
    <t>Cedar Rapids Variable</t>
  </si>
  <si>
    <t>Davenport Variable</t>
  </si>
  <si>
    <t>Des Moines Variable</t>
  </si>
  <si>
    <t>&lt;=</t>
  </si>
  <si>
    <t>2017 three Major City bottles sold</t>
    <phoneticPr fontId="7" type="noConversion"/>
  </si>
  <si>
    <t>Cedar Rapids Store Demand</t>
    <phoneticPr fontId="7" type="noConversion"/>
  </si>
  <si>
    <t>Categories</t>
    <phoneticPr fontId="7" type="noConversion"/>
  </si>
  <si>
    <t>Total</t>
    <phoneticPr fontId="7" type="noConversion"/>
  </si>
  <si>
    <t xml:space="preserve">City Total </t>
    <phoneticPr fontId="7" type="noConversion"/>
  </si>
  <si>
    <t>Warehouse Capacity（ml）</t>
    <phoneticPr fontId="7" type="noConversion"/>
  </si>
  <si>
    <t>Warehouse Capacity（ml)</t>
    <phoneticPr fontId="7" type="noConversion"/>
  </si>
  <si>
    <t>Davenport Store Demand</t>
    <phoneticPr fontId="7" type="noConversion"/>
  </si>
  <si>
    <t>Des Moines Store Demand</t>
    <phoneticPr fontId="7" type="noConversion"/>
  </si>
  <si>
    <t>Total Variable</t>
    <phoneticPr fontId="7" type="noConversion"/>
  </si>
  <si>
    <t>Total Cost</t>
    <phoneticPr fontId="7" type="noConversion"/>
  </si>
  <si>
    <t>&lt;=</t>
    <phoneticPr fontId="7" type="noConversion"/>
  </si>
  <si>
    <t>Budget</t>
    <phoneticPr fontId="7" type="noConversion"/>
  </si>
  <si>
    <t>Total Revenue</t>
    <phoneticPr fontId="7" type="noConversion"/>
  </si>
  <si>
    <t>Demand Constraints</t>
    <phoneticPr fontId="7" type="noConversion"/>
  </si>
  <si>
    <t>Capacity Constraints</t>
    <phoneticPr fontId="7" type="noConversion"/>
  </si>
  <si>
    <t>Cedar Rapids Store Volume</t>
    <phoneticPr fontId="7" type="noConversion"/>
  </si>
  <si>
    <t>Davenport Store Volume</t>
    <phoneticPr fontId="7" type="noConversion"/>
  </si>
  <si>
    <t>Des Moines Store Volume</t>
    <phoneticPr fontId="7" type="noConversion"/>
  </si>
  <si>
    <t>Budget Constraint</t>
    <phoneticPr fontId="7" type="noConversion"/>
  </si>
  <si>
    <t>Maximum Net Income</t>
    <phoneticPr fontId="7" type="noConversion"/>
  </si>
  <si>
    <t>City</t>
    <phoneticPr fontId="7" type="noConversion"/>
  </si>
  <si>
    <t>Objective Value</t>
    <phoneticPr fontId="7" type="noConversion"/>
  </si>
  <si>
    <t>$H$29</t>
  </si>
  <si>
    <t/>
  </si>
  <si>
    <t>$L$29</t>
  </si>
  <si>
    <t>$D$41</t>
  </si>
  <si>
    <t>W1</t>
  </si>
  <si>
    <t>W2</t>
  </si>
  <si>
    <t>Twoway analysis for Solver model in Catagory data worksheet</t>
  </si>
  <si>
    <t>W1 (cell $H$29) values along side, W2 (cell $L$29) values along top, output cell in corner</t>
  </si>
  <si>
    <t>Output and W1 value for chart</t>
  </si>
  <si>
    <t>Output</t>
  </si>
  <si>
    <t>W1 value</t>
  </si>
  <si>
    <t>Output and W2 value for chart</t>
  </si>
  <si>
    <t>W2 value</t>
  </si>
  <si>
    <t>Oneway analysis for Solver model in Catagory data worksheet</t>
  </si>
  <si>
    <t>Input (cell $F$34) values along side, output cell(s) along top</t>
  </si>
  <si>
    <t>Data for chart</t>
  </si>
  <si>
    <t>$F$34</t>
    <phoneticPr fontId="7" type="noConversion"/>
  </si>
  <si>
    <t>$D$41</t>
    <phoneticPr fontId="7" type="noConversion"/>
  </si>
  <si>
    <t>Input</t>
    <phoneticPr fontId="7" type="noConversion"/>
  </si>
  <si>
    <t>Average bottle cost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</si>
</sst>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24" formatCode="\$#,##0_);[Red]\(\$#,##0\)"/>
    <numFmt numFmtId="26" formatCode="\$#,##0.00_);[Red]\(\$#,##0.00\)"/>
    <numFmt numFmtId="176" formatCode="[$￥-804]#,##0.00"/>
    <numFmt numFmtId="177" formatCode="[$$]#,##0.00"/>
    <numFmt numFmtId="178" formatCode="[$$-380A]\ #,##0.00;\-[$$-380A]\ #,##0.00"/>
  </numFmts>
  <fonts count="16" x14ac:knownFonts="1">
    <font>
      <sz val="11"/>
      <color rgb="FF000000"/>
      <name val="等线"/>
    </font>
    <font>
      <b/>
      <sz val="11"/>
      <color rgb="FF000000"/>
      <name val="等线"/>
      <family val="3"/>
      <charset val="134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name val="等线"/>
      <family val="3"/>
      <charset val="134"/>
    </font>
    <font>
      <b/>
      <sz val="11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FFFF"/>
      <name val="等线"/>
      <family val="3"/>
      <charset val="134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AFBFE"/>
        <bgColor rgb="FFFAFBFE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theme="8" tint="0.59999389629810485"/>
        <bgColor rgb="FFC9DAF8"/>
      </patternFill>
    </fill>
    <fill>
      <patternFill patternType="solid">
        <fgColor theme="8" tint="0.59999389629810485"/>
        <bgColor rgb="FFA4C2F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Font="1" applyAlignment="1">
      <alignment vertical="center"/>
    </xf>
    <xf numFmtId="4" fontId="0" fillId="0" borderId="0" xfId="0" applyNumberFormat="1" applyFont="1" applyAlignment="1">
      <alignment vertical="center"/>
    </xf>
    <xf numFmtId="26" fontId="0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Alignment="1"/>
    <xf numFmtId="4" fontId="3" fillId="2" borderId="1" xfId="0" applyNumberFormat="1" applyFont="1" applyFill="1" applyBorder="1" applyAlignment="1">
      <alignment horizontal="center"/>
    </xf>
    <xf numFmtId="3" fontId="4" fillId="0" borderId="0" xfId="0" applyNumberFormat="1" applyFont="1"/>
    <xf numFmtId="4" fontId="4" fillId="0" borderId="0" xfId="0" applyNumberFormat="1" applyFont="1"/>
    <xf numFmtId="26" fontId="4" fillId="0" borderId="0" xfId="0" applyNumberFormat="1" applyFont="1"/>
    <xf numFmtId="0" fontId="5" fillId="0" borderId="0" xfId="0" applyFont="1" applyAlignment="1"/>
    <xf numFmtId="3" fontId="4" fillId="0" borderId="0" xfId="0" applyNumberFormat="1" applyFont="1" applyAlignment="1"/>
    <xf numFmtId="1" fontId="4" fillId="0" borderId="0" xfId="0" applyNumberFormat="1" applyFont="1"/>
    <xf numFmtId="176" fontId="4" fillId="0" borderId="0" xfId="0" applyNumberFormat="1" applyFont="1"/>
    <xf numFmtId="0" fontId="6" fillId="0" borderId="0" xfId="0" applyFont="1"/>
    <xf numFmtId="0" fontId="8" fillId="0" borderId="0" xfId="0" applyFont="1" applyAlignment="1"/>
    <xf numFmtId="176" fontId="10" fillId="0" borderId="0" xfId="0" applyNumberFormat="1" applyFont="1"/>
    <xf numFmtId="0" fontId="9" fillId="0" borderId="0" xfId="0" applyFont="1" applyAlignment="1"/>
    <xf numFmtId="176" fontId="9" fillId="0" borderId="0" xfId="0" applyNumberFormat="1" applyFont="1" applyFill="1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176" fontId="10" fillId="0" borderId="0" xfId="0" applyNumberFormat="1" applyFont="1" applyAlignment="1"/>
    <xf numFmtId="4" fontId="10" fillId="0" borderId="0" xfId="0" applyNumberFormat="1" applyFont="1" applyAlignment="1"/>
    <xf numFmtId="4" fontId="10" fillId="0" borderId="0" xfId="0" applyNumberFormat="1" applyFont="1"/>
    <xf numFmtId="176" fontId="10" fillId="0" borderId="0" xfId="0" applyNumberFormat="1" applyFont="1" applyAlignment="1">
      <alignment horizontal="right"/>
    </xf>
    <xf numFmtId="0" fontId="10" fillId="5" borderId="0" xfId="0" applyFont="1" applyFill="1"/>
    <xf numFmtId="0" fontId="9" fillId="0" borderId="4" xfId="0" applyFont="1" applyBorder="1" applyAlignment="1">
      <alignment horizontal="right"/>
    </xf>
    <xf numFmtId="1" fontId="10" fillId="4" borderId="0" xfId="0" applyNumberFormat="1" applyFont="1" applyFill="1" applyBorder="1" applyAlignment="1">
      <alignment horizontal="right"/>
    </xf>
    <xf numFmtId="1" fontId="10" fillId="4" borderId="9" xfId="0" applyNumberFormat="1" applyFont="1" applyFill="1" applyBorder="1" applyAlignment="1">
      <alignment horizontal="right"/>
    </xf>
    <xf numFmtId="176" fontId="9" fillId="0" borderId="4" xfId="0" applyNumberFormat="1" applyFont="1" applyBorder="1" applyAlignment="1"/>
    <xf numFmtId="177" fontId="10" fillId="4" borderId="0" xfId="0" applyNumberFormat="1" applyFont="1" applyFill="1" applyBorder="1"/>
    <xf numFmtId="177" fontId="10" fillId="4" borderId="9" xfId="0" applyNumberFormat="1" applyFont="1" applyFill="1" applyBorder="1"/>
    <xf numFmtId="176" fontId="9" fillId="0" borderId="11" xfId="0" applyNumberFormat="1" applyFont="1" applyBorder="1" applyAlignment="1"/>
    <xf numFmtId="4" fontId="10" fillId="4" borderId="12" xfId="0" applyNumberFormat="1" applyFont="1" applyFill="1" applyBorder="1"/>
    <xf numFmtId="4" fontId="10" fillId="4" borderId="13" xfId="0" applyNumberFormat="1" applyFont="1" applyFill="1" applyBorder="1"/>
    <xf numFmtId="177" fontId="10" fillId="4" borderId="12" xfId="0" applyNumberFormat="1" applyFont="1" applyFill="1" applyBorder="1"/>
    <xf numFmtId="177" fontId="10" fillId="4" borderId="13" xfId="0" applyNumberFormat="1" applyFont="1" applyFill="1" applyBorder="1"/>
    <xf numFmtId="4" fontId="10" fillId="4" borderId="11" xfId="0" applyNumberFormat="1" applyFont="1" applyFill="1" applyBorder="1"/>
    <xf numFmtId="177" fontId="10" fillId="4" borderId="4" xfId="0" applyNumberFormat="1" applyFont="1" applyFill="1" applyBorder="1"/>
    <xf numFmtId="177" fontId="10" fillId="4" borderId="11" xfId="0" applyNumberFormat="1" applyFont="1" applyFill="1" applyBorder="1"/>
    <xf numFmtId="1" fontId="10" fillId="4" borderId="4" xfId="0" applyNumberFormat="1" applyFont="1" applyFill="1" applyBorder="1" applyAlignment="1">
      <alignment horizontal="right"/>
    </xf>
    <xf numFmtId="0" fontId="10" fillId="4" borderId="14" xfId="0" applyFont="1" applyFill="1" applyBorder="1" applyAlignment="1"/>
    <xf numFmtId="0" fontId="10" fillId="4" borderId="15" xfId="0" applyFont="1" applyFill="1" applyBorder="1" applyAlignment="1"/>
    <xf numFmtId="0" fontId="10" fillId="4" borderId="16" xfId="0" applyFont="1" applyFill="1" applyBorder="1" applyAlignment="1"/>
    <xf numFmtId="0" fontId="11" fillId="3" borderId="3" xfId="0" applyFont="1" applyFill="1" applyBorder="1" applyAlignment="1">
      <alignment horizontal="left"/>
    </xf>
    <xf numFmtId="0" fontId="8" fillId="0" borderId="4" xfId="0" applyFont="1" applyBorder="1" applyAlignment="1"/>
    <xf numFmtId="0" fontId="11" fillId="3" borderId="5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10" fillId="0" borderId="5" xfId="0" applyFont="1" applyBorder="1" applyAlignment="1"/>
    <xf numFmtId="0" fontId="9" fillId="0" borderId="11" xfId="0" applyFont="1" applyBorder="1" applyAlignment="1">
      <alignment horizontal="right"/>
    </xf>
    <xf numFmtId="1" fontId="10" fillId="0" borderId="13" xfId="0" applyNumberFormat="1" applyFont="1" applyBorder="1"/>
    <xf numFmtId="0" fontId="11" fillId="3" borderId="11" xfId="0" applyFont="1" applyFill="1" applyBorder="1" applyAlignment="1">
      <alignment horizontal="right"/>
    </xf>
    <xf numFmtId="1" fontId="10" fillId="4" borderId="11" xfId="0" applyNumberFormat="1" applyFont="1" applyFill="1" applyBorder="1" applyAlignment="1"/>
    <xf numFmtId="1" fontId="10" fillId="4" borderId="12" xfId="0" applyNumberFormat="1" applyFont="1" applyFill="1" applyBorder="1" applyAlignment="1"/>
    <xf numFmtId="1" fontId="10" fillId="4" borderId="13" xfId="0" applyNumberFormat="1" applyFont="1" applyFill="1" applyBorder="1" applyAlignment="1"/>
    <xf numFmtId="1" fontId="10" fillId="4" borderId="11" xfId="0" applyNumberFormat="1" applyFont="1" applyFill="1" applyBorder="1" applyAlignment="1">
      <alignment horizontal="right"/>
    </xf>
    <xf numFmtId="1" fontId="10" fillId="4" borderId="12" xfId="0" applyNumberFormat="1" applyFont="1" applyFill="1" applyBorder="1" applyAlignment="1">
      <alignment horizontal="right"/>
    </xf>
    <xf numFmtId="1" fontId="10" fillId="4" borderId="13" xfId="0" applyNumberFormat="1" applyFont="1" applyFill="1" applyBorder="1" applyAlignment="1">
      <alignment horizontal="right"/>
    </xf>
    <xf numFmtId="1" fontId="10" fillId="0" borderId="12" xfId="0" applyNumberFormat="1" applyFont="1" applyFill="1" applyBorder="1"/>
    <xf numFmtId="1" fontId="10" fillId="0" borderId="13" xfId="0" applyNumberFormat="1" applyFont="1" applyFill="1" applyBorder="1"/>
    <xf numFmtId="1" fontId="10" fillId="0" borderId="11" xfId="0" applyNumberFormat="1" applyFont="1" applyFill="1" applyBorder="1"/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1" fontId="10" fillId="6" borderId="7" xfId="0" applyNumberFormat="1" applyFont="1" applyFill="1" applyBorder="1" applyAlignment="1"/>
    <xf numFmtId="0" fontId="10" fillId="7" borderId="10" xfId="0" applyFont="1" applyFill="1" applyBorder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Alignment="1"/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left"/>
    </xf>
    <xf numFmtId="0" fontId="9" fillId="0" borderId="3" xfId="0" applyFont="1" applyBorder="1" applyAlignment="1"/>
    <xf numFmtId="4" fontId="10" fillId="0" borderId="4" xfId="0" applyNumberFormat="1" applyFont="1" applyBorder="1" applyAlignment="1"/>
    <xf numFmtId="0" fontId="9" fillId="0" borderId="5" xfId="0" applyFont="1" applyBorder="1" applyAlignment="1"/>
    <xf numFmtId="0" fontId="8" fillId="0" borderId="0" xfId="0" applyFont="1" applyBorder="1" applyAlignment="1"/>
    <xf numFmtId="1" fontId="10" fillId="6" borderId="10" xfId="0" applyNumberFormat="1" applyFont="1" applyFill="1" applyBorder="1" applyAlignment="1"/>
    <xf numFmtId="0" fontId="9" fillId="0" borderId="14" xfId="0" applyFont="1" applyBorder="1" applyAlignment="1"/>
    <xf numFmtId="0" fontId="8" fillId="0" borderId="15" xfId="0" applyFont="1" applyBorder="1" applyAlignment="1"/>
    <xf numFmtId="0" fontId="9" fillId="0" borderId="16" xfId="0" applyFont="1" applyBorder="1" applyAlignment="1"/>
    <xf numFmtId="0" fontId="8" fillId="0" borderId="11" xfId="0" applyFont="1" applyBorder="1" applyAlignment="1"/>
    <xf numFmtId="0" fontId="11" fillId="0" borderId="0" xfId="0" applyFont="1" applyAlignment="1"/>
    <xf numFmtId="0" fontId="8" fillId="0" borderId="12" xfId="0" applyFont="1" applyBorder="1" applyAlignment="1"/>
    <xf numFmtId="0" fontId="8" fillId="0" borderId="13" xfId="0" applyFont="1" applyBorder="1" applyAlignment="1"/>
    <xf numFmtId="0" fontId="8" fillId="0" borderId="2" xfId="0" applyFont="1" applyBorder="1" applyAlignment="1"/>
    <xf numFmtId="0" fontId="10" fillId="0" borderId="4" xfId="0" applyFont="1" applyBorder="1" applyAlignment="1"/>
    <xf numFmtId="24" fontId="10" fillId="8" borderId="16" xfId="0" applyNumberFormat="1" applyFont="1" applyFill="1" applyBorder="1" applyAlignment="1"/>
    <xf numFmtId="0" fontId="11" fillId="0" borderId="0" xfId="0" applyFont="1" applyBorder="1" applyAlignment="1"/>
    <xf numFmtId="0" fontId="10" fillId="0" borderId="0" xfId="0" applyFont="1" applyFill="1" applyBorder="1" applyAlignment="1"/>
    <xf numFmtId="176" fontId="9" fillId="0" borderId="0" xfId="0" applyNumberFormat="1" applyFont="1" applyFill="1" applyBorder="1" applyAlignment="1"/>
    <xf numFmtId="0" fontId="10" fillId="0" borderId="0" xfId="0" applyFont="1" applyFill="1" applyBorder="1" applyAlignment="1">
      <alignment horizontal="center"/>
    </xf>
    <xf numFmtId="24" fontId="10" fillId="0" borderId="0" xfId="0" applyNumberFormat="1" applyFont="1" applyFill="1" applyBorder="1" applyAlignment="1"/>
    <xf numFmtId="176" fontId="10" fillId="0" borderId="0" xfId="0" applyNumberFormat="1" applyFont="1" applyBorder="1"/>
    <xf numFmtId="0" fontId="10" fillId="0" borderId="0" xfId="0" applyFont="1" applyBorder="1" applyAlignment="1"/>
    <xf numFmtId="176" fontId="10" fillId="0" borderId="0" xfId="0" applyNumberFormat="1" applyFont="1" applyBorder="1" applyAlignment="1"/>
    <xf numFmtId="0" fontId="11" fillId="0" borderId="2" xfId="0" applyFont="1" applyBorder="1" applyAlignment="1"/>
    <xf numFmtId="0" fontId="10" fillId="0" borderId="2" xfId="0" applyFont="1" applyBorder="1" applyAlignment="1">
      <alignment horizontal="center"/>
    </xf>
    <xf numFmtId="0" fontId="9" fillId="0" borderId="0" xfId="0" applyFont="1" applyFill="1" applyBorder="1" applyAlignment="1"/>
    <xf numFmtId="0" fontId="8" fillId="0" borderId="3" xfId="0" applyFont="1" applyBorder="1" applyAlignment="1"/>
    <xf numFmtId="176" fontId="10" fillId="0" borderId="5" xfId="0" applyNumberFormat="1" applyFont="1" applyBorder="1" applyAlignment="1"/>
    <xf numFmtId="0" fontId="10" fillId="0" borderId="3" xfId="0" applyFont="1" applyBorder="1" applyAlignment="1">
      <alignment horizontal="center"/>
    </xf>
    <xf numFmtId="0" fontId="10" fillId="7" borderId="7" xfId="0" applyFont="1" applyFill="1" applyBorder="1" applyAlignment="1"/>
    <xf numFmtId="0" fontId="9" fillId="0" borderId="3" xfId="0" applyFont="1" applyBorder="1" applyAlignment="1">
      <alignment horizontal="center"/>
    </xf>
    <xf numFmtId="0" fontId="10" fillId="7" borderId="5" xfId="0" applyFont="1" applyFill="1" applyBorder="1" applyAlignment="1"/>
    <xf numFmtId="0" fontId="8" fillId="3" borderId="11" xfId="0" applyFont="1" applyFill="1" applyBorder="1" applyAlignment="1">
      <alignment horizontal="right"/>
    </xf>
    <xf numFmtId="0" fontId="10" fillId="0" borderId="12" xfId="0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0" fontId="10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1" fontId="10" fillId="6" borderId="11" xfId="0" applyNumberFormat="1" applyFont="1" applyFill="1" applyBorder="1" applyAlignment="1"/>
    <xf numFmtId="1" fontId="10" fillId="6" borderId="12" xfId="0" applyNumberFormat="1" applyFont="1" applyFill="1" applyBorder="1" applyAlignment="1"/>
    <xf numFmtId="1" fontId="10" fillId="6" borderId="13" xfId="0" applyNumberFormat="1" applyFont="1" applyFill="1" applyBorder="1" applyAlignment="1"/>
    <xf numFmtId="0" fontId="12" fillId="0" borderId="0" xfId="0" applyFont="1" applyFill="1" applyAlignment="1"/>
    <xf numFmtId="2" fontId="10" fillId="0" borderId="8" xfId="0" applyNumberFormat="1" applyFont="1" applyBorder="1" applyAlignment="1">
      <alignment horizontal="left"/>
    </xf>
    <xf numFmtId="0" fontId="13" fillId="10" borderId="0" xfId="0" applyFont="1" applyFill="1" applyBorder="1" applyAlignment="1">
      <alignment wrapText="1"/>
    </xf>
    <xf numFmtId="178" fontId="10" fillId="0" borderId="0" xfId="0" applyNumberFormat="1" applyFont="1" applyAlignment="1"/>
    <xf numFmtId="26" fontId="8" fillId="9" borderId="2" xfId="0" applyNumberFormat="1" applyFont="1" applyFill="1" applyBorder="1" applyAlignment="1"/>
    <xf numFmtId="26" fontId="8" fillId="0" borderId="2" xfId="0" applyNumberFormat="1" applyFont="1" applyBorder="1" applyAlignment="1"/>
    <xf numFmtId="26" fontId="8" fillId="0" borderId="14" xfId="0" applyNumberFormat="1" applyFont="1" applyBorder="1" applyAlignment="1"/>
    <xf numFmtId="0" fontId="9" fillId="0" borderId="3" xfId="0" applyFont="1" applyBorder="1" applyAlignment="1">
      <alignment horizontal="center"/>
    </xf>
    <xf numFmtId="0" fontId="10" fillId="0" borderId="4" xfId="0" applyFont="1" applyBorder="1"/>
    <xf numFmtId="0" fontId="10" fillId="0" borderId="5" xfId="0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/>
    <xf numFmtId="49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right"/>
    </xf>
    <xf numFmtId="0" fontId="1" fillId="0" borderId="0" xfId="0" applyFont="1" applyAlignment="1"/>
    <xf numFmtId="0" fontId="0" fillId="12" borderId="0" xfId="0" applyFont="1" applyFill="1" applyAlignment="1"/>
    <xf numFmtId="0" fontId="0" fillId="11" borderId="0" xfId="0" applyFont="1" applyFill="1" applyAlignment="1">
      <alignment horizontal="right" textRotation="90"/>
    </xf>
    <xf numFmtId="0" fontId="14" fillId="0" borderId="0" xfId="0" applyFont="1" applyAlignment="1"/>
    <xf numFmtId="26" fontId="0" fillId="0" borderId="3" xfId="0" applyNumberFormat="1" applyFont="1" applyBorder="1" applyAlignment="1"/>
    <xf numFmtId="26" fontId="0" fillId="0" borderId="6" xfId="0" applyNumberFormat="1" applyFont="1" applyBorder="1" applyAlignment="1"/>
    <xf numFmtId="26" fontId="0" fillId="0" borderId="8" xfId="0" applyNumberFormat="1" applyFont="1" applyBorder="1" applyAlignment="1"/>
    <xf numFmtId="26" fontId="0" fillId="0" borderId="4" xfId="0" applyNumberFormat="1" applyFont="1" applyBorder="1" applyAlignment="1"/>
    <xf numFmtId="26" fontId="0" fillId="0" borderId="0" xfId="0" applyNumberFormat="1" applyFont="1" applyBorder="1" applyAlignment="1"/>
    <xf numFmtId="26" fontId="0" fillId="0" borderId="9" xfId="0" applyNumberFormat="1" applyFont="1" applyBorder="1" applyAlignment="1"/>
    <xf numFmtId="26" fontId="0" fillId="0" borderId="5" xfId="0" applyNumberFormat="1" applyFont="1" applyBorder="1" applyAlignment="1"/>
    <xf numFmtId="26" fontId="0" fillId="0" borderId="7" xfId="0" applyNumberFormat="1" applyFont="1" applyBorder="1" applyAlignment="1"/>
    <xf numFmtId="26" fontId="0" fillId="0" borderId="10" xfId="0" applyNumberFormat="1" applyFont="1" applyBorder="1" applyAlignment="1"/>
    <xf numFmtId="24" fontId="0" fillId="0" borderId="0" xfId="0" applyNumberFormat="1" applyFont="1" applyAlignment="1"/>
    <xf numFmtId="0" fontId="0" fillId="0" borderId="0" xfId="0" applyFont="1" applyAlignment="1">
      <alignment horizontal="right" textRotation="90"/>
    </xf>
    <xf numFmtId="26" fontId="0" fillId="0" borderId="11" xfId="0" applyNumberFormat="1" applyFont="1" applyBorder="1" applyAlignment="1"/>
    <xf numFmtId="26" fontId="0" fillId="0" borderId="12" xfId="0" applyNumberFormat="1" applyFont="1" applyBorder="1" applyAlignment="1"/>
    <xf numFmtId="26" fontId="0" fillId="0" borderId="1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STS_1!$AC$1</c:f>
          <c:strCache>
            <c:ptCount val="1"/>
            <c:pt idx="0">
              <c:v>Sensitivity of $D$41 to W2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STS_1!$B$4:$AA$4</c:f>
              <c:numCache>
                <c:formatCode>General</c:formatCode>
                <c:ptCount val="26"/>
                <c:pt idx="0">
                  <c:v>4000000</c:v>
                </c:pt>
                <c:pt idx="1">
                  <c:v>4100000</c:v>
                </c:pt>
                <c:pt idx="2">
                  <c:v>4200000</c:v>
                </c:pt>
                <c:pt idx="3">
                  <c:v>4300000</c:v>
                </c:pt>
                <c:pt idx="4">
                  <c:v>4400000</c:v>
                </c:pt>
                <c:pt idx="5">
                  <c:v>4500000</c:v>
                </c:pt>
                <c:pt idx="6">
                  <c:v>4600000</c:v>
                </c:pt>
                <c:pt idx="7">
                  <c:v>4700000</c:v>
                </c:pt>
                <c:pt idx="8">
                  <c:v>4800000</c:v>
                </c:pt>
                <c:pt idx="9">
                  <c:v>4900000</c:v>
                </c:pt>
                <c:pt idx="10">
                  <c:v>5000000</c:v>
                </c:pt>
                <c:pt idx="11">
                  <c:v>5100000</c:v>
                </c:pt>
                <c:pt idx="12">
                  <c:v>5200000</c:v>
                </c:pt>
                <c:pt idx="13">
                  <c:v>5300000</c:v>
                </c:pt>
                <c:pt idx="14">
                  <c:v>5400000</c:v>
                </c:pt>
                <c:pt idx="15">
                  <c:v>5500000</c:v>
                </c:pt>
                <c:pt idx="16">
                  <c:v>5600000</c:v>
                </c:pt>
                <c:pt idx="17">
                  <c:v>5700000</c:v>
                </c:pt>
                <c:pt idx="18">
                  <c:v>5800000</c:v>
                </c:pt>
                <c:pt idx="19">
                  <c:v>5900000</c:v>
                </c:pt>
                <c:pt idx="20">
                  <c:v>6000000</c:v>
                </c:pt>
                <c:pt idx="21">
                  <c:v>6100000</c:v>
                </c:pt>
                <c:pt idx="22">
                  <c:v>6200000</c:v>
                </c:pt>
                <c:pt idx="23">
                  <c:v>6300000</c:v>
                </c:pt>
                <c:pt idx="24">
                  <c:v>6400000</c:v>
                </c:pt>
                <c:pt idx="25">
                  <c:v>6500000</c:v>
                </c:pt>
              </c:numCache>
            </c:numRef>
          </c:cat>
          <c:val>
            <c:numRef>
              <c:f>STS_1!$AC$5:$AC$30</c:f>
              <c:numCache>
                <c:formatCode>General</c:formatCode>
                <c:ptCount val="26"/>
                <c:pt idx="0">
                  <c:v>60159.596357908027</c:v>
                </c:pt>
                <c:pt idx="1">
                  <c:v>60161.794757793963</c:v>
                </c:pt>
                <c:pt idx="2">
                  <c:v>60163.417583115021</c:v>
                </c:pt>
                <c:pt idx="3">
                  <c:v>60163.071076814784</c:v>
                </c:pt>
                <c:pt idx="4">
                  <c:v>60164.545609913504</c:v>
                </c:pt>
                <c:pt idx="5">
                  <c:v>60164.668557209283</c:v>
                </c:pt>
                <c:pt idx="6">
                  <c:v>60165.645336967762</c:v>
                </c:pt>
                <c:pt idx="7">
                  <c:v>60165.645336967762</c:v>
                </c:pt>
                <c:pt idx="8">
                  <c:v>60165.645336967762</c:v>
                </c:pt>
                <c:pt idx="9">
                  <c:v>60165.645336967762</c:v>
                </c:pt>
                <c:pt idx="10">
                  <c:v>60165.645336967762</c:v>
                </c:pt>
                <c:pt idx="11">
                  <c:v>60165.645336967762</c:v>
                </c:pt>
                <c:pt idx="12">
                  <c:v>60165.645336967762</c:v>
                </c:pt>
                <c:pt idx="13">
                  <c:v>60165.645336967762</c:v>
                </c:pt>
                <c:pt idx="14">
                  <c:v>60165.645336967762</c:v>
                </c:pt>
                <c:pt idx="15">
                  <c:v>60165.645336967762</c:v>
                </c:pt>
                <c:pt idx="16">
                  <c:v>60165.645336967762</c:v>
                </c:pt>
                <c:pt idx="17">
                  <c:v>60165.645336967762</c:v>
                </c:pt>
                <c:pt idx="18">
                  <c:v>60165.645336967762</c:v>
                </c:pt>
                <c:pt idx="19">
                  <c:v>60165.645336967762</c:v>
                </c:pt>
                <c:pt idx="20">
                  <c:v>60165.645336967762</c:v>
                </c:pt>
                <c:pt idx="21">
                  <c:v>60165.645336967762</c:v>
                </c:pt>
                <c:pt idx="22">
                  <c:v>60165.645336967762</c:v>
                </c:pt>
                <c:pt idx="23">
                  <c:v>60165.645336967762</c:v>
                </c:pt>
                <c:pt idx="24">
                  <c:v>60165.645336967762</c:v>
                </c:pt>
                <c:pt idx="25">
                  <c:v>60165.645336967762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42C8-AF30-1C2E3569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982928"/>
        <c:axId val="2120004256"/>
      </c:lineChart>
      <c:catAx>
        <c:axId val="42798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W2 ($L$29)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004256"/>
        <c:crosses val="autoZero"/>
        <c:auto val="1"/>
        <c:lblAlgn val="ctr"/>
        <c:lblOffset val="100"/>
        <c:noMultiLvlLbl val="0"/>
      </c:catAx>
      <c:valAx>
        <c:axId val="212000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982928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STS_1!$AG$1</c:f>
          <c:strCache>
            <c:ptCount val="1"/>
            <c:pt idx="0">
              <c:v>Sensitivity of $D$41 to W1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STS_1!$A$5:$A$20</c:f>
              <c:numCache>
                <c:formatCode>General</c:formatCode>
                <c:ptCount val="16"/>
                <c:pt idx="0">
                  <c:v>2500000</c:v>
                </c:pt>
                <c:pt idx="1">
                  <c:v>2600000</c:v>
                </c:pt>
                <c:pt idx="2">
                  <c:v>2700000</c:v>
                </c:pt>
                <c:pt idx="3">
                  <c:v>2800000</c:v>
                </c:pt>
                <c:pt idx="4">
                  <c:v>2900000</c:v>
                </c:pt>
                <c:pt idx="5">
                  <c:v>3000000</c:v>
                </c:pt>
                <c:pt idx="6">
                  <c:v>3100000</c:v>
                </c:pt>
                <c:pt idx="7">
                  <c:v>3200000</c:v>
                </c:pt>
                <c:pt idx="8">
                  <c:v>3300000</c:v>
                </c:pt>
                <c:pt idx="9">
                  <c:v>3400000</c:v>
                </c:pt>
                <c:pt idx="10">
                  <c:v>3500000</c:v>
                </c:pt>
                <c:pt idx="11">
                  <c:v>3600000</c:v>
                </c:pt>
                <c:pt idx="12">
                  <c:v>3700000</c:v>
                </c:pt>
                <c:pt idx="13">
                  <c:v>3800000</c:v>
                </c:pt>
                <c:pt idx="14">
                  <c:v>3900000</c:v>
                </c:pt>
                <c:pt idx="15">
                  <c:v>4000000</c:v>
                </c:pt>
              </c:numCache>
            </c:numRef>
          </c:cat>
          <c:val>
            <c:numRef>
              <c:f>STS_1!$AG$5:$AG$20</c:f>
              <c:numCache>
                <c:formatCode>General</c:formatCode>
                <c:ptCount val="16"/>
                <c:pt idx="0">
                  <c:v>60159.596357908027</c:v>
                </c:pt>
                <c:pt idx="1">
                  <c:v>60162.068992607165</c:v>
                </c:pt>
                <c:pt idx="2">
                  <c:v>60164.095048783842</c:v>
                </c:pt>
                <c:pt idx="3">
                  <c:v>60163.687260339371</c:v>
                </c:pt>
                <c:pt idx="4">
                  <c:v>60163.439306167085</c:v>
                </c:pt>
                <c:pt idx="5">
                  <c:v>60163.223204093199</c:v>
                </c:pt>
                <c:pt idx="6">
                  <c:v>60166.360093376643</c:v>
                </c:pt>
                <c:pt idx="7">
                  <c:v>60165.380398401117</c:v>
                </c:pt>
                <c:pt idx="8">
                  <c:v>60165.380398401117</c:v>
                </c:pt>
                <c:pt idx="9">
                  <c:v>60165.380398401117</c:v>
                </c:pt>
                <c:pt idx="10">
                  <c:v>60165.380398401117</c:v>
                </c:pt>
                <c:pt idx="11">
                  <c:v>60165.380398401117</c:v>
                </c:pt>
                <c:pt idx="12">
                  <c:v>60165.380398401117</c:v>
                </c:pt>
                <c:pt idx="13">
                  <c:v>60165.380398401117</c:v>
                </c:pt>
                <c:pt idx="14">
                  <c:v>60165.380398401117</c:v>
                </c:pt>
                <c:pt idx="15">
                  <c:v>60165.380398401117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1-41BA-8F5B-52E6ED41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995824"/>
        <c:axId val="2119999936"/>
      </c:lineChart>
      <c:catAx>
        <c:axId val="42799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W1 ($H$29)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999936"/>
        <c:crosses val="autoZero"/>
        <c:auto val="1"/>
        <c:lblAlgn val="ctr"/>
        <c:lblOffset val="100"/>
        <c:noMultiLvlLbl val="0"/>
      </c:catAx>
      <c:valAx>
        <c:axId val="211999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995824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STS_2!$K$1</c:f>
          <c:strCache>
            <c:ptCount val="1"/>
            <c:pt idx="0">
              <c:v>Sensitivity of $D$41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STS_2!$A$5:$A$10</c:f>
              <c:numCache>
                <c:formatCode>\$#,##0_);[Red]\(\$#,##0\)</c:formatCode>
                <c:ptCount val="6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</c:numCache>
            </c:numRef>
          </c:cat>
          <c:val>
            <c:numRef>
              <c:f>STS_2!$K$5:$K$10</c:f>
              <c:numCache>
                <c:formatCode>General</c:formatCode>
                <c:ptCount val="6"/>
                <c:pt idx="0">
                  <c:v>50151.696326926685</c:v>
                </c:pt>
                <c:pt idx="1">
                  <c:v>55159.072039525243</c:v>
                </c:pt>
                <c:pt idx="2">
                  <c:v>60166.447752123757</c:v>
                </c:pt>
                <c:pt idx="3">
                  <c:v>65171.592842214406</c:v>
                </c:pt>
                <c:pt idx="4">
                  <c:v>66931.75873104934</c:v>
                </c:pt>
                <c:pt idx="5">
                  <c:v>66931.75873104934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8-47F1-A6BB-E6FEA86C5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676288"/>
        <c:axId val="425317616"/>
      </c:lineChart>
      <c:catAx>
        <c:axId val="56867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Input ($F$34)</a:t>
                </a:r>
              </a:p>
            </c:rich>
          </c:tx>
          <c:overlay val="0"/>
        </c:title>
        <c:numFmt formatCode="\$#,##0_);[Red]\(\$#,##0\)" sourceLinked="1"/>
        <c:majorTickMark val="out"/>
        <c:minorTickMark val="none"/>
        <c:tickLblPos val="nextTo"/>
        <c:crossAx val="425317616"/>
        <c:crosses val="autoZero"/>
        <c:auto val="1"/>
        <c:lblAlgn val="ctr"/>
        <c:lblOffset val="100"/>
        <c:noMultiLvlLbl val="0"/>
      </c:catAx>
      <c:valAx>
        <c:axId val="42531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676288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STS_3!$K$1</c:f>
          <c:strCache>
            <c:ptCount val="1"/>
            <c:pt idx="0">
              <c:v>Sensitivity of $D$41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STS_3!$A$5:$A$15</c:f>
              <c:numCache>
                <c:formatCode>\$#,##0_);[Red]\(\$#,##0\)</c:formatCode>
                <c:ptCount val="1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</c:numCache>
            </c:numRef>
          </c:cat>
          <c:val>
            <c:numRef>
              <c:f>STS_3!$K$5:$K$15</c:f>
              <c:numCache>
                <c:formatCode>General</c:formatCode>
                <c:ptCount val="11"/>
                <c:pt idx="0">
                  <c:v>50151.696326926685</c:v>
                </c:pt>
                <c:pt idx="1">
                  <c:v>55159.072039525243</c:v>
                </c:pt>
                <c:pt idx="2">
                  <c:v>60166.447752123757</c:v>
                </c:pt>
                <c:pt idx="3">
                  <c:v>65171.592842214406</c:v>
                </c:pt>
                <c:pt idx="4">
                  <c:v>66931.75873104934</c:v>
                </c:pt>
                <c:pt idx="5">
                  <c:v>66931.75873104934</c:v>
                </c:pt>
                <c:pt idx="6">
                  <c:v>66931.75873104934</c:v>
                </c:pt>
                <c:pt idx="7">
                  <c:v>66931.75873104934</c:v>
                </c:pt>
                <c:pt idx="8">
                  <c:v>66931.75873104934</c:v>
                </c:pt>
                <c:pt idx="9">
                  <c:v>66931.75873104934</c:v>
                </c:pt>
                <c:pt idx="10">
                  <c:v>66931.75873104934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6-4936-82AD-A2BF381A6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755088"/>
        <c:axId val="475105504"/>
      </c:lineChart>
      <c:catAx>
        <c:axId val="55775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Input ($F$34)</a:t>
                </a:r>
              </a:p>
            </c:rich>
          </c:tx>
          <c:overlay val="0"/>
        </c:title>
        <c:numFmt formatCode="\$#,##0_);[Red]\(\$#,##0\)" sourceLinked="1"/>
        <c:majorTickMark val="out"/>
        <c:minorTickMark val="none"/>
        <c:tickLblPos val="nextTo"/>
        <c:crossAx val="475105504"/>
        <c:crosses val="autoZero"/>
        <c:auto val="1"/>
        <c:lblAlgn val="ctr"/>
        <c:lblOffset val="100"/>
        <c:noMultiLvlLbl val="0"/>
      </c:catAx>
      <c:valAx>
        <c:axId val="47510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755088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495300</xdr:colOff>
      <xdr:row>32</xdr:row>
      <xdr:rowOff>104775</xdr:rowOff>
    </xdr:from>
    <xdr:to>
      <xdr:col>27</xdr:col>
      <xdr:colOff>400050</xdr:colOff>
      <xdr:row>48</xdr:row>
      <xdr:rowOff>66675</xdr:rowOff>
    </xdr:to>
    <xdr:graphicFrame macro="">
      <xdr:nvGraphicFramePr>
        <xdr:cNvPr id="2" name="STS_1_Chart1">
          <a:extLst>
            <a:ext uri="{FF2B5EF4-FFF2-40B4-BE49-F238E27FC236}">
              <a16:creationId xmlns:a16="http://schemas.microsoft.com/office/drawing/2014/main" id="{932616E5-3587-4CF4-A761-D8DDC7260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28</xdr:col>
      <xdr:colOff>323850</xdr:colOff>
      <xdr:row>32</xdr:row>
      <xdr:rowOff>104775</xdr:rowOff>
    </xdr:from>
    <xdr:to>
      <xdr:col>35</xdr:col>
      <xdr:colOff>400050</xdr:colOff>
      <xdr:row>48</xdr:row>
      <xdr:rowOff>66675</xdr:rowOff>
    </xdr:to>
    <xdr:graphicFrame macro="">
      <xdr:nvGraphicFramePr>
        <xdr:cNvPr id="3" name="STS_1_Chart2">
          <a:extLst>
            <a:ext uri="{FF2B5EF4-FFF2-40B4-BE49-F238E27FC236}">
              <a16:creationId xmlns:a16="http://schemas.microsoft.com/office/drawing/2014/main" id="{6CD4991E-582F-42A5-978D-0018D0D57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31</xdr:col>
      <xdr:colOff>314325</xdr:colOff>
      <xdr:row>21</xdr:row>
      <xdr:rowOff>123825</xdr:rowOff>
    </xdr:from>
    <xdr:to>
      <xdr:col>36</xdr:col>
      <xdr:colOff>542925</xdr:colOff>
      <xdr:row>29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0371DA8-8D65-47AD-A09D-024D079AA28F}"/>
            </a:ext>
          </a:extLst>
        </xdr:cNvPr>
        <xdr:cNvSpPr txBox="1"/>
      </xdr:nvSpPr>
      <xdr:spPr>
        <a:xfrm>
          <a:off x="25250775" y="41910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altLang="zh-CN" sz="1100"/>
            <a:t>By making appropriate selections in cells $AC$4, $AD$4, $AG$4, and $AH$4, you can chart any row (in left chart) or column (in right chart) of any table to the left.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438150</xdr:colOff>
      <xdr:row>11</xdr:row>
      <xdr:rowOff>95250</xdr:rowOff>
    </xdr:from>
    <xdr:to>
      <xdr:col>15</xdr:col>
      <xdr:colOff>514350</xdr:colOff>
      <xdr:row>27</xdr:row>
      <xdr:rowOff>57150</xdr:rowOff>
    </xdr:to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3345879F-6CA3-4F1D-BC1F-98757EAF5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390525</xdr:colOff>
      <xdr:row>3</xdr:row>
      <xdr:rowOff>28575</xdr:rowOff>
    </xdr:from>
    <xdr:to>
      <xdr:col>15</xdr:col>
      <xdr:colOff>85725</xdr:colOff>
      <xdr:row>5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02B1C04-6041-4D23-B69B-4D9A5EBF20B7}"/>
            </a:ext>
          </a:extLst>
        </xdr:cNvPr>
        <xdr:cNvSpPr txBox="1"/>
      </xdr:nvSpPr>
      <xdr:spPr>
        <a:xfrm>
          <a:off x="8105775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altLang="zh-CN" sz="1100"/>
            <a:t>When you select an output from the dropdown list in cell $K$4, the chart will adapt to that output.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438150</xdr:colOff>
      <xdr:row>16</xdr:row>
      <xdr:rowOff>142875</xdr:rowOff>
    </xdr:from>
    <xdr:to>
      <xdr:col>15</xdr:col>
      <xdr:colOff>514350</xdr:colOff>
      <xdr:row>32</xdr:row>
      <xdr:rowOff>104775</xdr:rowOff>
    </xdr:to>
    <xdr:graphicFrame macro="">
      <xdr:nvGraphicFramePr>
        <xdr:cNvPr id="2" name="STS_3_Chart">
          <a:extLst>
            <a:ext uri="{FF2B5EF4-FFF2-40B4-BE49-F238E27FC236}">
              <a16:creationId xmlns:a16="http://schemas.microsoft.com/office/drawing/2014/main" id="{3B36B4B8-1933-4619-9DD6-0C19BE9BD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390525</xdr:colOff>
      <xdr:row>3</xdr:row>
      <xdr:rowOff>28575</xdr:rowOff>
    </xdr:from>
    <xdr:to>
      <xdr:col>15</xdr:col>
      <xdr:colOff>85725</xdr:colOff>
      <xdr:row>5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F02FBA-D541-435E-909C-6E68128BA7FB}"/>
            </a:ext>
          </a:extLst>
        </xdr:cNvPr>
        <xdr:cNvSpPr txBox="1"/>
      </xdr:nvSpPr>
      <xdr:spPr>
        <a:xfrm>
          <a:off x="8105775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altLang="zh-CN" sz="1100"/>
            <a:t>When you select an output from the dropdown list in cell $K$4, the chart will adapt to that output.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"/>
  <sheetViews>
    <sheetView workbookViewId="0">
      <selection activeCell="F26" sqref="F26"/>
    </sheetView>
  </sheetViews>
  <sheetFormatPr defaultColWidth="12.625" defaultRowHeight="15" customHeight="1" x14ac:dyDescent="0.2"/>
  <cols>
    <col min="2" max="2" width="28.75" customWidth="1"/>
    <col min="5" max="5" width="15.375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6">
        <v>1</v>
      </c>
      <c r="B2" s="7" t="s">
        <v>5</v>
      </c>
      <c r="C2" s="7">
        <v>828898</v>
      </c>
      <c r="D2" s="7">
        <v>774.93399999999997</v>
      </c>
      <c r="E2" s="9">
        <v>9.74</v>
      </c>
      <c r="F2" s="9">
        <v>14.65</v>
      </c>
    </row>
    <row r="3" spans="1:25" x14ac:dyDescent="0.2">
      <c r="A3" s="6">
        <v>2</v>
      </c>
      <c r="B3" s="7" t="s">
        <v>10</v>
      </c>
      <c r="C3" s="7">
        <v>2828</v>
      </c>
      <c r="D3" s="7">
        <v>735.27200000000005</v>
      </c>
      <c r="E3" s="9">
        <v>9.9499999999999993</v>
      </c>
      <c r="F3" s="9">
        <v>14.92</v>
      </c>
    </row>
    <row r="4" spans="1:25" x14ac:dyDescent="0.2">
      <c r="A4" s="6">
        <v>3</v>
      </c>
      <c r="B4" s="7" t="s">
        <v>11</v>
      </c>
      <c r="C4" s="7">
        <v>4514</v>
      </c>
      <c r="D4" s="7">
        <v>723.61599999999999</v>
      </c>
      <c r="E4" s="9">
        <v>9.67</v>
      </c>
      <c r="F4" s="9">
        <v>14.51</v>
      </c>
    </row>
    <row r="5" spans="1:25" x14ac:dyDescent="0.2">
      <c r="A5" s="6">
        <v>4</v>
      </c>
      <c r="B5" s="7" t="s">
        <v>12</v>
      </c>
      <c r="C5" s="7">
        <v>6387</v>
      </c>
      <c r="D5" s="7">
        <v>750</v>
      </c>
      <c r="E5" s="9">
        <v>11.38</v>
      </c>
      <c r="F5" s="9">
        <v>17.079999999999998</v>
      </c>
    </row>
    <row r="6" spans="1:25" x14ac:dyDescent="0.2">
      <c r="A6" s="6">
        <v>5</v>
      </c>
      <c r="B6" s="7" t="s">
        <v>13</v>
      </c>
      <c r="C6" s="7">
        <v>287</v>
      </c>
      <c r="D6" s="7">
        <v>531.76099999999997</v>
      </c>
      <c r="E6" s="9">
        <v>12.45</v>
      </c>
      <c r="F6" s="9">
        <v>18.68</v>
      </c>
    </row>
    <row r="7" spans="1:25" x14ac:dyDescent="0.2">
      <c r="A7" s="6">
        <v>6</v>
      </c>
      <c r="B7" s="7" t="s">
        <v>14</v>
      </c>
      <c r="C7" s="7">
        <v>11260</v>
      </c>
      <c r="D7" s="7">
        <v>750</v>
      </c>
      <c r="E7" s="9">
        <v>8.91</v>
      </c>
      <c r="F7" s="9">
        <v>13.36</v>
      </c>
    </row>
    <row r="8" spans="1:25" x14ac:dyDescent="0.2">
      <c r="A8" s="6">
        <v>7</v>
      </c>
      <c r="B8" s="7" t="s">
        <v>15</v>
      </c>
      <c r="C8" s="7">
        <v>17404</v>
      </c>
      <c r="D8" s="7">
        <v>943.22799999999995</v>
      </c>
      <c r="E8" s="9">
        <v>6.46</v>
      </c>
      <c r="F8" s="9">
        <v>9.69</v>
      </c>
    </row>
    <row r="9" spans="1:25" x14ac:dyDescent="0.2">
      <c r="B9" s="8" t="s">
        <v>9</v>
      </c>
      <c r="C9">
        <f>SUM(C2:C8)</f>
        <v>871578</v>
      </c>
      <c r="D9">
        <f t="shared" ref="D9:F9" si="0">AVERAGE(D2:D8)</f>
        <v>744.11585714285718</v>
      </c>
      <c r="E9" s="11">
        <f t="shared" si="0"/>
        <v>9.7942857142857118</v>
      </c>
      <c r="F9" s="11">
        <f t="shared" si="0"/>
        <v>14.698571428571428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000"/>
  <sheetViews>
    <sheetView tabSelected="1" zoomScaleNormal="100" workbookViewId="0">
      <selection activeCell="I46" sqref="I46"/>
    </sheetView>
  </sheetViews>
  <sheetFormatPr defaultColWidth="12.625" defaultRowHeight="15" customHeight="1" x14ac:dyDescent="0.2"/>
  <cols>
    <col min="1" max="1" width="21.5" customWidth="1"/>
    <col min="2" max="2" width="19.5" customWidth="1"/>
    <col min="3" max="3" width="18.25" customWidth="1"/>
    <col min="4" max="4" width="20" customWidth="1"/>
    <col min="5" max="5" width="12.75" customWidth="1"/>
    <col min="6" max="6" width="17.125" customWidth="1"/>
    <col min="7" max="7" width="24.25" customWidth="1"/>
    <col min="8" max="8" width="19.375" customWidth="1"/>
    <col min="9" max="9" width="20" bestFit="1" customWidth="1"/>
    <col min="10" max="10" width="18" customWidth="1"/>
    <col min="12" max="12" width="18.25" customWidth="1"/>
    <col min="16" max="16" width="14.125" customWidth="1"/>
    <col min="21" max="21" width="13.5" customWidth="1"/>
  </cols>
  <sheetData>
    <row r="1" spans="1:22" ht="14.25" x14ac:dyDescent="0.2">
      <c r="A1" s="18"/>
      <c r="B1" s="123" t="s">
        <v>141</v>
      </c>
      <c r="C1" s="124"/>
      <c r="D1" s="125"/>
      <c r="E1" s="18"/>
      <c r="F1" s="19"/>
      <c r="G1" s="19"/>
      <c r="H1" s="19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2" ht="15" customHeight="1" x14ac:dyDescent="0.2">
      <c r="A2" s="20" t="s">
        <v>143</v>
      </c>
      <c r="B2" s="55" t="s">
        <v>122</v>
      </c>
      <c r="C2" s="53" t="s">
        <v>123</v>
      </c>
      <c r="D2" s="29" t="s">
        <v>124</v>
      </c>
      <c r="E2" s="53" t="s">
        <v>145</v>
      </c>
      <c r="F2" s="21"/>
      <c r="G2" s="35" t="s">
        <v>125</v>
      </c>
      <c r="H2" s="32" t="s">
        <v>183</v>
      </c>
      <c r="I2" s="35" t="s">
        <v>121</v>
      </c>
      <c r="J2" s="22"/>
      <c r="K2" s="106" t="s">
        <v>162</v>
      </c>
      <c r="L2" s="78" t="s">
        <v>146</v>
      </c>
      <c r="M2" s="18"/>
      <c r="N2" s="22"/>
      <c r="O2" s="22"/>
      <c r="P2" s="18"/>
      <c r="Q2" s="18"/>
      <c r="R2" s="22"/>
      <c r="S2" s="18"/>
      <c r="V2" s="8"/>
    </row>
    <row r="3" spans="1:22" ht="14.25" x14ac:dyDescent="0.2">
      <c r="A3" s="22" t="s">
        <v>126</v>
      </c>
      <c r="B3" s="56">
        <v>131556</v>
      </c>
      <c r="C3" s="59">
        <v>105203</v>
      </c>
      <c r="D3" s="43">
        <v>264118</v>
      </c>
      <c r="E3" s="64">
        <f t="shared" ref="E3:E11" si="0">SUM(B3:D3)</f>
        <v>500877</v>
      </c>
      <c r="F3" s="22" t="s">
        <v>126</v>
      </c>
      <c r="G3" s="40">
        <v>885.4903317838797</v>
      </c>
      <c r="H3" s="41">
        <v>18.522043278493399</v>
      </c>
      <c r="I3" s="42">
        <v>27.796937845754787</v>
      </c>
      <c r="J3" s="119"/>
      <c r="K3" s="108" t="s">
        <v>122</v>
      </c>
      <c r="L3" s="107">
        <v>2200000</v>
      </c>
      <c r="M3" s="18"/>
      <c r="N3" s="18"/>
      <c r="O3" s="18"/>
      <c r="P3" s="18"/>
      <c r="Q3" s="18"/>
      <c r="R3" s="18"/>
      <c r="S3" s="18"/>
    </row>
    <row r="4" spans="1:22" ht="14.25" x14ac:dyDescent="0.2">
      <c r="A4" s="22" t="s">
        <v>127</v>
      </c>
      <c r="B4" s="57">
        <v>19209</v>
      </c>
      <c r="C4" s="60">
        <v>22184</v>
      </c>
      <c r="D4" s="30">
        <v>67179</v>
      </c>
      <c r="E4" s="62">
        <f>SUM(B4:D4)</f>
        <v>108572</v>
      </c>
      <c r="F4" s="22" t="s">
        <v>127</v>
      </c>
      <c r="G4" s="36">
        <v>755.28828100755902</v>
      </c>
      <c r="H4" s="33">
        <v>13.651558459048047</v>
      </c>
      <c r="I4" s="38">
        <v>20.4928595453488</v>
      </c>
      <c r="J4" s="119"/>
      <c r="K4" s="109" t="s">
        <v>123</v>
      </c>
      <c r="L4" s="105">
        <v>3000000</v>
      </c>
      <c r="M4" s="18"/>
      <c r="N4" s="18"/>
      <c r="O4" s="18"/>
      <c r="P4" s="18"/>
      <c r="Q4" s="18"/>
      <c r="R4" s="18"/>
      <c r="S4" s="18"/>
    </row>
    <row r="5" spans="1:22" ht="14.25" x14ac:dyDescent="0.2">
      <c r="A5" s="22" t="s">
        <v>128</v>
      </c>
      <c r="B5" s="57">
        <v>52787</v>
      </c>
      <c r="C5" s="60">
        <v>36795</v>
      </c>
      <c r="D5" s="30">
        <v>89324</v>
      </c>
      <c r="E5" s="62">
        <f t="shared" si="0"/>
        <v>178906</v>
      </c>
      <c r="F5" s="22" t="s">
        <v>128</v>
      </c>
      <c r="G5" s="36">
        <v>928.9421428472026</v>
      </c>
      <c r="H5" s="33">
        <v>9.1186459501393191</v>
      </c>
      <c r="I5" s="38">
        <v>13.701800086764431</v>
      </c>
      <c r="J5" s="119"/>
      <c r="K5" s="110" t="s">
        <v>124</v>
      </c>
      <c r="L5" s="69">
        <v>4500000</v>
      </c>
      <c r="M5" s="18"/>
      <c r="N5" s="18"/>
      <c r="O5" s="18"/>
      <c r="P5" s="18"/>
      <c r="Q5" s="18"/>
      <c r="R5" s="18"/>
      <c r="S5" s="18"/>
    </row>
    <row r="6" spans="1:22" ht="14.25" x14ac:dyDescent="0.2">
      <c r="A6" s="22" t="s">
        <v>129</v>
      </c>
      <c r="B6" s="57">
        <v>35539</v>
      </c>
      <c r="C6" s="60">
        <v>39202</v>
      </c>
      <c r="D6" s="30">
        <v>67952</v>
      </c>
      <c r="E6" s="62">
        <f t="shared" si="0"/>
        <v>142693</v>
      </c>
      <c r="F6" s="22" t="s">
        <v>129</v>
      </c>
      <c r="G6" s="36">
        <v>673.40916094334989</v>
      </c>
      <c r="H6" s="33">
        <v>8.1389392919298231</v>
      </c>
      <c r="I6" s="38">
        <v>12.213686330455888</v>
      </c>
      <c r="J6" s="119"/>
      <c r="K6" s="23"/>
      <c r="L6" s="18"/>
      <c r="M6" s="18"/>
      <c r="N6" s="18"/>
      <c r="O6" s="18"/>
      <c r="P6" s="18"/>
      <c r="Q6" s="18"/>
      <c r="R6" s="18"/>
      <c r="S6" s="18"/>
    </row>
    <row r="7" spans="1:22" ht="14.25" x14ac:dyDescent="0.2">
      <c r="A7" s="22" t="s">
        <v>130</v>
      </c>
      <c r="B7" s="57">
        <v>27733</v>
      </c>
      <c r="C7" s="60">
        <v>26851</v>
      </c>
      <c r="D7" s="30">
        <v>62991</v>
      </c>
      <c r="E7" s="62">
        <f t="shared" si="0"/>
        <v>117575</v>
      </c>
      <c r="F7" s="22" t="s">
        <v>130</v>
      </c>
      <c r="G7" s="36">
        <v>910.71658015510957</v>
      </c>
      <c r="H7" s="33">
        <v>7.6733302458943138</v>
      </c>
      <c r="I7" s="38">
        <v>11.516804907413736</v>
      </c>
      <c r="J7" s="119"/>
      <c r="K7" s="23"/>
      <c r="L7" s="18"/>
      <c r="M7" s="18"/>
      <c r="N7" s="18"/>
      <c r="O7" s="18"/>
      <c r="P7" s="18"/>
      <c r="Q7" s="18"/>
      <c r="R7" s="18"/>
      <c r="S7" s="18"/>
    </row>
    <row r="8" spans="1:22" ht="14.25" x14ac:dyDescent="0.2">
      <c r="A8" s="22" t="s">
        <v>131</v>
      </c>
      <c r="B8" s="57">
        <v>151968</v>
      </c>
      <c r="C8" s="60">
        <v>125152</v>
      </c>
      <c r="D8" s="30">
        <v>305824</v>
      </c>
      <c r="E8" s="62">
        <f t="shared" si="0"/>
        <v>582944</v>
      </c>
      <c r="F8" s="22" t="s">
        <v>131</v>
      </c>
      <c r="G8" s="36">
        <v>903.99390072555548</v>
      </c>
      <c r="H8" s="33">
        <v>9.1805341934267126</v>
      </c>
      <c r="I8" s="38">
        <v>13.785827486010447</v>
      </c>
      <c r="J8" s="119"/>
      <c r="K8" s="23"/>
      <c r="L8" s="18"/>
      <c r="M8" s="18"/>
      <c r="N8" s="18"/>
      <c r="O8" s="18"/>
      <c r="P8" s="18"/>
      <c r="Q8" s="18"/>
      <c r="R8" s="18"/>
      <c r="S8" s="18"/>
    </row>
    <row r="9" spans="1:22" ht="14.25" x14ac:dyDescent="0.2">
      <c r="A9" s="22" t="s">
        <v>132</v>
      </c>
      <c r="B9" s="57">
        <v>10722</v>
      </c>
      <c r="C9" s="60">
        <v>7324</v>
      </c>
      <c r="D9" s="30">
        <v>8451</v>
      </c>
      <c r="E9" s="62">
        <f t="shared" si="0"/>
        <v>26497</v>
      </c>
      <c r="F9" s="22" t="s">
        <v>132</v>
      </c>
      <c r="G9" s="36">
        <v>1546.2152975340302</v>
      </c>
      <c r="H9" s="33">
        <v>7.2833223033846695</v>
      </c>
      <c r="I9" s="38">
        <v>10.974598809436799</v>
      </c>
      <c r="J9" s="119"/>
      <c r="K9" s="23"/>
      <c r="L9" s="18"/>
      <c r="M9" s="18"/>
      <c r="N9" s="18"/>
      <c r="O9" s="18"/>
      <c r="P9" s="18"/>
      <c r="Q9" s="18"/>
      <c r="R9" s="18"/>
      <c r="S9" s="18"/>
    </row>
    <row r="10" spans="1:22" ht="14.25" x14ac:dyDescent="0.2">
      <c r="A10" s="22" t="s">
        <v>133</v>
      </c>
      <c r="B10" s="57">
        <v>58132</v>
      </c>
      <c r="C10" s="60">
        <v>48666</v>
      </c>
      <c r="D10" s="30">
        <v>144068</v>
      </c>
      <c r="E10" s="62">
        <f t="shared" si="0"/>
        <v>250866</v>
      </c>
      <c r="F10" s="22" t="s">
        <v>133</v>
      </c>
      <c r="G10" s="36">
        <v>812.8493922007118</v>
      </c>
      <c r="H10" s="33">
        <v>8.2535058108653239</v>
      </c>
      <c r="I10" s="38">
        <v>12.396634355038312</v>
      </c>
      <c r="J10" s="119"/>
      <c r="K10" s="23"/>
      <c r="L10" s="18"/>
      <c r="M10" s="18"/>
      <c r="N10" s="18"/>
      <c r="O10" s="18"/>
      <c r="P10" s="18"/>
      <c r="Q10" s="18"/>
      <c r="R10" s="18"/>
      <c r="S10" s="18"/>
    </row>
    <row r="11" spans="1:22" ht="14.25" x14ac:dyDescent="0.2">
      <c r="A11" s="22" t="s">
        <v>134</v>
      </c>
      <c r="B11" s="58">
        <v>9050</v>
      </c>
      <c r="C11" s="61">
        <v>3282</v>
      </c>
      <c r="D11" s="31">
        <v>3637</v>
      </c>
      <c r="E11" s="63">
        <f t="shared" si="0"/>
        <v>15969</v>
      </c>
      <c r="F11" s="22" t="s">
        <v>134</v>
      </c>
      <c r="G11" s="37">
        <v>744.11585714285718</v>
      </c>
      <c r="H11" s="34">
        <v>9.7942857142857118</v>
      </c>
      <c r="I11" s="39">
        <v>14.698571428571428</v>
      </c>
      <c r="J11" s="119"/>
      <c r="K11" s="23"/>
      <c r="L11" s="18"/>
      <c r="M11" s="18"/>
      <c r="N11" s="18"/>
      <c r="O11" s="18"/>
      <c r="P11" s="18"/>
      <c r="Q11" s="18"/>
      <c r="R11" s="18"/>
      <c r="S11" s="18"/>
      <c r="T11" s="8"/>
    </row>
    <row r="12" spans="1:22" ht="14.25" x14ac:dyDescent="0.2">
      <c r="A12" s="20" t="s">
        <v>144</v>
      </c>
      <c r="B12" s="18"/>
      <c r="C12" s="18"/>
      <c r="D12" s="18"/>
      <c r="E12" s="54">
        <f>SUM(E3:E11)</f>
        <v>1924899</v>
      </c>
      <c r="F12" s="19"/>
      <c r="G12" s="19"/>
      <c r="H12" s="19"/>
      <c r="I12" s="18"/>
      <c r="J12" s="18"/>
      <c r="K12" s="18"/>
      <c r="L12" s="18"/>
      <c r="M12" s="22"/>
      <c r="N12" s="18"/>
      <c r="O12" s="18"/>
      <c r="P12" s="18"/>
      <c r="Q12" s="22"/>
      <c r="R12" s="18"/>
      <c r="S12" s="23"/>
      <c r="T12" s="17"/>
      <c r="U12" s="8"/>
    </row>
    <row r="13" spans="1:22" ht="14.25" x14ac:dyDescent="0.2">
      <c r="A13" s="18"/>
      <c r="B13" s="22"/>
      <c r="C13" s="18"/>
      <c r="D13" s="18"/>
      <c r="E13" s="18"/>
      <c r="F13" s="19"/>
      <c r="G13" s="24" t="s">
        <v>136</v>
      </c>
      <c r="H13" s="19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2" ht="14.25" x14ac:dyDescent="0.2">
      <c r="A14" s="22" t="s">
        <v>135</v>
      </c>
      <c r="B14" s="44">
        <v>182</v>
      </c>
      <c r="C14" s="45">
        <v>102</v>
      </c>
      <c r="D14" s="46">
        <v>187</v>
      </c>
      <c r="E14" s="18"/>
      <c r="F14" s="24"/>
      <c r="G14" s="19"/>
      <c r="H14" s="19"/>
      <c r="I14" s="18"/>
      <c r="J14" s="18"/>
      <c r="K14" s="18"/>
      <c r="L14" s="18"/>
      <c r="M14" s="18"/>
      <c r="N14" s="18"/>
      <c r="O14" s="18"/>
      <c r="P14" s="18"/>
      <c r="Q14" s="22"/>
      <c r="R14" s="18"/>
      <c r="S14" s="18"/>
      <c r="U14" s="8"/>
    </row>
    <row r="15" spans="1:22" ht="14.25" x14ac:dyDescent="0.2">
      <c r="A15" s="18"/>
      <c r="B15" s="22"/>
      <c r="C15" s="18"/>
      <c r="D15" s="18"/>
      <c r="E15" s="18"/>
      <c r="F15" s="25"/>
      <c r="G15" s="19"/>
      <c r="H15" s="19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spans="1:22" ht="14.25" x14ac:dyDescent="0.2">
      <c r="A16" s="22"/>
      <c r="B16" s="126"/>
      <c r="C16" s="127"/>
      <c r="D16" s="127"/>
      <c r="E16" s="22"/>
      <c r="F16" s="25"/>
      <c r="G16" s="24"/>
      <c r="H16" s="19"/>
      <c r="I16" s="18"/>
      <c r="J16" s="18"/>
      <c r="K16" s="70"/>
      <c r="L16" s="70"/>
      <c r="M16" s="70"/>
      <c r="N16" s="70"/>
      <c r="O16" s="70"/>
      <c r="P16" s="70"/>
      <c r="Q16" s="18"/>
      <c r="R16" s="18"/>
      <c r="S16" s="18"/>
    </row>
    <row r="17" spans="1:19" ht="15" customHeight="1" x14ac:dyDescent="0.2">
      <c r="A17" s="20" t="s">
        <v>155</v>
      </c>
      <c r="B17" s="47" t="s">
        <v>137</v>
      </c>
      <c r="C17" s="48"/>
      <c r="D17" s="49" t="s">
        <v>142</v>
      </c>
      <c r="E17" s="71"/>
      <c r="F17" s="76" t="s">
        <v>138</v>
      </c>
      <c r="G17" s="77"/>
      <c r="H17" s="78" t="s">
        <v>148</v>
      </c>
      <c r="I17" s="18"/>
      <c r="J17" s="81" t="s">
        <v>139</v>
      </c>
      <c r="K17" s="82"/>
      <c r="L17" s="83" t="s">
        <v>149</v>
      </c>
      <c r="M17" s="72"/>
      <c r="N17" s="70"/>
      <c r="O17" s="70"/>
      <c r="P17" s="70"/>
      <c r="Q17" s="18"/>
      <c r="R17" s="18"/>
      <c r="S17" s="18"/>
    </row>
    <row r="18" spans="1:19" ht="14.25" x14ac:dyDescent="0.2">
      <c r="A18" s="22" t="s">
        <v>126</v>
      </c>
      <c r="B18" s="118">
        <v>361</v>
      </c>
      <c r="C18" s="104" t="s">
        <v>140</v>
      </c>
      <c r="D18" s="113">
        <f>B3/$B$14</f>
        <v>722.83516483516485</v>
      </c>
      <c r="E18" s="74"/>
      <c r="F18" s="118">
        <v>738</v>
      </c>
      <c r="G18" s="65" t="s">
        <v>140</v>
      </c>
      <c r="H18" s="68">
        <f>C3/$C$14</f>
        <v>1031.4019607843138</v>
      </c>
      <c r="I18" s="23"/>
      <c r="J18" s="118">
        <v>1412</v>
      </c>
      <c r="K18" s="65" t="s">
        <v>140</v>
      </c>
      <c r="L18" s="68">
        <f>D3/$D$14</f>
        <v>1412.3957219251338</v>
      </c>
      <c r="M18" s="70"/>
      <c r="N18" s="70"/>
      <c r="O18" s="70"/>
      <c r="P18" s="70"/>
      <c r="Q18" s="18"/>
      <c r="R18" s="18"/>
      <c r="S18" s="18"/>
    </row>
    <row r="19" spans="1:19" ht="14.25" x14ac:dyDescent="0.2">
      <c r="A19" s="22" t="s">
        <v>127</v>
      </c>
      <c r="B19" s="118">
        <v>105</v>
      </c>
      <c r="C19" s="111" t="s">
        <v>140</v>
      </c>
      <c r="D19" s="114">
        <f t="shared" ref="D19:D26" si="1">B4/$B$14</f>
        <v>105.54395604395604</v>
      </c>
      <c r="E19" s="74"/>
      <c r="F19" s="118">
        <v>217</v>
      </c>
      <c r="G19" s="66" t="s">
        <v>140</v>
      </c>
      <c r="H19" s="68">
        <f t="shared" ref="H19:H26" si="2">C4/$C$14</f>
        <v>217.49019607843138</v>
      </c>
      <c r="I19" s="23"/>
      <c r="J19" s="118">
        <v>359</v>
      </c>
      <c r="K19" s="66" t="s">
        <v>140</v>
      </c>
      <c r="L19" s="68">
        <f t="shared" ref="L19:L26" si="3">D4/$D$14</f>
        <v>359.24598930481284</v>
      </c>
      <c r="M19" s="70"/>
      <c r="N19" s="70"/>
      <c r="O19" s="70"/>
      <c r="P19" s="70"/>
      <c r="Q19" s="18"/>
      <c r="R19" s="18"/>
      <c r="S19" s="18"/>
    </row>
    <row r="20" spans="1:19" ht="14.25" x14ac:dyDescent="0.2">
      <c r="A20" s="22" t="s">
        <v>128</v>
      </c>
      <c r="B20" s="118">
        <v>290</v>
      </c>
      <c r="C20" s="111" t="s">
        <v>140</v>
      </c>
      <c r="D20" s="114">
        <f t="shared" si="1"/>
        <v>290.03846153846155</v>
      </c>
      <c r="E20" s="74"/>
      <c r="F20" s="118">
        <v>360</v>
      </c>
      <c r="G20" s="66" t="s">
        <v>140</v>
      </c>
      <c r="H20" s="68">
        <f t="shared" si="2"/>
        <v>360.73529411764707</v>
      </c>
      <c r="I20" s="23"/>
      <c r="J20" s="118">
        <v>477</v>
      </c>
      <c r="K20" s="66" t="s">
        <v>140</v>
      </c>
      <c r="L20" s="68">
        <f t="shared" si="3"/>
        <v>477.66844919786098</v>
      </c>
      <c r="M20" s="70"/>
      <c r="N20" s="70"/>
      <c r="O20" s="70"/>
      <c r="P20" s="70"/>
      <c r="Q20" s="18"/>
      <c r="R20" s="18"/>
      <c r="S20" s="18"/>
    </row>
    <row r="21" spans="1:19" ht="14.25" x14ac:dyDescent="0.2">
      <c r="A21" s="22" t="s">
        <v>129</v>
      </c>
      <c r="B21" s="118">
        <v>0</v>
      </c>
      <c r="C21" s="111" t="s">
        <v>140</v>
      </c>
      <c r="D21" s="114">
        <f t="shared" si="1"/>
        <v>195.26923076923077</v>
      </c>
      <c r="E21" s="74"/>
      <c r="F21" s="118">
        <v>0</v>
      </c>
      <c r="G21" s="66" t="s">
        <v>140</v>
      </c>
      <c r="H21" s="68">
        <f t="shared" si="2"/>
        <v>384.33333333333331</v>
      </c>
      <c r="I21" s="23"/>
      <c r="J21" s="118">
        <v>0</v>
      </c>
      <c r="K21" s="66" t="s">
        <v>140</v>
      </c>
      <c r="L21" s="68">
        <f t="shared" si="3"/>
        <v>363.37967914438502</v>
      </c>
      <c r="M21" s="70"/>
      <c r="N21" s="70"/>
      <c r="O21" s="70"/>
      <c r="P21" s="70"/>
      <c r="Q21" s="18"/>
      <c r="R21" s="18"/>
      <c r="S21" s="18"/>
    </row>
    <row r="22" spans="1:19" ht="14.25" x14ac:dyDescent="0.2">
      <c r="A22" s="22" t="s">
        <v>130</v>
      </c>
      <c r="B22" s="118">
        <v>152</v>
      </c>
      <c r="C22" s="111" t="s">
        <v>140</v>
      </c>
      <c r="D22" s="114">
        <f t="shared" si="1"/>
        <v>152.37912087912088</v>
      </c>
      <c r="E22" s="74"/>
      <c r="F22" s="118">
        <v>263</v>
      </c>
      <c r="G22" s="66" t="s">
        <v>140</v>
      </c>
      <c r="H22" s="68">
        <f t="shared" si="2"/>
        <v>263.24509803921569</v>
      </c>
      <c r="I22" s="23"/>
      <c r="J22" s="118">
        <v>336</v>
      </c>
      <c r="K22" s="66" t="s">
        <v>140</v>
      </c>
      <c r="L22" s="68">
        <f t="shared" si="3"/>
        <v>336.85026737967917</v>
      </c>
      <c r="M22" s="70"/>
      <c r="N22" s="70"/>
      <c r="O22" s="70"/>
      <c r="P22" s="70"/>
      <c r="Q22" s="18"/>
      <c r="R22" s="18"/>
      <c r="S22" s="18"/>
    </row>
    <row r="23" spans="1:19" ht="14.25" x14ac:dyDescent="0.2">
      <c r="A23" s="22" t="s">
        <v>131</v>
      </c>
      <c r="B23" s="118">
        <v>834</v>
      </c>
      <c r="C23" s="111" t="s">
        <v>140</v>
      </c>
      <c r="D23" s="114">
        <f t="shared" si="1"/>
        <v>834.98901098901104</v>
      </c>
      <c r="E23" s="74"/>
      <c r="F23" s="118">
        <v>1226</v>
      </c>
      <c r="G23" s="66" t="s">
        <v>140</v>
      </c>
      <c r="H23" s="68">
        <f t="shared" si="2"/>
        <v>1226.9803921568628</v>
      </c>
      <c r="I23" s="23"/>
      <c r="J23" s="118">
        <v>1635</v>
      </c>
      <c r="K23" s="66" t="s">
        <v>140</v>
      </c>
      <c r="L23" s="68">
        <f t="shared" si="3"/>
        <v>1635.4224598930482</v>
      </c>
      <c r="M23" s="70"/>
      <c r="N23" s="70"/>
      <c r="O23" s="70"/>
      <c r="P23" s="70"/>
      <c r="Q23" s="18"/>
      <c r="R23" s="18"/>
      <c r="S23" s="18"/>
    </row>
    <row r="24" spans="1:19" ht="14.25" x14ac:dyDescent="0.2">
      <c r="A24" s="22" t="s">
        <v>132</v>
      </c>
      <c r="B24" s="118">
        <v>58</v>
      </c>
      <c r="C24" s="111" t="s">
        <v>140</v>
      </c>
      <c r="D24" s="114">
        <f t="shared" si="1"/>
        <v>58.912087912087912</v>
      </c>
      <c r="E24" s="74"/>
      <c r="F24" s="118">
        <v>71</v>
      </c>
      <c r="G24" s="66" t="s">
        <v>140</v>
      </c>
      <c r="H24" s="68">
        <f t="shared" si="2"/>
        <v>71.803921568627445</v>
      </c>
      <c r="I24" s="23"/>
      <c r="J24" s="118">
        <v>45</v>
      </c>
      <c r="K24" s="66" t="s">
        <v>140</v>
      </c>
      <c r="L24" s="68">
        <f t="shared" si="3"/>
        <v>45.19251336898396</v>
      </c>
      <c r="M24" s="70"/>
      <c r="N24" s="70"/>
      <c r="O24" s="70"/>
      <c r="P24" s="70"/>
      <c r="Q24" s="18"/>
      <c r="R24" s="18"/>
      <c r="S24" s="18"/>
    </row>
    <row r="25" spans="1:19" ht="14.25" x14ac:dyDescent="0.2">
      <c r="A25" s="22" t="s">
        <v>133</v>
      </c>
      <c r="B25" s="118">
        <v>319</v>
      </c>
      <c r="C25" s="111" t="s">
        <v>140</v>
      </c>
      <c r="D25" s="114">
        <f t="shared" si="1"/>
        <v>319.4065934065934</v>
      </c>
      <c r="E25" s="74"/>
      <c r="F25" s="118">
        <v>477</v>
      </c>
      <c r="G25" s="66" t="s">
        <v>140</v>
      </c>
      <c r="H25" s="68">
        <f t="shared" si="2"/>
        <v>477.11764705882354</v>
      </c>
      <c r="I25" s="23"/>
      <c r="J25" s="118">
        <v>770</v>
      </c>
      <c r="K25" s="66" t="s">
        <v>140</v>
      </c>
      <c r="L25" s="68">
        <f t="shared" si="3"/>
        <v>770.4171122994652</v>
      </c>
      <c r="M25" s="70"/>
      <c r="N25" s="70"/>
      <c r="O25" s="70"/>
      <c r="P25" s="70"/>
      <c r="Q25" s="18"/>
      <c r="R25" s="18"/>
      <c r="S25" s="18"/>
    </row>
    <row r="26" spans="1:19" ht="14.25" x14ac:dyDescent="0.2">
      <c r="A26" s="22" t="s">
        <v>134</v>
      </c>
      <c r="B26" s="118">
        <v>0</v>
      </c>
      <c r="C26" s="112" t="s">
        <v>140</v>
      </c>
      <c r="D26" s="115">
        <f t="shared" si="1"/>
        <v>49.725274725274723</v>
      </c>
      <c r="E26" s="74"/>
      <c r="F26" s="118">
        <v>0</v>
      </c>
      <c r="G26" s="67" t="s">
        <v>140</v>
      </c>
      <c r="H26" s="80">
        <f t="shared" si="2"/>
        <v>32.176470588235297</v>
      </c>
      <c r="I26" s="23"/>
      <c r="J26" s="118">
        <v>4</v>
      </c>
      <c r="K26" s="67" t="s">
        <v>140</v>
      </c>
      <c r="L26" s="68">
        <f t="shared" si="3"/>
        <v>19.449197860962567</v>
      </c>
      <c r="M26" s="70"/>
      <c r="N26" s="70"/>
      <c r="O26" s="70"/>
      <c r="P26" s="70"/>
      <c r="Q26" s="18"/>
      <c r="R26" s="18"/>
      <c r="S26" s="18"/>
    </row>
    <row r="27" spans="1:19" ht="14.25" x14ac:dyDescent="0.2">
      <c r="A27" s="18"/>
      <c r="B27" s="18"/>
      <c r="C27" s="18"/>
      <c r="D27" s="18"/>
      <c r="E27" s="70"/>
      <c r="F27" s="18"/>
      <c r="G27" s="26"/>
      <c r="H27" s="18"/>
      <c r="I27" s="18"/>
      <c r="J27" s="18"/>
      <c r="K27" s="18"/>
      <c r="L27" s="18"/>
      <c r="M27" s="70"/>
      <c r="N27" s="70"/>
      <c r="O27" s="70"/>
      <c r="P27" s="70"/>
      <c r="Q27" s="18"/>
      <c r="R27" s="18"/>
      <c r="S27" s="18"/>
    </row>
    <row r="28" spans="1:19" ht="14.25" x14ac:dyDescent="0.2">
      <c r="A28" s="101" t="s">
        <v>156</v>
      </c>
      <c r="B28" s="51" t="s">
        <v>157</v>
      </c>
      <c r="C28" s="48"/>
      <c r="D28" s="52" t="s">
        <v>146</v>
      </c>
      <c r="E28" s="75"/>
      <c r="F28" s="51" t="s">
        <v>158</v>
      </c>
      <c r="G28" s="48"/>
      <c r="H28" s="52" t="s">
        <v>147</v>
      </c>
      <c r="I28" s="18"/>
      <c r="J28" s="51" t="s">
        <v>159</v>
      </c>
      <c r="K28" s="48"/>
      <c r="L28" s="52" t="s">
        <v>146</v>
      </c>
      <c r="M28" s="70"/>
      <c r="N28" s="72"/>
      <c r="O28" s="70"/>
      <c r="P28" s="70"/>
      <c r="Q28" s="18"/>
      <c r="R28" s="18"/>
      <c r="S28" s="18"/>
    </row>
    <row r="29" spans="1:19" ht="14.25" x14ac:dyDescent="0.2">
      <c r="A29" s="18"/>
      <c r="B29" s="117">
        <f>SUMPRODUCT(B18:B26,G3:G11)</f>
        <v>1909699.7774631539</v>
      </c>
      <c r="C29" s="50" t="s">
        <v>140</v>
      </c>
      <c r="D29" s="69">
        <v>2200000</v>
      </c>
      <c r="E29" s="75"/>
      <c r="F29" s="117">
        <f>SUMPRODUCT(F18:F26,G3:G11)</f>
        <v>2997134.0223351172</v>
      </c>
      <c r="G29" s="50" t="s">
        <v>140</v>
      </c>
      <c r="H29" s="69">
        <v>3000000</v>
      </c>
      <c r="I29" s="23"/>
      <c r="J29" s="117">
        <f>SUMPRODUCT(J18:J26,G3:G11)</f>
        <v>4447047.2259292183</v>
      </c>
      <c r="K29" s="50" t="s">
        <v>140</v>
      </c>
      <c r="L29" s="69">
        <v>4500000</v>
      </c>
      <c r="M29" s="73"/>
      <c r="N29" s="72"/>
      <c r="O29" s="70"/>
      <c r="P29" s="70"/>
      <c r="Q29" s="18"/>
      <c r="R29" s="18"/>
      <c r="S29" s="18"/>
    </row>
    <row r="30" spans="1:19" ht="14.25" x14ac:dyDescent="0.2">
      <c r="A30" s="18"/>
      <c r="B30" s="18"/>
      <c r="C30" s="18"/>
      <c r="D30" s="18"/>
      <c r="E30" s="22"/>
      <c r="F30" s="24"/>
      <c r="G30" s="24"/>
      <c r="H30" s="27"/>
      <c r="I30" s="18"/>
      <c r="J30" s="18"/>
      <c r="K30" s="70"/>
      <c r="L30" s="71"/>
      <c r="M30" s="70"/>
      <c r="N30" s="72"/>
      <c r="O30" s="70"/>
      <c r="P30" s="70"/>
      <c r="Q30" s="18"/>
      <c r="R30" s="18"/>
      <c r="S30" s="18"/>
    </row>
    <row r="31" spans="1:19" ht="14.25" x14ac:dyDescent="0.2">
      <c r="A31" s="20" t="s">
        <v>143</v>
      </c>
      <c r="B31" s="85" t="s">
        <v>150</v>
      </c>
      <c r="C31" s="18"/>
      <c r="D31" s="18"/>
      <c r="E31" s="22"/>
      <c r="F31" s="24"/>
      <c r="G31" s="24"/>
      <c r="H31" s="27"/>
      <c r="I31" s="18"/>
      <c r="J31" s="18"/>
      <c r="K31" s="70"/>
      <c r="L31" s="70"/>
      <c r="M31" s="70"/>
      <c r="N31" s="70"/>
      <c r="O31" s="70"/>
      <c r="P31" s="70"/>
      <c r="Q31" s="18"/>
      <c r="R31" s="18"/>
      <c r="S31" s="18"/>
    </row>
    <row r="32" spans="1:19" ht="14.25" x14ac:dyDescent="0.2">
      <c r="A32" s="22" t="s">
        <v>126</v>
      </c>
      <c r="B32" s="84">
        <f>B18+F18+J18</f>
        <v>2511</v>
      </c>
      <c r="C32" s="79"/>
      <c r="D32" s="85" t="s">
        <v>160</v>
      </c>
      <c r="E32" s="22"/>
      <c r="F32" s="24"/>
      <c r="G32" s="24"/>
      <c r="H32" s="27"/>
      <c r="I32" s="18"/>
      <c r="J32" s="18"/>
      <c r="K32" s="70"/>
      <c r="L32" s="71"/>
      <c r="M32" s="70"/>
      <c r="N32" s="70"/>
      <c r="O32" s="70"/>
      <c r="P32" s="70"/>
      <c r="Q32" s="18"/>
      <c r="R32" s="18"/>
      <c r="S32" s="18"/>
    </row>
    <row r="33" spans="1:19" ht="14.25" x14ac:dyDescent="0.2">
      <c r="A33" s="22" t="s">
        <v>127</v>
      </c>
      <c r="B33" s="86">
        <f t="shared" ref="B33:B40" si="4">B19+F19+J19</f>
        <v>681</v>
      </c>
      <c r="C33" s="79"/>
      <c r="D33" s="102" t="s">
        <v>151</v>
      </c>
      <c r="E33" s="89"/>
      <c r="F33" s="103" t="s">
        <v>153</v>
      </c>
      <c r="G33" s="24"/>
      <c r="H33" s="27"/>
      <c r="I33" s="18"/>
      <c r="J33" s="18"/>
      <c r="K33" s="70"/>
      <c r="L33" s="74"/>
      <c r="M33" s="70"/>
      <c r="N33" s="70"/>
      <c r="O33" s="70"/>
      <c r="P33" s="70"/>
      <c r="Q33" s="18"/>
      <c r="R33" s="18"/>
      <c r="S33" s="18"/>
    </row>
    <row r="34" spans="1:19" ht="14.25" x14ac:dyDescent="0.2">
      <c r="A34" s="22" t="s">
        <v>128</v>
      </c>
      <c r="B34" s="86">
        <f t="shared" si="4"/>
        <v>1127</v>
      </c>
      <c r="C34" s="79"/>
      <c r="D34" s="122">
        <f>SUMPRODUCT(B32:B40,H3:H11)</f>
        <v>119998.48615155515</v>
      </c>
      <c r="E34" s="100" t="s">
        <v>152</v>
      </c>
      <c r="F34" s="90">
        <v>120000</v>
      </c>
      <c r="G34" s="24"/>
      <c r="H34" s="27"/>
      <c r="I34" s="18"/>
      <c r="J34" s="18"/>
      <c r="K34" s="70"/>
      <c r="L34" s="70"/>
      <c r="M34" s="70"/>
      <c r="N34" s="70"/>
      <c r="O34" s="70"/>
      <c r="P34" s="70"/>
      <c r="Q34" s="18"/>
      <c r="R34" s="18"/>
      <c r="S34" s="18"/>
    </row>
    <row r="35" spans="1:19" ht="14.25" x14ac:dyDescent="0.2">
      <c r="A35" s="22" t="s">
        <v>129</v>
      </c>
      <c r="B35" s="86">
        <f t="shared" si="4"/>
        <v>0</v>
      </c>
      <c r="C35" s="79"/>
      <c r="D35" s="18"/>
      <c r="E35" s="22"/>
      <c r="F35" s="24"/>
      <c r="G35" s="24"/>
      <c r="H35" s="27"/>
      <c r="I35" s="18"/>
      <c r="J35" s="18"/>
      <c r="K35" s="70"/>
      <c r="L35" s="70"/>
      <c r="M35" s="70"/>
      <c r="N35" s="70"/>
      <c r="O35" s="70"/>
      <c r="P35" s="70"/>
      <c r="Q35" s="18"/>
      <c r="R35" s="18"/>
      <c r="S35" s="18"/>
    </row>
    <row r="36" spans="1:19" ht="14.25" x14ac:dyDescent="0.2">
      <c r="A36" s="22" t="s">
        <v>130</v>
      </c>
      <c r="B36" s="86">
        <f t="shared" si="4"/>
        <v>751</v>
      </c>
      <c r="C36" s="79"/>
      <c r="D36" s="88" t="s">
        <v>154</v>
      </c>
      <c r="E36" s="92"/>
      <c r="F36" s="93"/>
      <c r="G36" s="24"/>
      <c r="H36" s="27"/>
      <c r="I36" s="18"/>
      <c r="J36" s="18"/>
      <c r="K36" s="70"/>
      <c r="L36" s="70"/>
      <c r="M36" s="70"/>
      <c r="N36" s="70"/>
      <c r="O36" s="70"/>
      <c r="P36" s="70"/>
      <c r="Q36" s="18"/>
      <c r="R36" s="18"/>
      <c r="S36" s="18"/>
    </row>
    <row r="37" spans="1:19" ht="14.25" x14ac:dyDescent="0.2">
      <c r="A37" s="22" t="s">
        <v>131</v>
      </c>
      <c r="B37" s="86">
        <f t="shared" si="4"/>
        <v>3695</v>
      </c>
      <c r="C37" s="79"/>
      <c r="D37" s="121">
        <f>SUMPRODUCT(B32:B40,I3:I11)</f>
        <v>180164.9339036789</v>
      </c>
      <c r="E37" s="94"/>
      <c r="F37" s="95"/>
      <c r="G37" s="24"/>
      <c r="H37" s="27"/>
      <c r="I37" s="18"/>
      <c r="J37" s="18"/>
      <c r="K37" s="70"/>
      <c r="L37" s="70"/>
      <c r="M37" s="70"/>
      <c r="N37" s="70"/>
      <c r="O37" s="70"/>
      <c r="P37" s="70"/>
      <c r="Q37" s="18"/>
      <c r="R37" s="18"/>
      <c r="S37" s="18"/>
    </row>
    <row r="38" spans="1:19" ht="14.25" x14ac:dyDescent="0.2">
      <c r="A38" s="22" t="s">
        <v>132</v>
      </c>
      <c r="B38" s="86">
        <f t="shared" si="4"/>
        <v>174</v>
      </c>
      <c r="C38" s="79"/>
      <c r="D38" s="91"/>
      <c r="E38" s="79"/>
      <c r="F38" s="96"/>
      <c r="G38" s="19"/>
      <c r="H38" s="19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1:19" ht="14.25" x14ac:dyDescent="0.2">
      <c r="A39" s="22" t="s">
        <v>133</v>
      </c>
      <c r="B39" s="86">
        <f t="shared" si="4"/>
        <v>1566</v>
      </c>
      <c r="C39" s="79"/>
      <c r="D39" s="99" t="s">
        <v>163</v>
      </c>
      <c r="E39" s="97"/>
      <c r="F39" s="98"/>
      <c r="G39" s="24"/>
      <c r="H39" s="27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</row>
    <row r="40" spans="1:19" ht="14.25" x14ac:dyDescent="0.2">
      <c r="A40" s="22" t="s">
        <v>134</v>
      </c>
      <c r="B40" s="87">
        <f t="shared" si="4"/>
        <v>4</v>
      </c>
      <c r="C40" s="79"/>
      <c r="D40" s="88" t="s">
        <v>161</v>
      </c>
      <c r="E40" s="97"/>
      <c r="F40" s="98"/>
      <c r="G40" s="24"/>
      <c r="H40" s="27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ht="14.25" x14ac:dyDescent="0.2">
      <c r="A41" s="18"/>
      <c r="B41" s="79"/>
      <c r="C41" s="79"/>
      <c r="D41" s="120">
        <f>D37-D34</f>
        <v>60166.447752123757</v>
      </c>
      <c r="E41" s="22"/>
      <c r="F41" s="24"/>
      <c r="G41" s="24"/>
      <c r="H41" s="27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</row>
    <row r="42" spans="1:19" ht="14.25" x14ac:dyDescent="0.2">
      <c r="A42" s="18"/>
      <c r="B42" s="18"/>
      <c r="C42" s="18"/>
      <c r="D42" s="18"/>
      <c r="E42" s="22"/>
      <c r="F42" s="24"/>
      <c r="G42" s="24"/>
      <c r="H42" s="27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 spans="1:19" ht="14.25" x14ac:dyDescent="0.2">
      <c r="A43" s="18"/>
      <c r="B43" s="18"/>
      <c r="C43" s="18"/>
      <c r="D43" s="18"/>
      <c r="E43" s="22"/>
      <c r="F43" s="24"/>
      <c r="G43" s="24"/>
      <c r="H43" s="27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19" ht="14.25" x14ac:dyDescent="0.2">
      <c r="A44" s="18"/>
      <c r="B44" s="18"/>
      <c r="C44" s="18"/>
      <c r="D44" s="18"/>
      <c r="E44" s="22"/>
      <c r="F44" s="24"/>
      <c r="G44" s="24"/>
      <c r="H44" s="27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spans="1:19" ht="14.25" x14ac:dyDescent="0.2">
      <c r="A45" s="20"/>
      <c r="B45" s="18"/>
      <c r="C45" s="22"/>
      <c r="D45" s="18"/>
      <c r="E45" s="22"/>
      <c r="F45" s="24"/>
      <c r="G45" s="24"/>
      <c r="H45" s="27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</row>
    <row r="46" spans="1:19" ht="14.25" x14ac:dyDescent="0.2">
      <c r="A46" s="18"/>
      <c r="B46" s="23"/>
      <c r="C46" s="116"/>
      <c r="D46" s="18"/>
      <c r="E46" s="22"/>
      <c r="F46" s="24"/>
      <c r="G46" s="24"/>
      <c r="H46" s="27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</row>
    <row r="47" spans="1:19" ht="14.25" x14ac:dyDescent="0.2">
      <c r="A47" s="20"/>
      <c r="B47" s="18"/>
      <c r="C47" s="22"/>
      <c r="D47" s="18"/>
      <c r="E47" s="22"/>
      <c r="F47" s="24"/>
      <c r="G47" s="24"/>
      <c r="H47" s="27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</row>
    <row r="48" spans="1:19" ht="14.25" x14ac:dyDescent="0.2">
      <c r="A48" s="18"/>
      <c r="B48" s="18"/>
      <c r="C48" s="18"/>
      <c r="D48" s="18"/>
      <c r="E48" s="22"/>
      <c r="F48" s="24"/>
      <c r="G48" s="24"/>
      <c r="H48" s="27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</row>
    <row r="49" spans="1:19" ht="14.25" x14ac:dyDescent="0.2">
      <c r="A49" s="20"/>
      <c r="B49" s="18"/>
      <c r="C49" s="18"/>
      <c r="D49" s="18"/>
      <c r="E49" s="18"/>
      <c r="F49" s="19"/>
      <c r="G49" s="19"/>
      <c r="H49" s="19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</row>
    <row r="50" spans="1:19" ht="14.25" x14ac:dyDescent="0.2">
      <c r="A50" s="28"/>
      <c r="B50" s="18"/>
      <c r="C50" s="18"/>
      <c r="D50" s="18"/>
      <c r="E50" s="18"/>
      <c r="F50" s="19"/>
      <c r="G50" s="19"/>
      <c r="H50" s="19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</row>
    <row r="51" spans="1:19" ht="14.25" x14ac:dyDescent="0.2">
      <c r="A51" s="18"/>
      <c r="B51" s="18"/>
      <c r="C51" s="18"/>
      <c r="D51" s="18"/>
      <c r="E51" s="18"/>
      <c r="F51" s="19"/>
      <c r="G51" s="19"/>
      <c r="H51" s="19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</row>
    <row r="52" spans="1:19" ht="14.25" x14ac:dyDescent="0.2">
      <c r="A52" s="18"/>
      <c r="B52" s="18"/>
      <c r="C52" s="18"/>
      <c r="D52" s="18"/>
      <c r="E52" s="18"/>
      <c r="F52" s="19"/>
      <c r="G52" s="19"/>
      <c r="H52" s="19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</row>
    <row r="53" spans="1:19" ht="14.25" x14ac:dyDescent="0.2">
      <c r="A53" s="18"/>
      <c r="B53" s="18"/>
      <c r="C53" s="18"/>
      <c r="D53" s="18"/>
      <c r="E53" s="18"/>
      <c r="F53" s="19"/>
      <c r="G53" s="19"/>
      <c r="H53" s="19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</row>
    <row r="54" spans="1:19" ht="14.25" x14ac:dyDescent="0.2">
      <c r="A54" s="18"/>
      <c r="B54" s="18"/>
      <c r="C54" s="18"/>
      <c r="D54" s="18"/>
      <c r="E54" s="18"/>
      <c r="F54" s="19"/>
      <c r="G54" s="19"/>
      <c r="H54" s="19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</row>
    <row r="55" spans="1:19" ht="14.25" x14ac:dyDescent="0.2">
      <c r="F55" s="16"/>
      <c r="G55" s="16"/>
      <c r="H55" s="16"/>
    </row>
    <row r="56" spans="1:19" ht="14.25" x14ac:dyDescent="0.2">
      <c r="F56" s="16"/>
      <c r="G56" s="16"/>
      <c r="H56" s="16"/>
    </row>
    <row r="57" spans="1:19" ht="14.25" x14ac:dyDescent="0.2">
      <c r="F57" s="16"/>
      <c r="G57" s="16"/>
      <c r="H57" s="16"/>
    </row>
    <row r="58" spans="1:19" ht="14.25" x14ac:dyDescent="0.2">
      <c r="F58" s="16"/>
      <c r="G58" s="16"/>
      <c r="H58" s="16"/>
    </row>
    <row r="59" spans="1:19" ht="14.25" x14ac:dyDescent="0.2">
      <c r="F59" s="16"/>
      <c r="G59" s="16"/>
      <c r="H59" s="16"/>
    </row>
    <row r="60" spans="1:19" ht="14.25" x14ac:dyDescent="0.2">
      <c r="F60" s="16"/>
      <c r="G60" s="16"/>
      <c r="H60" s="16"/>
    </row>
    <row r="61" spans="1:19" ht="14.25" x14ac:dyDescent="0.2">
      <c r="F61" s="16"/>
      <c r="G61" s="16"/>
      <c r="H61" s="16"/>
    </row>
    <row r="62" spans="1:19" ht="14.25" x14ac:dyDescent="0.2">
      <c r="F62" s="16"/>
      <c r="G62" s="16"/>
      <c r="H62" s="16"/>
    </row>
    <row r="63" spans="1:19" ht="14.25" x14ac:dyDescent="0.2">
      <c r="F63" s="16"/>
      <c r="G63" s="16"/>
      <c r="H63" s="16"/>
    </row>
    <row r="64" spans="1:19" ht="14.25" x14ac:dyDescent="0.2">
      <c r="F64" s="16"/>
      <c r="G64" s="16"/>
      <c r="H64" s="16"/>
    </row>
    <row r="65" spans="6:8" ht="14.25" x14ac:dyDescent="0.2">
      <c r="F65" s="16"/>
      <c r="G65" s="16"/>
      <c r="H65" s="16"/>
    </row>
    <row r="66" spans="6:8" ht="14.25" x14ac:dyDescent="0.2">
      <c r="F66" s="16"/>
      <c r="G66" s="16"/>
      <c r="H66" s="16"/>
    </row>
    <row r="67" spans="6:8" ht="14.25" x14ac:dyDescent="0.2">
      <c r="F67" s="16"/>
      <c r="G67" s="16"/>
      <c r="H67" s="16"/>
    </row>
    <row r="68" spans="6:8" ht="14.25" x14ac:dyDescent="0.2">
      <c r="F68" s="16"/>
      <c r="G68" s="16"/>
      <c r="H68" s="16"/>
    </row>
    <row r="69" spans="6:8" ht="14.25" x14ac:dyDescent="0.2">
      <c r="F69" s="16"/>
      <c r="G69" s="16"/>
      <c r="H69" s="16"/>
    </row>
    <row r="70" spans="6:8" ht="14.25" x14ac:dyDescent="0.2">
      <c r="F70" s="16"/>
      <c r="G70" s="16"/>
      <c r="H70" s="16"/>
    </row>
    <row r="71" spans="6:8" ht="14.25" x14ac:dyDescent="0.2">
      <c r="F71" s="16"/>
      <c r="G71" s="16"/>
      <c r="H71" s="16"/>
    </row>
    <row r="72" spans="6:8" ht="14.25" x14ac:dyDescent="0.2">
      <c r="F72" s="16"/>
      <c r="G72" s="16"/>
      <c r="H72" s="16"/>
    </row>
    <row r="73" spans="6:8" ht="14.25" x14ac:dyDescent="0.2">
      <c r="F73" s="16"/>
      <c r="G73" s="16"/>
      <c r="H73" s="16"/>
    </row>
    <row r="74" spans="6:8" ht="14.25" x14ac:dyDescent="0.2">
      <c r="F74" s="16"/>
      <c r="G74" s="16"/>
      <c r="H74" s="16"/>
    </row>
    <row r="75" spans="6:8" ht="14.25" x14ac:dyDescent="0.2">
      <c r="F75" s="16"/>
      <c r="G75" s="16"/>
      <c r="H75" s="16"/>
    </row>
    <row r="76" spans="6:8" ht="14.25" x14ac:dyDescent="0.2">
      <c r="F76" s="16"/>
      <c r="G76" s="16"/>
      <c r="H76" s="16"/>
    </row>
    <row r="77" spans="6:8" ht="14.25" x14ac:dyDescent="0.2">
      <c r="F77" s="16"/>
      <c r="G77" s="16"/>
      <c r="H77" s="16"/>
    </row>
    <row r="78" spans="6:8" ht="14.25" x14ac:dyDescent="0.2">
      <c r="F78" s="16"/>
      <c r="G78" s="16"/>
      <c r="H78" s="16"/>
    </row>
    <row r="79" spans="6:8" ht="14.25" x14ac:dyDescent="0.2">
      <c r="F79" s="16"/>
      <c r="G79" s="16"/>
      <c r="H79" s="16"/>
    </row>
    <row r="80" spans="6:8" ht="14.25" x14ac:dyDescent="0.2">
      <c r="F80" s="16"/>
      <c r="G80" s="16"/>
      <c r="H80" s="16"/>
    </row>
    <row r="81" spans="6:8" ht="14.25" x14ac:dyDescent="0.2">
      <c r="F81" s="16"/>
      <c r="G81" s="16"/>
      <c r="H81" s="16"/>
    </row>
    <row r="82" spans="6:8" ht="14.25" x14ac:dyDescent="0.2">
      <c r="F82" s="16"/>
      <c r="G82" s="16"/>
      <c r="H82" s="16"/>
    </row>
    <row r="83" spans="6:8" ht="14.25" x14ac:dyDescent="0.2">
      <c r="F83" s="16"/>
      <c r="G83" s="16"/>
      <c r="H83" s="16"/>
    </row>
    <row r="84" spans="6:8" ht="14.25" x14ac:dyDescent="0.2">
      <c r="F84" s="16"/>
      <c r="G84" s="16"/>
      <c r="H84" s="16"/>
    </row>
    <row r="85" spans="6:8" ht="14.25" x14ac:dyDescent="0.2">
      <c r="F85" s="16"/>
      <c r="G85" s="16"/>
      <c r="H85" s="16"/>
    </row>
    <row r="86" spans="6:8" ht="14.25" x14ac:dyDescent="0.2">
      <c r="F86" s="16"/>
      <c r="G86" s="16"/>
      <c r="H86" s="16"/>
    </row>
    <row r="87" spans="6:8" ht="14.25" x14ac:dyDescent="0.2">
      <c r="F87" s="16"/>
      <c r="G87" s="16"/>
      <c r="H87" s="16"/>
    </row>
    <row r="88" spans="6:8" ht="14.25" x14ac:dyDescent="0.2">
      <c r="F88" s="16"/>
      <c r="G88" s="16"/>
      <c r="H88" s="16"/>
    </row>
    <row r="89" spans="6:8" ht="14.25" x14ac:dyDescent="0.2">
      <c r="F89" s="16"/>
      <c r="G89" s="16"/>
      <c r="H89" s="16"/>
    </row>
    <row r="90" spans="6:8" ht="14.25" x14ac:dyDescent="0.2">
      <c r="F90" s="16"/>
      <c r="G90" s="16"/>
      <c r="H90" s="16"/>
    </row>
    <row r="91" spans="6:8" ht="14.25" x14ac:dyDescent="0.2">
      <c r="F91" s="16"/>
      <c r="G91" s="16"/>
      <c r="H91" s="16"/>
    </row>
    <row r="92" spans="6:8" ht="14.25" x14ac:dyDescent="0.2">
      <c r="F92" s="16"/>
      <c r="G92" s="16"/>
      <c r="H92" s="16"/>
    </row>
    <row r="93" spans="6:8" ht="14.25" x14ac:dyDescent="0.2">
      <c r="F93" s="16"/>
      <c r="G93" s="16"/>
      <c r="H93" s="16"/>
    </row>
    <row r="94" spans="6:8" ht="14.25" x14ac:dyDescent="0.2">
      <c r="F94" s="16"/>
      <c r="G94" s="16"/>
      <c r="H94" s="16"/>
    </row>
    <row r="95" spans="6:8" ht="14.25" x14ac:dyDescent="0.2">
      <c r="F95" s="16"/>
      <c r="G95" s="16"/>
      <c r="H95" s="16"/>
    </row>
    <row r="96" spans="6:8" ht="14.25" x14ac:dyDescent="0.2">
      <c r="F96" s="16"/>
      <c r="G96" s="16"/>
      <c r="H96" s="16"/>
    </row>
    <row r="97" spans="6:8" ht="14.25" x14ac:dyDescent="0.2">
      <c r="F97" s="16"/>
      <c r="G97" s="16"/>
      <c r="H97" s="16"/>
    </row>
    <row r="98" spans="6:8" ht="14.25" x14ac:dyDescent="0.2">
      <c r="F98" s="16"/>
      <c r="G98" s="16"/>
      <c r="H98" s="16"/>
    </row>
    <row r="99" spans="6:8" ht="14.25" x14ac:dyDescent="0.2">
      <c r="F99" s="16"/>
      <c r="G99" s="16"/>
      <c r="H99" s="16"/>
    </row>
    <row r="100" spans="6:8" ht="14.25" x14ac:dyDescent="0.2">
      <c r="F100" s="16"/>
      <c r="G100" s="16"/>
      <c r="H100" s="16"/>
    </row>
    <row r="101" spans="6:8" ht="14.25" x14ac:dyDescent="0.2">
      <c r="F101" s="16"/>
      <c r="G101" s="16"/>
      <c r="H101" s="16"/>
    </row>
    <row r="102" spans="6:8" ht="14.25" x14ac:dyDescent="0.2">
      <c r="F102" s="16"/>
      <c r="G102" s="16"/>
      <c r="H102" s="16"/>
    </row>
    <row r="103" spans="6:8" ht="14.25" x14ac:dyDescent="0.2">
      <c r="F103" s="16"/>
      <c r="G103" s="16"/>
      <c r="H103" s="16"/>
    </row>
    <row r="104" spans="6:8" ht="14.25" x14ac:dyDescent="0.2">
      <c r="F104" s="16"/>
      <c r="G104" s="16"/>
      <c r="H104" s="16"/>
    </row>
    <row r="105" spans="6:8" ht="14.25" x14ac:dyDescent="0.2">
      <c r="F105" s="16"/>
      <c r="G105" s="16"/>
      <c r="H105" s="16"/>
    </row>
    <row r="106" spans="6:8" ht="14.25" x14ac:dyDescent="0.2">
      <c r="F106" s="16"/>
      <c r="G106" s="16"/>
      <c r="H106" s="16"/>
    </row>
    <row r="107" spans="6:8" ht="14.25" x14ac:dyDescent="0.2">
      <c r="F107" s="16"/>
      <c r="G107" s="16"/>
      <c r="H107" s="16"/>
    </row>
    <row r="108" spans="6:8" ht="14.25" x14ac:dyDescent="0.2">
      <c r="F108" s="16"/>
      <c r="G108" s="16"/>
      <c r="H108" s="16"/>
    </row>
    <row r="109" spans="6:8" ht="14.25" x14ac:dyDescent="0.2">
      <c r="F109" s="16"/>
      <c r="G109" s="16"/>
      <c r="H109" s="16"/>
    </row>
    <row r="110" spans="6:8" ht="14.25" x14ac:dyDescent="0.2">
      <c r="F110" s="16"/>
      <c r="G110" s="16"/>
      <c r="H110" s="16"/>
    </row>
    <row r="111" spans="6:8" ht="14.25" x14ac:dyDescent="0.2">
      <c r="F111" s="16"/>
      <c r="G111" s="16"/>
      <c r="H111" s="16"/>
    </row>
    <row r="112" spans="6:8" ht="14.25" x14ac:dyDescent="0.2">
      <c r="F112" s="16"/>
      <c r="G112" s="16"/>
      <c r="H112" s="16"/>
    </row>
    <row r="113" spans="6:8" ht="14.25" x14ac:dyDescent="0.2">
      <c r="F113" s="16"/>
      <c r="G113" s="16"/>
      <c r="H113" s="16"/>
    </row>
    <row r="114" spans="6:8" ht="14.25" x14ac:dyDescent="0.2">
      <c r="F114" s="16"/>
      <c r="G114" s="16"/>
      <c r="H114" s="16"/>
    </row>
    <row r="115" spans="6:8" ht="14.25" x14ac:dyDescent="0.2">
      <c r="F115" s="16"/>
      <c r="G115" s="16"/>
      <c r="H115" s="16"/>
    </row>
    <row r="116" spans="6:8" ht="14.25" x14ac:dyDescent="0.2">
      <c r="F116" s="16"/>
      <c r="G116" s="16"/>
      <c r="H116" s="16"/>
    </row>
    <row r="117" spans="6:8" ht="14.25" x14ac:dyDescent="0.2">
      <c r="F117" s="16"/>
      <c r="G117" s="16"/>
      <c r="H117" s="16"/>
    </row>
    <row r="118" spans="6:8" ht="14.25" x14ac:dyDescent="0.2">
      <c r="F118" s="16"/>
      <c r="G118" s="16"/>
      <c r="H118" s="16"/>
    </row>
    <row r="119" spans="6:8" ht="14.25" x14ac:dyDescent="0.2">
      <c r="F119" s="16"/>
      <c r="G119" s="16"/>
      <c r="H119" s="16"/>
    </row>
    <row r="120" spans="6:8" ht="14.25" x14ac:dyDescent="0.2">
      <c r="F120" s="16"/>
      <c r="G120" s="16"/>
      <c r="H120" s="16"/>
    </row>
    <row r="121" spans="6:8" ht="14.25" x14ac:dyDescent="0.2">
      <c r="F121" s="16"/>
      <c r="G121" s="16"/>
      <c r="H121" s="16"/>
    </row>
    <row r="122" spans="6:8" ht="14.25" x14ac:dyDescent="0.2">
      <c r="F122" s="16"/>
      <c r="G122" s="16"/>
      <c r="H122" s="16"/>
    </row>
    <row r="123" spans="6:8" ht="14.25" x14ac:dyDescent="0.2">
      <c r="F123" s="16"/>
      <c r="G123" s="16"/>
      <c r="H123" s="16"/>
    </row>
    <row r="124" spans="6:8" ht="14.25" x14ac:dyDescent="0.2">
      <c r="F124" s="16"/>
      <c r="G124" s="16"/>
      <c r="H124" s="16"/>
    </row>
    <row r="125" spans="6:8" ht="14.25" x14ac:dyDescent="0.2">
      <c r="F125" s="16"/>
      <c r="G125" s="16"/>
      <c r="H125" s="16"/>
    </row>
    <row r="126" spans="6:8" ht="14.25" x14ac:dyDescent="0.2">
      <c r="F126" s="16"/>
      <c r="G126" s="16"/>
      <c r="H126" s="16"/>
    </row>
    <row r="127" spans="6:8" ht="14.25" x14ac:dyDescent="0.2">
      <c r="F127" s="16"/>
      <c r="G127" s="16"/>
      <c r="H127" s="16"/>
    </row>
    <row r="128" spans="6:8" ht="14.25" x14ac:dyDescent="0.2">
      <c r="F128" s="16"/>
      <c r="G128" s="16"/>
      <c r="H128" s="16"/>
    </row>
    <row r="129" spans="6:8" ht="14.25" x14ac:dyDescent="0.2">
      <c r="F129" s="16"/>
      <c r="G129" s="16"/>
      <c r="H129" s="16"/>
    </row>
    <row r="130" spans="6:8" ht="14.25" x14ac:dyDescent="0.2">
      <c r="F130" s="16"/>
      <c r="G130" s="16"/>
      <c r="H130" s="16"/>
    </row>
    <row r="131" spans="6:8" ht="14.25" x14ac:dyDescent="0.2">
      <c r="F131" s="16"/>
      <c r="G131" s="16"/>
      <c r="H131" s="16"/>
    </row>
    <row r="132" spans="6:8" ht="14.25" x14ac:dyDescent="0.2">
      <c r="F132" s="16"/>
      <c r="G132" s="16"/>
      <c r="H132" s="16"/>
    </row>
    <row r="133" spans="6:8" ht="14.25" x14ac:dyDescent="0.2">
      <c r="F133" s="16"/>
      <c r="G133" s="16"/>
      <c r="H133" s="16"/>
    </row>
    <row r="134" spans="6:8" ht="14.25" x14ac:dyDescent="0.2">
      <c r="F134" s="16"/>
      <c r="G134" s="16"/>
      <c r="H134" s="16"/>
    </row>
    <row r="135" spans="6:8" ht="14.25" x14ac:dyDescent="0.2">
      <c r="F135" s="16"/>
      <c r="G135" s="16"/>
      <c r="H135" s="16"/>
    </row>
    <row r="136" spans="6:8" ht="14.25" x14ac:dyDescent="0.2">
      <c r="F136" s="16"/>
      <c r="G136" s="16"/>
      <c r="H136" s="16"/>
    </row>
    <row r="137" spans="6:8" ht="14.25" x14ac:dyDescent="0.2">
      <c r="F137" s="16"/>
      <c r="G137" s="16"/>
      <c r="H137" s="16"/>
    </row>
    <row r="138" spans="6:8" ht="14.25" x14ac:dyDescent="0.2">
      <c r="F138" s="16"/>
      <c r="G138" s="16"/>
      <c r="H138" s="16"/>
    </row>
    <row r="139" spans="6:8" ht="14.25" x14ac:dyDescent="0.2">
      <c r="F139" s="16"/>
      <c r="G139" s="16"/>
      <c r="H139" s="16"/>
    </row>
    <row r="140" spans="6:8" ht="14.25" x14ac:dyDescent="0.2">
      <c r="F140" s="16"/>
      <c r="G140" s="16"/>
      <c r="H140" s="16"/>
    </row>
    <row r="141" spans="6:8" ht="14.25" x14ac:dyDescent="0.2">
      <c r="F141" s="16"/>
      <c r="G141" s="16"/>
      <c r="H141" s="16"/>
    </row>
    <row r="142" spans="6:8" ht="14.25" x14ac:dyDescent="0.2">
      <c r="F142" s="16"/>
      <c r="G142" s="16"/>
      <c r="H142" s="16"/>
    </row>
    <row r="143" spans="6:8" ht="14.25" x14ac:dyDescent="0.2">
      <c r="F143" s="16"/>
      <c r="G143" s="16"/>
      <c r="H143" s="16"/>
    </row>
    <row r="144" spans="6:8" ht="14.25" x14ac:dyDescent="0.2">
      <c r="F144" s="16"/>
      <c r="G144" s="16"/>
      <c r="H144" s="16"/>
    </row>
    <row r="145" spans="6:8" ht="14.25" x14ac:dyDescent="0.2">
      <c r="F145" s="16"/>
      <c r="G145" s="16"/>
      <c r="H145" s="16"/>
    </row>
    <row r="146" spans="6:8" ht="14.25" x14ac:dyDescent="0.2">
      <c r="F146" s="16"/>
      <c r="G146" s="16"/>
      <c r="H146" s="16"/>
    </row>
    <row r="147" spans="6:8" ht="14.25" x14ac:dyDescent="0.2">
      <c r="F147" s="16"/>
      <c r="G147" s="16"/>
      <c r="H147" s="16"/>
    </row>
    <row r="148" spans="6:8" ht="14.25" x14ac:dyDescent="0.2">
      <c r="F148" s="16"/>
      <c r="G148" s="16"/>
      <c r="H148" s="16"/>
    </row>
    <row r="149" spans="6:8" ht="14.25" x14ac:dyDescent="0.2">
      <c r="F149" s="16"/>
      <c r="G149" s="16"/>
      <c r="H149" s="16"/>
    </row>
    <row r="150" spans="6:8" ht="14.25" x14ac:dyDescent="0.2">
      <c r="F150" s="16"/>
      <c r="G150" s="16"/>
      <c r="H150" s="16"/>
    </row>
    <row r="151" spans="6:8" ht="14.25" x14ac:dyDescent="0.2">
      <c r="F151" s="16"/>
      <c r="G151" s="16"/>
      <c r="H151" s="16"/>
    </row>
    <row r="152" spans="6:8" ht="14.25" x14ac:dyDescent="0.2">
      <c r="F152" s="16"/>
      <c r="G152" s="16"/>
      <c r="H152" s="16"/>
    </row>
    <row r="153" spans="6:8" ht="14.25" x14ac:dyDescent="0.2">
      <c r="F153" s="16"/>
      <c r="G153" s="16"/>
      <c r="H153" s="16"/>
    </row>
    <row r="154" spans="6:8" ht="14.25" x14ac:dyDescent="0.2">
      <c r="F154" s="16"/>
      <c r="G154" s="16"/>
      <c r="H154" s="16"/>
    </row>
    <row r="155" spans="6:8" ht="14.25" x14ac:dyDescent="0.2">
      <c r="F155" s="16"/>
      <c r="G155" s="16"/>
      <c r="H155" s="16"/>
    </row>
    <row r="156" spans="6:8" ht="14.25" x14ac:dyDescent="0.2">
      <c r="F156" s="16"/>
      <c r="G156" s="16"/>
      <c r="H156" s="16"/>
    </row>
    <row r="157" spans="6:8" ht="14.25" x14ac:dyDescent="0.2">
      <c r="F157" s="16"/>
      <c r="G157" s="16"/>
      <c r="H157" s="16"/>
    </row>
    <row r="158" spans="6:8" ht="14.25" x14ac:dyDescent="0.2">
      <c r="F158" s="16"/>
      <c r="G158" s="16"/>
      <c r="H158" s="16"/>
    </row>
    <row r="159" spans="6:8" ht="14.25" x14ac:dyDescent="0.2">
      <c r="F159" s="16"/>
      <c r="G159" s="16"/>
      <c r="H159" s="16"/>
    </row>
    <row r="160" spans="6:8" ht="14.25" x14ac:dyDescent="0.2">
      <c r="F160" s="16"/>
      <c r="G160" s="16"/>
      <c r="H160" s="16"/>
    </row>
    <row r="161" spans="6:8" ht="14.25" x14ac:dyDescent="0.2">
      <c r="F161" s="16"/>
      <c r="G161" s="16"/>
      <c r="H161" s="16"/>
    </row>
    <row r="162" spans="6:8" ht="14.25" x14ac:dyDescent="0.2">
      <c r="F162" s="16"/>
      <c r="G162" s="16"/>
      <c r="H162" s="16"/>
    </row>
    <row r="163" spans="6:8" ht="14.25" x14ac:dyDescent="0.2">
      <c r="F163" s="16"/>
      <c r="G163" s="16"/>
      <c r="H163" s="16"/>
    </row>
    <row r="164" spans="6:8" ht="14.25" x14ac:dyDescent="0.2">
      <c r="F164" s="16"/>
      <c r="G164" s="16"/>
      <c r="H164" s="16"/>
    </row>
    <row r="165" spans="6:8" ht="14.25" x14ac:dyDescent="0.2">
      <c r="F165" s="16"/>
      <c r="G165" s="16"/>
      <c r="H165" s="16"/>
    </row>
    <row r="166" spans="6:8" ht="14.25" x14ac:dyDescent="0.2">
      <c r="F166" s="16"/>
      <c r="G166" s="16"/>
      <c r="H166" s="16"/>
    </row>
    <row r="167" spans="6:8" ht="14.25" x14ac:dyDescent="0.2">
      <c r="F167" s="16"/>
      <c r="G167" s="16"/>
      <c r="H167" s="16"/>
    </row>
    <row r="168" spans="6:8" ht="14.25" x14ac:dyDescent="0.2">
      <c r="F168" s="16"/>
      <c r="G168" s="16"/>
      <c r="H168" s="16"/>
    </row>
    <row r="169" spans="6:8" ht="14.25" x14ac:dyDescent="0.2">
      <c r="F169" s="16"/>
      <c r="G169" s="16"/>
      <c r="H169" s="16"/>
    </row>
    <row r="170" spans="6:8" ht="14.25" x14ac:dyDescent="0.2">
      <c r="F170" s="16"/>
      <c r="G170" s="16"/>
      <c r="H170" s="16"/>
    </row>
    <row r="171" spans="6:8" ht="14.25" x14ac:dyDescent="0.2">
      <c r="F171" s="16"/>
      <c r="G171" s="16"/>
      <c r="H171" s="16"/>
    </row>
    <row r="172" spans="6:8" ht="14.25" x14ac:dyDescent="0.2">
      <c r="F172" s="16"/>
      <c r="G172" s="16"/>
      <c r="H172" s="16"/>
    </row>
    <row r="173" spans="6:8" ht="14.25" x14ac:dyDescent="0.2">
      <c r="F173" s="16"/>
      <c r="G173" s="16"/>
      <c r="H173" s="16"/>
    </row>
    <row r="174" spans="6:8" ht="14.25" x14ac:dyDescent="0.2">
      <c r="F174" s="16"/>
      <c r="G174" s="16"/>
      <c r="H174" s="16"/>
    </row>
    <row r="175" spans="6:8" ht="14.25" x14ac:dyDescent="0.2">
      <c r="F175" s="16"/>
      <c r="G175" s="16"/>
      <c r="H175" s="16"/>
    </row>
    <row r="176" spans="6:8" ht="14.25" x14ac:dyDescent="0.2">
      <c r="F176" s="16"/>
      <c r="G176" s="16"/>
      <c r="H176" s="16"/>
    </row>
    <row r="177" spans="6:8" ht="14.25" x14ac:dyDescent="0.2">
      <c r="F177" s="16"/>
      <c r="G177" s="16"/>
      <c r="H177" s="16"/>
    </row>
    <row r="178" spans="6:8" ht="14.25" x14ac:dyDescent="0.2">
      <c r="F178" s="16"/>
      <c r="G178" s="16"/>
      <c r="H178" s="16"/>
    </row>
    <row r="179" spans="6:8" ht="14.25" x14ac:dyDescent="0.2">
      <c r="F179" s="16"/>
      <c r="G179" s="16"/>
      <c r="H179" s="16"/>
    </row>
    <row r="180" spans="6:8" ht="14.25" x14ac:dyDescent="0.2">
      <c r="F180" s="16"/>
      <c r="G180" s="16"/>
      <c r="H180" s="16"/>
    </row>
    <row r="181" spans="6:8" ht="14.25" x14ac:dyDescent="0.2">
      <c r="F181" s="16"/>
      <c r="G181" s="16"/>
      <c r="H181" s="16"/>
    </row>
    <row r="182" spans="6:8" ht="14.25" x14ac:dyDescent="0.2">
      <c r="F182" s="16"/>
      <c r="G182" s="16"/>
      <c r="H182" s="16"/>
    </row>
    <row r="183" spans="6:8" ht="14.25" x14ac:dyDescent="0.2">
      <c r="F183" s="16"/>
      <c r="G183" s="16"/>
      <c r="H183" s="16"/>
    </row>
    <row r="184" spans="6:8" ht="14.25" x14ac:dyDescent="0.2">
      <c r="F184" s="16"/>
      <c r="G184" s="16"/>
      <c r="H184" s="16"/>
    </row>
    <row r="185" spans="6:8" ht="14.25" x14ac:dyDescent="0.2">
      <c r="F185" s="16"/>
      <c r="G185" s="16"/>
      <c r="H185" s="16"/>
    </row>
    <row r="186" spans="6:8" ht="14.25" x14ac:dyDescent="0.2">
      <c r="F186" s="16"/>
      <c r="G186" s="16"/>
      <c r="H186" s="16"/>
    </row>
    <row r="187" spans="6:8" ht="14.25" x14ac:dyDescent="0.2">
      <c r="F187" s="16"/>
      <c r="G187" s="16"/>
      <c r="H187" s="16"/>
    </row>
    <row r="188" spans="6:8" ht="14.25" x14ac:dyDescent="0.2">
      <c r="F188" s="16"/>
      <c r="G188" s="16"/>
      <c r="H188" s="16"/>
    </row>
    <row r="189" spans="6:8" ht="14.25" x14ac:dyDescent="0.2">
      <c r="F189" s="16"/>
      <c r="G189" s="16"/>
      <c r="H189" s="16"/>
    </row>
    <row r="190" spans="6:8" ht="14.25" x14ac:dyDescent="0.2">
      <c r="F190" s="16"/>
      <c r="G190" s="16"/>
      <c r="H190" s="16"/>
    </row>
    <row r="191" spans="6:8" ht="14.25" x14ac:dyDescent="0.2">
      <c r="F191" s="16"/>
      <c r="G191" s="16"/>
      <c r="H191" s="16"/>
    </row>
    <row r="192" spans="6:8" ht="14.25" x14ac:dyDescent="0.2">
      <c r="F192" s="16"/>
      <c r="G192" s="16"/>
      <c r="H192" s="16"/>
    </row>
    <row r="193" spans="6:8" ht="14.25" x14ac:dyDescent="0.2">
      <c r="F193" s="16"/>
      <c r="G193" s="16"/>
      <c r="H193" s="16"/>
    </row>
    <row r="194" spans="6:8" ht="14.25" x14ac:dyDescent="0.2">
      <c r="F194" s="16"/>
      <c r="G194" s="16"/>
      <c r="H194" s="16"/>
    </row>
    <row r="195" spans="6:8" ht="14.25" x14ac:dyDescent="0.2">
      <c r="F195" s="16"/>
      <c r="G195" s="16"/>
      <c r="H195" s="16"/>
    </row>
    <row r="196" spans="6:8" ht="14.25" x14ac:dyDescent="0.2">
      <c r="F196" s="16"/>
      <c r="G196" s="16"/>
      <c r="H196" s="16"/>
    </row>
    <row r="197" spans="6:8" ht="14.25" x14ac:dyDescent="0.2">
      <c r="F197" s="16"/>
      <c r="G197" s="16"/>
      <c r="H197" s="16"/>
    </row>
    <row r="198" spans="6:8" ht="14.25" x14ac:dyDescent="0.2">
      <c r="F198" s="16"/>
      <c r="G198" s="16"/>
      <c r="H198" s="16"/>
    </row>
    <row r="199" spans="6:8" ht="14.25" x14ac:dyDescent="0.2">
      <c r="F199" s="16"/>
      <c r="G199" s="16"/>
      <c r="H199" s="16"/>
    </row>
    <row r="200" spans="6:8" ht="14.25" x14ac:dyDescent="0.2">
      <c r="F200" s="16"/>
      <c r="G200" s="16"/>
      <c r="H200" s="16"/>
    </row>
    <row r="201" spans="6:8" ht="14.25" x14ac:dyDescent="0.2">
      <c r="F201" s="16"/>
      <c r="G201" s="16"/>
      <c r="H201" s="16"/>
    </row>
    <row r="202" spans="6:8" ht="14.25" x14ac:dyDescent="0.2">
      <c r="F202" s="16"/>
      <c r="G202" s="16"/>
      <c r="H202" s="16"/>
    </row>
    <row r="203" spans="6:8" ht="14.25" x14ac:dyDescent="0.2">
      <c r="F203" s="16"/>
      <c r="G203" s="16"/>
      <c r="H203" s="16"/>
    </row>
    <row r="204" spans="6:8" ht="14.25" x14ac:dyDescent="0.2">
      <c r="F204" s="16"/>
      <c r="G204" s="16"/>
      <c r="H204" s="16"/>
    </row>
    <row r="205" spans="6:8" ht="14.25" x14ac:dyDescent="0.2">
      <c r="F205" s="16"/>
      <c r="G205" s="16"/>
      <c r="H205" s="16"/>
    </row>
    <row r="206" spans="6:8" ht="14.25" x14ac:dyDescent="0.2">
      <c r="F206" s="16"/>
      <c r="G206" s="16"/>
      <c r="H206" s="16"/>
    </row>
    <row r="207" spans="6:8" ht="14.25" x14ac:dyDescent="0.2">
      <c r="F207" s="16"/>
      <c r="G207" s="16"/>
      <c r="H207" s="16"/>
    </row>
    <row r="208" spans="6:8" ht="14.25" x14ac:dyDescent="0.2">
      <c r="F208" s="16"/>
      <c r="G208" s="16"/>
      <c r="H208" s="16"/>
    </row>
    <row r="209" spans="6:8" ht="14.25" x14ac:dyDescent="0.2">
      <c r="F209" s="16"/>
      <c r="G209" s="16"/>
      <c r="H209" s="16"/>
    </row>
    <row r="210" spans="6:8" ht="14.25" x14ac:dyDescent="0.2">
      <c r="F210" s="16"/>
      <c r="G210" s="16"/>
      <c r="H210" s="16"/>
    </row>
    <row r="211" spans="6:8" ht="14.25" x14ac:dyDescent="0.2">
      <c r="F211" s="16"/>
      <c r="G211" s="16"/>
      <c r="H211" s="16"/>
    </row>
    <row r="212" spans="6:8" ht="14.25" x14ac:dyDescent="0.2">
      <c r="F212" s="16"/>
      <c r="G212" s="16"/>
      <c r="H212" s="16"/>
    </row>
    <row r="213" spans="6:8" ht="14.25" x14ac:dyDescent="0.2">
      <c r="F213" s="16"/>
      <c r="G213" s="16"/>
      <c r="H213" s="16"/>
    </row>
    <row r="214" spans="6:8" ht="14.25" x14ac:dyDescent="0.2">
      <c r="F214" s="16"/>
      <c r="G214" s="16"/>
      <c r="H214" s="16"/>
    </row>
    <row r="215" spans="6:8" ht="14.25" x14ac:dyDescent="0.2">
      <c r="F215" s="16"/>
      <c r="G215" s="16"/>
      <c r="H215" s="16"/>
    </row>
    <row r="216" spans="6:8" ht="14.25" x14ac:dyDescent="0.2">
      <c r="F216" s="16"/>
      <c r="G216" s="16"/>
      <c r="H216" s="16"/>
    </row>
    <row r="217" spans="6:8" ht="14.25" x14ac:dyDescent="0.2">
      <c r="F217" s="16"/>
      <c r="G217" s="16"/>
      <c r="H217" s="16"/>
    </row>
    <row r="218" spans="6:8" ht="14.25" x14ac:dyDescent="0.2">
      <c r="F218" s="16"/>
      <c r="G218" s="16"/>
      <c r="H218" s="16"/>
    </row>
    <row r="219" spans="6:8" ht="14.25" x14ac:dyDescent="0.2">
      <c r="F219" s="16"/>
      <c r="G219" s="16"/>
      <c r="H219" s="16"/>
    </row>
    <row r="220" spans="6:8" ht="14.25" x14ac:dyDescent="0.2">
      <c r="F220" s="16"/>
      <c r="G220" s="16"/>
      <c r="H220" s="16"/>
    </row>
    <row r="221" spans="6:8" ht="14.25" x14ac:dyDescent="0.2">
      <c r="F221" s="16"/>
      <c r="G221" s="16"/>
      <c r="H221" s="16"/>
    </row>
    <row r="222" spans="6:8" ht="14.25" x14ac:dyDescent="0.2">
      <c r="F222" s="16"/>
      <c r="G222" s="16"/>
      <c r="H222" s="16"/>
    </row>
    <row r="223" spans="6:8" ht="14.25" x14ac:dyDescent="0.2">
      <c r="F223" s="16"/>
      <c r="G223" s="16"/>
      <c r="H223" s="16"/>
    </row>
    <row r="224" spans="6:8" ht="14.25" x14ac:dyDescent="0.2">
      <c r="F224" s="16"/>
      <c r="G224" s="16"/>
      <c r="H224" s="16"/>
    </row>
    <row r="225" spans="6:8" ht="14.25" x14ac:dyDescent="0.2">
      <c r="F225" s="16"/>
      <c r="G225" s="16"/>
      <c r="H225" s="16"/>
    </row>
    <row r="226" spans="6:8" ht="14.25" x14ac:dyDescent="0.2">
      <c r="F226" s="16"/>
      <c r="G226" s="16"/>
      <c r="H226" s="16"/>
    </row>
    <row r="227" spans="6:8" ht="14.25" x14ac:dyDescent="0.2">
      <c r="F227" s="16"/>
      <c r="G227" s="16"/>
      <c r="H227" s="16"/>
    </row>
    <row r="228" spans="6:8" ht="14.25" x14ac:dyDescent="0.2">
      <c r="F228" s="16"/>
      <c r="G228" s="16"/>
      <c r="H228" s="16"/>
    </row>
    <row r="229" spans="6:8" ht="14.25" x14ac:dyDescent="0.2">
      <c r="F229" s="16"/>
      <c r="G229" s="16"/>
      <c r="H229" s="16"/>
    </row>
    <row r="230" spans="6:8" ht="14.25" x14ac:dyDescent="0.2">
      <c r="F230" s="16"/>
      <c r="G230" s="16"/>
      <c r="H230" s="16"/>
    </row>
    <row r="231" spans="6:8" ht="14.25" x14ac:dyDescent="0.2">
      <c r="F231" s="16"/>
      <c r="G231" s="16"/>
      <c r="H231" s="16"/>
    </row>
    <row r="232" spans="6:8" ht="14.25" x14ac:dyDescent="0.2">
      <c r="F232" s="16"/>
      <c r="G232" s="16"/>
      <c r="H232" s="16"/>
    </row>
    <row r="233" spans="6:8" ht="14.25" x14ac:dyDescent="0.2">
      <c r="F233" s="16"/>
      <c r="G233" s="16"/>
      <c r="H233" s="16"/>
    </row>
    <row r="234" spans="6:8" ht="14.25" x14ac:dyDescent="0.2">
      <c r="F234" s="16"/>
      <c r="G234" s="16"/>
      <c r="H234" s="16"/>
    </row>
    <row r="235" spans="6:8" ht="14.25" x14ac:dyDescent="0.2">
      <c r="F235" s="16"/>
      <c r="G235" s="16"/>
      <c r="H235" s="16"/>
    </row>
    <row r="236" spans="6:8" ht="14.25" x14ac:dyDescent="0.2">
      <c r="F236" s="16"/>
      <c r="G236" s="16"/>
      <c r="H236" s="16"/>
    </row>
    <row r="237" spans="6:8" ht="14.25" x14ac:dyDescent="0.2">
      <c r="F237" s="16"/>
      <c r="G237" s="16"/>
      <c r="H237" s="16"/>
    </row>
    <row r="238" spans="6:8" ht="14.25" x14ac:dyDescent="0.2">
      <c r="F238" s="16"/>
      <c r="G238" s="16"/>
      <c r="H238" s="16"/>
    </row>
    <row r="239" spans="6:8" ht="14.25" x14ac:dyDescent="0.2">
      <c r="F239" s="16"/>
      <c r="G239" s="16"/>
      <c r="H239" s="16"/>
    </row>
    <row r="240" spans="6:8" ht="14.25" x14ac:dyDescent="0.2">
      <c r="F240" s="16"/>
      <c r="G240" s="16"/>
      <c r="H240" s="16"/>
    </row>
    <row r="241" spans="6:8" ht="14.25" x14ac:dyDescent="0.2">
      <c r="F241" s="16"/>
      <c r="G241" s="16"/>
      <c r="H241" s="16"/>
    </row>
    <row r="242" spans="6:8" ht="14.25" x14ac:dyDescent="0.2">
      <c r="F242" s="16"/>
      <c r="G242" s="16"/>
      <c r="H242" s="16"/>
    </row>
    <row r="243" spans="6:8" ht="14.25" x14ac:dyDescent="0.2">
      <c r="F243" s="16"/>
      <c r="G243" s="16"/>
      <c r="H243" s="16"/>
    </row>
    <row r="244" spans="6:8" ht="14.25" x14ac:dyDescent="0.2">
      <c r="F244" s="16"/>
      <c r="G244" s="16"/>
      <c r="H244" s="16"/>
    </row>
    <row r="245" spans="6:8" ht="14.25" x14ac:dyDescent="0.2">
      <c r="F245" s="16"/>
      <c r="G245" s="16"/>
      <c r="H245" s="16"/>
    </row>
    <row r="246" spans="6:8" ht="14.25" x14ac:dyDescent="0.2">
      <c r="F246" s="16"/>
      <c r="G246" s="16"/>
      <c r="H246" s="16"/>
    </row>
    <row r="247" spans="6:8" ht="14.25" x14ac:dyDescent="0.2">
      <c r="F247" s="16"/>
      <c r="G247" s="16"/>
      <c r="H247" s="16"/>
    </row>
    <row r="248" spans="6:8" ht="14.25" x14ac:dyDescent="0.2">
      <c r="F248" s="16"/>
      <c r="G248" s="16"/>
      <c r="H248" s="16"/>
    </row>
    <row r="249" spans="6:8" ht="14.25" x14ac:dyDescent="0.2">
      <c r="F249" s="16"/>
      <c r="G249" s="16"/>
      <c r="H249" s="16"/>
    </row>
    <row r="250" spans="6:8" ht="14.25" x14ac:dyDescent="0.2">
      <c r="F250" s="16"/>
      <c r="G250" s="16"/>
      <c r="H250" s="16"/>
    </row>
    <row r="251" spans="6:8" ht="14.25" x14ac:dyDescent="0.2">
      <c r="F251" s="16"/>
      <c r="G251" s="16"/>
      <c r="H251" s="16"/>
    </row>
    <row r="252" spans="6:8" ht="14.25" x14ac:dyDescent="0.2">
      <c r="F252" s="16"/>
      <c r="G252" s="16"/>
      <c r="H252" s="16"/>
    </row>
    <row r="253" spans="6:8" ht="14.25" x14ac:dyDescent="0.2">
      <c r="F253" s="16"/>
      <c r="G253" s="16"/>
      <c r="H253" s="16"/>
    </row>
    <row r="254" spans="6:8" ht="14.25" x14ac:dyDescent="0.2">
      <c r="F254" s="16"/>
      <c r="G254" s="16"/>
      <c r="H254" s="16"/>
    </row>
    <row r="255" spans="6:8" ht="14.25" x14ac:dyDescent="0.2">
      <c r="F255" s="16"/>
      <c r="G255" s="16"/>
      <c r="H255" s="16"/>
    </row>
    <row r="256" spans="6:8" ht="14.25" x14ac:dyDescent="0.2">
      <c r="F256" s="16"/>
      <c r="G256" s="16"/>
      <c r="H256" s="16"/>
    </row>
    <row r="257" spans="6:8" ht="14.25" x14ac:dyDescent="0.2">
      <c r="F257" s="16"/>
      <c r="G257" s="16"/>
      <c r="H257" s="16"/>
    </row>
    <row r="258" spans="6:8" ht="14.25" x14ac:dyDescent="0.2">
      <c r="F258" s="16"/>
      <c r="G258" s="16"/>
      <c r="H258" s="16"/>
    </row>
    <row r="259" spans="6:8" ht="14.25" x14ac:dyDescent="0.2">
      <c r="F259" s="16"/>
      <c r="G259" s="16"/>
      <c r="H259" s="16"/>
    </row>
    <row r="260" spans="6:8" ht="14.25" x14ac:dyDescent="0.2">
      <c r="F260" s="16"/>
      <c r="G260" s="16"/>
      <c r="H260" s="16"/>
    </row>
    <row r="261" spans="6:8" ht="14.25" x14ac:dyDescent="0.2">
      <c r="F261" s="16"/>
      <c r="G261" s="16"/>
      <c r="H261" s="16"/>
    </row>
    <row r="262" spans="6:8" ht="14.25" x14ac:dyDescent="0.2">
      <c r="F262" s="16"/>
      <c r="G262" s="16"/>
      <c r="H262" s="16"/>
    </row>
    <row r="263" spans="6:8" ht="14.25" x14ac:dyDescent="0.2">
      <c r="F263" s="16"/>
      <c r="G263" s="16"/>
      <c r="H263" s="16"/>
    </row>
    <row r="264" spans="6:8" ht="14.25" x14ac:dyDescent="0.2">
      <c r="F264" s="16"/>
      <c r="G264" s="16"/>
      <c r="H264" s="16"/>
    </row>
    <row r="265" spans="6:8" ht="14.25" x14ac:dyDescent="0.2">
      <c r="F265" s="16"/>
      <c r="G265" s="16"/>
      <c r="H265" s="16"/>
    </row>
    <row r="266" spans="6:8" ht="14.25" x14ac:dyDescent="0.2">
      <c r="F266" s="16"/>
      <c r="G266" s="16"/>
      <c r="H266" s="16"/>
    </row>
    <row r="267" spans="6:8" ht="14.25" x14ac:dyDescent="0.2">
      <c r="F267" s="16"/>
      <c r="G267" s="16"/>
      <c r="H267" s="16"/>
    </row>
    <row r="268" spans="6:8" ht="14.25" x14ac:dyDescent="0.2">
      <c r="F268" s="16"/>
      <c r="G268" s="16"/>
      <c r="H268" s="16"/>
    </row>
    <row r="269" spans="6:8" ht="14.25" x14ac:dyDescent="0.2">
      <c r="F269" s="16"/>
      <c r="G269" s="16"/>
      <c r="H269" s="16"/>
    </row>
    <row r="270" spans="6:8" ht="14.25" x14ac:dyDescent="0.2">
      <c r="F270" s="16"/>
      <c r="G270" s="16"/>
      <c r="H270" s="16"/>
    </row>
    <row r="271" spans="6:8" ht="14.25" x14ac:dyDescent="0.2">
      <c r="F271" s="16"/>
      <c r="G271" s="16"/>
      <c r="H271" s="16"/>
    </row>
    <row r="272" spans="6:8" ht="14.25" x14ac:dyDescent="0.2">
      <c r="F272" s="16"/>
      <c r="G272" s="16"/>
      <c r="H272" s="16"/>
    </row>
    <row r="273" spans="6:8" ht="14.25" x14ac:dyDescent="0.2">
      <c r="F273" s="16"/>
      <c r="G273" s="16"/>
      <c r="H273" s="16"/>
    </row>
    <row r="274" spans="6:8" ht="14.25" x14ac:dyDescent="0.2">
      <c r="F274" s="16"/>
      <c r="G274" s="16"/>
      <c r="H274" s="16"/>
    </row>
    <row r="275" spans="6:8" ht="14.25" x14ac:dyDescent="0.2">
      <c r="F275" s="16"/>
      <c r="G275" s="16"/>
      <c r="H275" s="16"/>
    </row>
    <row r="276" spans="6:8" ht="14.25" x14ac:dyDescent="0.2">
      <c r="F276" s="16"/>
      <c r="G276" s="16"/>
      <c r="H276" s="16"/>
    </row>
    <row r="277" spans="6:8" ht="14.25" x14ac:dyDescent="0.2">
      <c r="F277" s="16"/>
      <c r="G277" s="16"/>
      <c r="H277" s="16"/>
    </row>
    <row r="278" spans="6:8" ht="14.25" x14ac:dyDescent="0.2">
      <c r="F278" s="16"/>
      <c r="G278" s="16"/>
      <c r="H278" s="16"/>
    </row>
    <row r="279" spans="6:8" ht="14.25" x14ac:dyDescent="0.2">
      <c r="F279" s="16"/>
      <c r="G279" s="16"/>
      <c r="H279" s="16"/>
    </row>
    <row r="280" spans="6:8" ht="14.25" x14ac:dyDescent="0.2">
      <c r="F280" s="16"/>
      <c r="G280" s="16"/>
      <c r="H280" s="16"/>
    </row>
    <row r="281" spans="6:8" ht="14.25" x14ac:dyDescent="0.2">
      <c r="F281" s="16"/>
      <c r="G281" s="16"/>
      <c r="H281" s="16"/>
    </row>
    <row r="282" spans="6:8" ht="14.25" x14ac:dyDescent="0.2">
      <c r="F282" s="16"/>
      <c r="G282" s="16"/>
      <c r="H282" s="16"/>
    </row>
    <row r="283" spans="6:8" ht="14.25" x14ac:dyDescent="0.2">
      <c r="F283" s="16"/>
      <c r="G283" s="16"/>
      <c r="H283" s="16"/>
    </row>
    <row r="284" spans="6:8" ht="14.25" x14ac:dyDescent="0.2">
      <c r="F284" s="16"/>
      <c r="G284" s="16"/>
      <c r="H284" s="16"/>
    </row>
    <row r="285" spans="6:8" ht="14.25" x14ac:dyDescent="0.2">
      <c r="F285" s="16"/>
      <c r="G285" s="16"/>
      <c r="H285" s="16"/>
    </row>
    <row r="286" spans="6:8" ht="14.25" x14ac:dyDescent="0.2">
      <c r="F286" s="16"/>
      <c r="G286" s="16"/>
      <c r="H286" s="16"/>
    </row>
    <row r="287" spans="6:8" ht="14.25" x14ac:dyDescent="0.2">
      <c r="F287" s="16"/>
      <c r="G287" s="16"/>
      <c r="H287" s="16"/>
    </row>
    <row r="288" spans="6:8" ht="14.25" x14ac:dyDescent="0.2">
      <c r="F288" s="16"/>
      <c r="G288" s="16"/>
      <c r="H288" s="16"/>
    </row>
    <row r="289" spans="6:8" ht="14.25" x14ac:dyDescent="0.2">
      <c r="F289" s="16"/>
      <c r="G289" s="16"/>
      <c r="H289" s="16"/>
    </row>
    <row r="290" spans="6:8" ht="14.25" x14ac:dyDescent="0.2">
      <c r="F290" s="16"/>
      <c r="G290" s="16"/>
      <c r="H290" s="16"/>
    </row>
    <row r="291" spans="6:8" ht="14.25" x14ac:dyDescent="0.2">
      <c r="F291" s="16"/>
      <c r="G291" s="16"/>
      <c r="H291" s="16"/>
    </row>
    <row r="292" spans="6:8" ht="14.25" x14ac:dyDescent="0.2">
      <c r="F292" s="16"/>
      <c r="G292" s="16"/>
      <c r="H292" s="16"/>
    </row>
    <row r="293" spans="6:8" ht="14.25" x14ac:dyDescent="0.2">
      <c r="F293" s="16"/>
      <c r="G293" s="16"/>
      <c r="H293" s="16"/>
    </row>
    <row r="294" spans="6:8" ht="14.25" x14ac:dyDescent="0.2">
      <c r="F294" s="16"/>
      <c r="G294" s="16"/>
      <c r="H294" s="16"/>
    </row>
    <row r="295" spans="6:8" ht="14.25" x14ac:dyDescent="0.2">
      <c r="F295" s="16"/>
      <c r="G295" s="16"/>
      <c r="H295" s="16"/>
    </row>
    <row r="296" spans="6:8" ht="14.25" x14ac:dyDescent="0.2">
      <c r="F296" s="16"/>
      <c r="G296" s="16"/>
      <c r="H296" s="16"/>
    </row>
    <row r="297" spans="6:8" ht="14.25" x14ac:dyDescent="0.2">
      <c r="F297" s="16"/>
      <c r="G297" s="16"/>
      <c r="H297" s="16"/>
    </row>
    <row r="298" spans="6:8" ht="14.25" x14ac:dyDescent="0.2">
      <c r="F298" s="16"/>
      <c r="G298" s="16"/>
      <c r="H298" s="16"/>
    </row>
    <row r="299" spans="6:8" ht="14.25" x14ac:dyDescent="0.2">
      <c r="F299" s="16"/>
      <c r="G299" s="16"/>
      <c r="H299" s="16"/>
    </row>
    <row r="300" spans="6:8" ht="14.25" x14ac:dyDescent="0.2">
      <c r="F300" s="16"/>
      <c r="G300" s="16"/>
      <c r="H300" s="16"/>
    </row>
    <row r="301" spans="6:8" ht="14.25" x14ac:dyDescent="0.2">
      <c r="F301" s="16"/>
      <c r="G301" s="16"/>
      <c r="H301" s="16"/>
    </row>
    <row r="302" spans="6:8" ht="14.25" x14ac:dyDescent="0.2">
      <c r="F302" s="16"/>
      <c r="G302" s="16"/>
      <c r="H302" s="16"/>
    </row>
    <row r="303" spans="6:8" ht="14.25" x14ac:dyDescent="0.2">
      <c r="F303" s="16"/>
      <c r="G303" s="16"/>
      <c r="H303" s="16"/>
    </row>
    <row r="304" spans="6:8" ht="14.25" x14ac:dyDescent="0.2">
      <c r="F304" s="16"/>
      <c r="G304" s="16"/>
      <c r="H304" s="16"/>
    </row>
    <row r="305" spans="6:8" ht="14.25" x14ac:dyDescent="0.2">
      <c r="F305" s="16"/>
      <c r="G305" s="16"/>
      <c r="H305" s="16"/>
    </row>
    <row r="306" spans="6:8" ht="14.25" x14ac:dyDescent="0.2">
      <c r="F306" s="16"/>
      <c r="G306" s="16"/>
      <c r="H306" s="16"/>
    </row>
    <row r="307" spans="6:8" ht="14.25" x14ac:dyDescent="0.2">
      <c r="F307" s="16"/>
      <c r="G307" s="16"/>
      <c r="H307" s="16"/>
    </row>
    <row r="308" spans="6:8" ht="14.25" x14ac:dyDescent="0.2">
      <c r="F308" s="16"/>
      <c r="G308" s="16"/>
      <c r="H308" s="16"/>
    </row>
    <row r="309" spans="6:8" ht="14.25" x14ac:dyDescent="0.2">
      <c r="F309" s="16"/>
      <c r="G309" s="16"/>
      <c r="H309" s="16"/>
    </row>
    <row r="310" spans="6:8" ht="14.25" x14ac:dyDescent="0.2">
      <c r="F310" s="16"/>
      <c r="G310" s="16"/>
      <c r="H310" s="16"/>
    </row>
    <row r="311" spans="6:8" ht="14.25" x14ac:dyDescent="0.2">
      <c r="F311" s="16"/>
      <c r="G311" s="16"/>
      <c r="H311" s="16"/>
    </row>
    <row r="312" spans="6:8" ht="14.25" x14ac:dyDescent="0.2">
      <c r="F312" s="16"/>
      <c r="G312" s="16"/>
      <c r="H312" s="16"/>
    </row>
    <row r="313" spans="6:8" ht="14.25" x14ac:dyDescent="0.2">
      <c r="F313" s="16"/>
      <c r="G313" s="16"/>
      <c r="H313" s="16"/>
    </row>
    <row r="314" spans="6:8" ht="14.25" x14ac:dyDescent="0.2">
      <c r="F314" s="16"/>
      <c r="G314" s="16"/>
      <c r="H314" s="16"/>
    </row>
    <row r="315" spans="6:8" ht="14.25" x14ac:dyDescent="0.2">
      <c r="F315" s="16"/>
      <c r="G315" s="16"/>
      <c r="H315" s="16"/>
    </row>
    <row r="316" spans="6:8" ht="14.25" x14ac:dyDescent="0.2">
      <c r="F316" s="16"/>
      <c r="G316" s="16"/>
      <c r="H316" s="16"/>
    </row>
    <row r="317" spans="6:8" ht="14.25" x14ac:dyDescent="0.2">
      <c r="F317" s="16"/>
      <c r="G317" s="16"/>
      <c r="H317" s="16"/>
    </row>
    <row r="318" spans="6:8" ht="14.25" x14ac:dyDescent="0.2">
      <c r="F318" s="16"/>
      <c r="G318" s="16"/>
      <c r="H318" s="16"/>
    </row>
    <row r="319" spans="6:8" ht="14.25" x14ac:dyDescent="0.2">
      <c r="F319" s="16"/>
      <c r="G319" s="16"/>
      <c r="H319" s="16"/>
    </row>
    <row r="320" spans="6:8" ht="14.25" x14ac:dyDescent="0.2">
      <c r="F320" s="16"/>
      <c r="G320" s="16"/>
      <c r="H320" s="16"/>
    </row>
    <row r="321" spans="6:8" ht="14.25" x14ac:dyDescent="0.2">
      <c r="F321" s="16"/>
      <c r="G321" s="16"/>
      <c r="H321" s="16"/>
    </row>
    <row r="322" spans="6:8" ht="14.25" x14ac:dyDescent="0.2">
      <c r="F322" s="16"/>
      <c r="G322" s="16"/>
      <c r="H322" s="16"/>
    </row>
    <row r="323" spans="6:8" ht="14.25" x14ac:dyDescent="0.2">
      <c r="F323" s="16"/>
      <c r="G323" s="16"/>
      <c r="H323" s="16"/>
    </row>
    <row r="324" spans="6:8" ht="14.25" x14ac:dyDescent="0.2">
      <c r="F324" s="16"/>
      <c r="G324" s="16"/>
      <c r="H324" s="16"/>
    </row>
    <row r="325" spans="6:8" ht="14.25" x14ac:dyDescent="0.2">
      <c r="F325" s="16"/>
      <c r="G325" s="16"/>
      <c r="H325" s="16"/>
    </row>
    <row r="326" spans="6:8" ht="14.25" x14ac:dyDescent="0.2">
      <c r="F326" s="16"/>
      <c r="G326" s="16"/>
      <c r="H326" s="16"/>
    </row>
    <row r="327" spans="6:8" ht="14.25" x14ac:dyDescent="0.2">
      <c r="F327" s="16"/>
      <c r="G327" s="16"/>
      <c r="H327" s="16"/>
    </row>
    <row r="328" spans="6:8" ht="14.25" x14ac:dyDescent="0.2">
      <c r="F328" s="16"/>
      <c r="G328" s="16"/>
      <c r="H328" s="16"/>
    </row>
    <row r="329" spans="6:8" ht="14.25" x14ac:dyDescent="0.2">
      <c r="F329" s="16"/>
      <c r="G329" s="16"/>
      <c r="H329" s="16"/>
    </row>
    <row r="330" spans="6:8" ht="14.25" x14ac:dyDescent="0.2">
      <c r="F330" s="16"/>
      <c r="G330" s="16"/>
      <c r="H330" s="16"/>
    </row>
    <row r="331" spans="6:8" ht="14.25" x14ac:dyDescent="0.2">
      <c r="F331" s="16"/>
      <c r="G331" s="16"/>
      <c r="H331" s="16"/>
    </row>
    <row r="332" spans="6:8" ht="14.25" x14ac:dyDescent="0.2">
      <c r="F332" s="16"/>
      <c r="G332" s="16"/>
      <c r="H332" s="16"/>
    </row>
    <row r="333" spans="6:8" ht="14.25" x14ac:dyDescent="0.2">
      <c r="F333" s="16"/>
      <c r="G333" s="16"/>
      <c r="H333" s="16"/>
    </row>
    <row r="334" spans="6:8" ht="14.25" x14ac:dyDescent="0.2">
      <c r="F334" s="16"/>
      <c r="G334" s="16"/>
      <c r="H334" s="16"/>
    </row>
    <row r="335" spans="6:8" ht="14.25" x14ac:dyDescent="0.2">
      <c r="F335" s="16"/>
      <c r="G335" s="16"/>
      <c r="H335" s="16"/>
    </row>
    <row r="336" spans="6:8" ht="14.25" x14ac:dyDescent="0.2">
      <c r="F336" s="16"/>
      <c r="G336" s="16"/>
      <c r="H336" s="16"/>
    </row>
    <row r="337" spans="6:8" ht="14.25" x14ac:dyDescent="0.2">
      <c r="F337" s="16"/>
      <c r="G337" s="16"/>
      <c r="H337" s="16"/>
    </row>
    <row r="338" spans="6:8" ht="14.25" x14ac:dyDescent="0.2">
      <c r="F338" s="16"/>
      <c r="G338" s="16"/>
      <c r="H338" s="16"/>
    </row>
    <row r="339" spans="6:8" ht="14.25" x14ac:dyDescent="0.2">
      <c r="F339" s="16"/>
      <c r="G339" s="16"/>
      <c r="H339" s="16"/>
    </row>
    <row r="340" spans="6:8" ht="14.25" x14ac:dyDescent="0.2">
      <c r="F340" s="16"/>
      <c r="G340" s="16"/>
      <c r="H340" s="16"/>
    </row>
    <row r="341" spans="6:8" ht="14.25" x14ac:dyDescent="0.2">
      <c r="F341" s="16"/>
      <c r="G341" s="16"/>
      <c r="H341" s="16"/>
    </row>
    <row r="342" spans="6:8" ht="14.25" x14ac:dyDescent="0.2">
      <c r="F342" s="16"/>
      <c r="G342" s="16"/>
      <c r="H342" s="16"/>
    </row>
    <row r="343" spans="6:8" ht="14.25" x14ac:dyDescent="0.2">
      <c r="F343" s="16"/>
      <c r="G343" s="16"/>
      <c r="H343" s="16"/>
    </row>
    <row r="344" spans="6:8" ht="14.25" x14ac:dyDescent="0.2">
      <c r="F344" s="16"/>
      <c r="G344" s="16"/>
      <c r="H344" s="16"/>
    </row>
    <row r="345" spans="6:8" ht="14.25" x14ac:dyDescent="0.2">
      <c r="F345" s="16"/>
      <c r="G345" s="16"/>
      <c r="H345" s="16"/>
    </row>
    <row r="346" spans="6:8" ht="14.25" x14ac:dyDescent="0.2">
      <c r="F346" s="16"/>
      <c r="G346" s="16"/>
      <c r="H346" s="16"/>
    </row>
    <row r="347" spans="6:8" ht="14.25" x14ac:dyDescent="0.2">
      <c r="F347" s="16"/>
      <c r="G347" s="16"/>
      <c r="H347" s="16"/>
    </row>
    <row r="348" spans="6:8" ht="14.25" x14ac:dyDescent="0.2">
      <c r="F348" s="16"/>
      <c r="G348" s="16"/>
      <c r="H348" s="16"/>
    </row>
    <row r="349" spans="6:8" ht="14.25" x14ac:dyDescent="0.2">
      <c r="F349" s="16"/>
      <c r="G349" s="16"/>
      <c r="H349" s="16"/>
    </row>
    <row r="350" spans="6:8" ht="14.25" x14ac:dyDescent="0.2">
      <c r="F350" s="16"/>
      <c r="G350" s="16"/>
      <c r="H350" s="16"/>
    </row>
    <row r="351" spans="6:8" ht="14.25" x14ac:dyDescent="0.2">
      <c r="F351" s="16"/>
      <c r="G351" s="16"/>
      <c r="H351" s="16"/>
    </row>
    <row r="352" spans="6:8" ht="14.25" x14ac:dyDescent="0.2">
      <c r="F352" s="16"/>
      <c r="G352" s="16"/>
      <c r="H352" s="16"/>
    </row>
    <row r="353" spans="6:8" ht="14.25" x14ac:dyDescent="0.2">
      <c r="F353" s="16"/>
      <c r="G353" s="16"/>
      <c r="H353" s="16"/>
    </row>
    <row r="354" spans="6:8" ht="14.25" x14ac:dyDescent="0.2">
      <c r="F354" s="16"/>
      <c r="G354" s="16"/>
      <c r="H354" s="16"/>
    </row>
    <row r="355" spans="6:8" ht="14.25" x14ac:dyDescent="0.2">
      <c r="F355" s="16"/>
      <c r="G355" s="16"/>
      <c r="H355" s="16"/>
    </row>
    <row r="356" spans="6:8" ht="14.25" x14ac:dyDescent="0.2">
      <c r="F356" s="16"/>
      <c r="G356" s="16"/>
      <c r="H356" s="16"/>
    </row>
    <row r="357" spans="6:8" ht="14.25" x14ac:dyDescent="0.2">
      <c r="F357" s="16"/>
      <c r="G357" s="16"/>
      <c r="H357" s="16"/>
    </row>
    <row r="358" spans="6:8" ht="14.25" x14ac:dyDescent="0.2">
      <c r="F358" s="16"/>
      <c r="G358" s="16"/>
      <c r="H358" s="16"/>
    </row>
    <row r="359" spans="6:8" ht="14.25" x14ac:dyDescent="0.2">
      <c r="F359" s="16"/>
      <c r="G359" s="16"/>
      <c r="H359" s="16"/>
    </row>
    <row r="360" spans="6:8" ht="14.25" x14ac:dyDescent="0.2">
      <c r="F360" s="16"/>
      <c r="G360" s="16"/>
      <c r="H360" s="16"/>
    </row>
    <row r="361" spans="6:8" ht="14.25" x14ac:dyDescent="0.2">
      <c r="F361" s="16"/>
      <c r="G361" s="16"/>
      <c r="H361" s="16"/>
    </row>
    <row r="362" spans="6:8" ht="14.25" x14ac:dyDescent="0.2">
      <c r="F362" s="16"/>
      <c r="G362" s="16"/>
      <c r="H362" s="16"/>
    </row>
    <row r="363" spans="6:8" ht="14.25" x14ac:dyDescent="0.2">
      <c r="F363" s="16"/>
      <c r="G363" s="16"/>
      <c r="H363" s="16"/>
    </row>
    <row r="364" spans="6:8" ht="14.25" x14ac:dyDescent="0.2">
      <c r="F364" s="16"/>
      <c r="G364" s="16"/>
      <c r="H364" s="16"/>
    </row>
    <row r="365" spans="6:8" ht="14.25" x14ac:dyDescent="0.2">
      <c r="F365" s="16"/>
      <c r="G365" s="16"/>
      <c r="H365" s="16"/>
    </row>
    <row r="366" spans="6:8" ht="14.25" x14ac:dyDescent="0.2">
      <c r="F366" s="16"/>
      <c r="G366" s="16"/>
      <c r="H366" s="16"/>
    </row>
    <row r="367" spans="6:8" ht="14.25" x14ac:dyDescent="0.2">
      <c r="F367" s="16"/>
      <c r="G367" s="16"/>
      <c r="H367" s="16"/>
    </row>
    <row r="368" spans="6:8" ht="14.25" x14ac:dyDescent="0.2">
      <c r="F368" s="16"/>
      <c r="G368" s="16"/>
      <c r="H368" s="16"/>
    </row>
    <row r="369" spans="6:8" ht="14.25" x14ac:dyDescent="0.2">
      <c r="F369" s="16"/>
      <c r="G369" s="16"/>
      <c r="H369" s="16"/>
    </row>
    <row r="370" spans="6:8" ht="14.25" x14ac:dyDescent="0.2">
      <c r="F370" s="16"/>
      <c r="G370" s="16"/>
      <c r="H370" s="16"/>
    </row>
    <row r="371" spans="6:8" ht="14.25" x14ac:dyDescent="0.2">
      <c r="F371" s="16"/>
      <c r="G371" s="16"/>
      <c r="H371" s="16"/>
    </row>
    <row r="372" spans="6:8" ht="14.25" x14ac:dyDescent="0.2">
      <c r="F372" s="16"/>
      <c r="G372" s="16"/>
      <c r="H372" s="16"/>
    </row>
    <row r="373" spans="6:8" ht="14.25" x14ac:dyDescent="0.2">
      <c r="F373" s="16"/>
      <c r="G373" s="16"/>
      <c r="H373" s="16"/>
    </row>
    <row r="374" spans="6:8" ht="14.25" x14ac:dyDescent="0.2">
      <c r="F374" s="16"/>
      <c r="G374" s="16"/>
      <c r="H374" s="16"/>
    </row>
    <row r="375" spans="6:8" ht="14.25" x14ac:dyDescent="0.2">
      <c r="F375" s="16"/>
      <c r="G375" s="16"/>
      <c r="H375" s="16"/>
    </row>
    <row r="376" spans="6:8" ht="14.25" x14ac:dyDescent="0.2">
      <c r="F376" s="16"/>
      <c r="G376" s="16"/>
      <c r="H376" s="16"/>
    </row>
    <row r="377" spans="6:8" ht="14.25" x14ac:dyDescent="0.2">
      <c r="F377" s="16"/>
      <c r="G377" s="16"/>
      <c r="H377" s="16"/>
    </row>
    <row r="378" spans="6:8" ht="14.25" x14ac:dyDescent="0.2">
      <c r="F378" s="16"/>
      <c r="G378" s="16"/>
      <c r="H378" s="16"/>
    </row>
    <row r="379" spans="6:8" ht="14.25" x14ac:dyDescent="0.2">
      <c r="F379" s="16"/>
      <c r="G379" s="16"/>
      <c r="H379" s="16"/>
    </row>
    <row r="380" spans="6:8" ht="14.25" x14ac:dyDescent="0.2">
      <c r="F380" s="16"/>
      <c r="G380" s="16"/>
      <c r="H380" s="16"/>
    </row>
    <row r="381" spans="6:8" ht="14.25" x14ac:dyDescent="0.2">
      <c r="F381" s="16"/>
      <c r="G381" s="16"/>
      <c r="H381" s="16"/>
    </row>
    <row r="382" spans="6:8" ht="14.25" x14ac:dyDescent="0.2">
      <c r="F382" s="16"/>
      <c r="G382" s="16"/>
      <c r="H382" s="16"/>
    </row>
    <row r="383" spans="6:8" ht="14.25" x14ac:dyDescent="0.2">
      <c r="F383" s="16"/>
      <c r="G383" s="16"/>
      <c r="H383" s="16"/>
    </row>
    <row r="384" spans="6:8" ht="14.25" x14ac:dyDescent="0.2">
      <c r="F384" s="16"/>
      <c r="G384" s="16"/>
      <c r="H384" s="16"/>
    </row>
    <row r="385" spans="6:8" ht="14.25" x14ac:dyDescent="0.2">
      <c r="F385" s="16"/>
      <c r="G385" s="16"/>
      <c r="H385" s="16"/>
    </row>
    <row r="386" spans="6:8" ht="14.25" x14ac:dyDescent="0.2">
      <c r="F386" s="16"/>
      <c r="G386" s="16"/>
      <c r="H386" s="16"/>
    </row>
    <row r="387" spans="6:8" ht="14.25" x14ac:dyDescent="0.2">
      <c r="F387" s="16"/>
      <c r="G387" s="16"/>
      <c r="H387" s="16"/>
    </row>
    <row r="388" spans="6:8" ht="14.25" x14ac:dyDescent="0.2">
      <c r="F388" s="16"/>
      <c r="G388" s="16"/>
      <c r="H388" s="16"/>
    </row>
    <row r="389" spans="6:8" ht="14.25" x14ac:dyDescent="0.2">
      <c r="F389" s="16"/>
      <c r="G389" s="16"/>
      <c r="H389" s="16"/>
    </row>
    <row r="390" spans="6:8" ht="14.25" x14ac:dyDescent="0.2">
      <c r="F390" s="16"/>
      <c r="G390" s="16"/>
      <c r="H390" s="16"/>
    </row>
    <row r="391" spans="6:8" ht="14.25" x14ac:dyDescent="0.2">
      <c r="F391" s="16"/>
      <c r="G391" s="16"/>
      <c r="H391" s="16"/>
    </row>
    <row r="392" spans="6:8" ht="14.25" x14ac:dyDescent="0.2">
      <c r="F392" s="16"/>
      <c r="G392" s="16"/>
      <c r="H392" s="16"/>
    </row>
    <row r="393" spans="6:8" ht="14.25" x14ac:dyDescent="0.2">
      <c r="F393" s="16"/>
      <c r="G393" s="16"/>
      <c r="H393" s="16"/>
    </row>
    <row r="394" spans="6:8" ht="14.25" x14ac:dyDescent="0.2">
      <c r="F394" s="16"/>
      <c r="G394" s="16"/>
      <c r="H394" s="16"/>
    </row>
    <row r="395" spans="6:8" ht="14.25" x14ac:dyDescent="0.2">
      <c r="F395" s="16"/>
      <c r="G395" s="16"/>
      <c r="H395" s="16"/>
    </row>
    <row r="396" spans="6:8" ht="14.25" x14ac:dyDescent="0.2">
      <c r="F396" s="16"/>
      <c r="G396" s="16"/>
      <c r="H396" s="16"/>
    </row>
    <row r="397" spans="6:8" ht="14.25" x14ac:dyDescent="0.2">
      <c r="F397" s="16"/>
      <c r="G397" s="16"/>
      <c r="H397" s="16"/>
    </row>
    <row r="398" spans="6:8" ht="14.25" x14ac:dyDescent="0.2">
      <c r="F398" s="16"/>
      <c r="G398" s="16"/>
      <c r="H398" s="16"/>
    </row>
    <row r="399" spans="6:8" ht="14.25" x14ac:dyDescent="0.2">
      <c r="F399" s="16"/>
      <c r="G399" s="16"/>
      <c r="H399" s="16"/>
    </row>
    <row r="400" spans="6:8" ht="14.25" x14ac:dyDescent="0.2">
      <c r="F400" s="16"/>
      <c r="G400" s="16"/>
      <c r="H400" s="16"/>
    </row>
    <row r="401" spans="6:8" ht="14.25" x14ac:dyDescent="0.2">
      <c r="F401" s="16"/>
      <c r="G401" s="16"/>
      <c r="H401" s="16"/>
    </row>
    <row r="402" spans="6:8" ht="14.25" x14ac:dyDescent="0.2">
      <c r="F402" s="16"/>
      <c r="G402" s="16"/>
      <c r="H402" s="16"/>
    </row>
    <row r="403" spans="6:8" ht="14.25" x14ac:dyDescent="0.2">
      <c r="F403" s="16"/>
      <c r="G403" s="16"/>
      <c r="H403" s="16"/>
    </row>
    <row r="404" spans="6:8" ht="14.25" x14ac:dyDescent="0.2">
      <c r="F404" s="16"/>
      <c r="G404" s="16"/>
      <c r="H404" s="16"/>
    </row>
    <row r="405" spans="6:8" ht="14.25" x14ac:dyDescent="0.2">
      <c r="F405" s="16"/>
      <c r="G405" s="16"/>
      <c r="H405" s="16"/>
    </row>
    <row r="406" spans="6:8" ht="14.25" x14ac:dyDescent="0.2">
      <c r="F406" s="16"/>
      <c r="G406" s="16"/>
      <c r="H406" s="16"/>
    </row>
    <row r="407" spans="6:8" ht="14.25" x14ac:dyDescent="0.2">
      <c r="F407" s="16"/>
      <c r="G407" s="16"/>
      <c r="H407" s="16"/>
    </row>
    <row r="408" spans="6:8" ht="14.25" x14ac:dyDescent="0.2">
      <c r="F408" s="16"/>
      <c r="G408" s="16"/>
      <c r="H408" s="16"/>
    </row>
    <row r="409" spans="6:8" ht="14.25" x14ac:dyDescent="0.2">
      <c r="F409" s="16"/>
      <c r="G409" s="16"/>
      <c r="H409" s="16"/>
    </row>
    <row r="410" spans="6:8" ht="14.25" x14ac:dyDescent="0.2">
      <c r="F410" s="16"/>
      <c r="G410" s="16"/>
      <c r="H410" s="16"/>
    </row>
    <row r="411" spans="6:8" ht="14.25" x14ac:dyDescent="0.2">
      <c r="F411" s="16"/>
      <c r="G411" s="16"/>
      <c r="H411" s="16"/>
    </row>
    <row r="412" spans="6:8" ht="14.25" x14ac:dyDescent="0.2">
      <c r="F412" s="16"/>
      <c r="G412" s="16"/>
      <c r="H412" s="16"/>
    </row>
    <row r="413" spans="6:8" ht="14.25" x14ac:dyDescent="0.2">
      <c r="F413" s="16"/>
      <c r="G413" s="16"/>
      <c r="H413" s="16"/>
    </row>
    <row r="414" spans="6:8" ht="14.25" x14ac:dyDescent="0.2">
      <c r="F414" s="16"/>
      <c r="G414" s="16"/>
      <c r="H414" s="16"/>
    </row>
    <row r="415" spans="6:8" ht="14.25" x14ac:dyDescent="0.2">
      <c r="F415" s="16"/>
      <c r="G415" s="16"/>
      <c r="H415" s="16"/>
    </row>
    <row r="416" spans="6:8" ht="14.25" x14ac:dyDescent="0.2">
      <c r="F416" s="16"/>
      <c r="G416" s="16"/>
      <c r="H416" s="16"/>
    </row>
    <row r="417" spans="6:8" ht="14.25" x14ac:dyDescent="0.2">
      <c r="F417" s="16"/>
      <c r="G417" s="16"/>
      <c r="H417" s="16"/>
    </row>
    <row r="418" spans="6:8" ht="14.25" x14ac:dyDescent="0.2">
      <c r="F418" s="16"/>
      <c r="G418" s="16"/>
      <c r="H418" s="16"/>
    </row>
    <row r="419" spans="6:8" ht="14.25" x14ac:dyDescent="0.2">
      <c r="F419" s="16"/>
      <c r="G419" s="16"/>
      <c r="H419" s="16"/>
    </row>
    <row r="420" spans="6:8" ht="14.25" x14ac:dyDescent="0.2">
      <c r="F420" s="16"/>
      <c r="G420" s="16"/>
      <c r="H420" s="16"/>
    </row>
    <row r="421" spans="6:8" ht="14.25" x14ac:dyDescent="0.2">
      <c r="F421" s="16"/>
      <c r="G421" s="16"/>
      <c r="H421" s="16"/>
    </row>
    <row r="422" spans="6:8" ht="14.25" x14ac:dyDescent="0.2">
      <c r="F422" s="16"/>
      <c r="G422" s="16"/>
      <c r="H422" s="16"/>
    </row>
    <row r="423" spans="6:8" ht="14.25" x14ac:dyDescent="0.2">
      <c r="F423" s="16"/>
      <c r="G423" s="16"/>
      <c r="H423" s="16"/>
    </row>
    <row r="424" spans="6:8" ht="14.25" x14ac:dyDescent="0.2">
      <c r="F424" s="16"/>
      <c r="G424" s="16"/>
      <c r="H424" s="16"/>
    </row>
    <row r="425" spans="6:8" ht="14.25" x14ac:dyDescent="0.2">
      <c r="F425" s="16"/>
      <c r="G425" s="16"/>
      <c r="H425" s="16"/>
    </row>
    <row r="426" spans="6:8" ht="14.25" x14ac:dyDescent="0.2">
      <c r="F426" s="16"/>
      <c r="G426" s="16"/>
      <c r="H426" s="16"/>
    </row>
    <row r="427" spans="6:8" ht="14.25" x14ac:dyDescent="0.2">
      <c r="F427" s="16"/>
      <c r="G427" s="16"/>
      <c r="H427" s="16"/>
    </row>
    <row r="428" spans="6:8" ht="14.25" x14ac:dyDescent="0.2">
      <c r="F428" s="16"/>
      <c r="G428" s="16"/>
      <c r="H428" s="16"/>
    </row>
    <row r="429" spans="6:8" ht="14.25" x14ac:dyDescent="0.2">
      <c r="F429" s="16"/>
      <c r="G429" s="16"/>
      <c r="H429" s="16"/>
    </row>
    <row r="430" spans="6:8" ht="14.25" x14ac:dyDescent="0.2">
      <c r="F430" s="16"/>
      <c r="G430" s="16"/>
      <c r="H430" s="16"/>
    </row>
    <row r="431" spans="6:8" ht="14.25" x14ac:dyDescent="0.2">
      <c r="F431" s="16"/>
      <c r="G431" s="16"/>
      <c r="H431" s="16"/>
    </row>
    <row r="432" spans="6:8" ht="14.25" x14ac:dyDescent="0.2">
      <c r="F432" s="16"/>
      <c r="G432" s="16"/>
      <c r="H432" s="16"/>
    </row>
    <row r="433" spans="6:8" ht="14.25" x14ac:dyDescent="0.2">
      <c r="F433" s="16"/>
      <c r="G433" s="16"/>
      <c r="H433" s="16"/>
    </row>
    <row r="434" spans="6:8" ht="14.25" x14ac:dyDescent="0.2">
      <c r="F434" s="16"/>
      <c r="G434" s="16"/>
      <c r="H434" s="16"/>
    </row>
    <row r="435" spans="6:8" ht="14.25" x14ac:dyDescent="0.2">
      <c r="F435" s="16"/>
      <c r="G435" s="16"/>
      <c r="H435" s="16"/>
    </row>
    <row r="436" spans="6:8" ht="14.25" x14ac:dyDescent="0.2">
      <c r="F436" s="16"/>
      <c r="G436" s="16"/>
      <c r="H436" s="16"/>
    </row>
    <row r="437" spans="6:8" ht="14.25" x14ac:dyDescent="0.2">
      <c r="F437" s="16"/>
      <c r="G437" s="16"/>
      <c r="H437" s="16"/>
    </row>
    <row r="438" spans="6:8" ht="14.25" x14ac:dyDescent="0.2">
      <c r="F438" s="16"/>
      <c r="G438" s="16"/>
      <c r="H438" s="16"/>
    </row>
    <row r="439" spans="6:8" ht="14.25" x14ac:dyDescent="0.2">
      <c r="F439" s="16"/>
      <c r="G439" s="16"/>
      <c r="H439" s="16"/>
    </row>
    <row r="440" spans="6:8" ht="14.25" x14ac:dyDescent="0.2">
      <c r="F440" s="16"/>
      <c r="G440" s="16"/>
      <c r="H440" s="16"/>
    </row>
    <row r="441" spans="6:8" ht="14.25" x14ac:dyDescent="0.2">
      <c r="F441" s="16"/>
      <c r="G441" s="16"/>
      <c r="H441" s="16"/>
    </row>
    <row r="442" spans="6:8" ht="14.25" x14ac:dyDescent="0.2">
      <c r="F442" s="16"/>
      <c r="G442" s="16"/>
      <c r="H442" s="16"/>
    </row>
    <row r="443" spans="6:8" ht="14.25" x14ac:dyDescent="0.2">
      <c r="F443" s="16"/>
      <c r="G443" s="16"/>
      <c r="H443" s="16"/>
    </row>
    <row r="444" spans="6:8" ht="14.25" x14ac:dyDescent="0.2">
      <c r="F444" s="16"/>
      <c r="G444" s="16"/>
      <c r="H444" s="16"/>
    </row>
    <row r="445" spans="6:8" ht="14.25" x14ac:dyDescent="0.2">
      <c r="F445" s="16"/>
      <c r="G445" s="16"/>
      <c r="H445" s="16"/>
    </row>
    <row r="446" spans="6:8" ht="14.25" x14ac:dyDescent="0.2">
      <c r="F446" s="16"/>
      <c r="G446" s="16"/>
      <c r="H446" s="16"/>
    </row>
    <row r="447" spans="6:8" ht="14.25" x14ac:dyDescent="0.2">
      <c r="F447" s="16"/>
      <c r="G447" s="16"/>
      <c r="H447" s="16"/>
    </row>
    <row r="448" spans="6:8" ht="14.25" x14ac:dyDescent="0.2">
      <c r="F448" s="16"/>
      <c r="G448" s="16"/>
      <c r="H448" s="16"/>
    </row>
    <row r="449" spans="6:8" ht="14.25" x14ac:dyDescent="0.2">
      <c r="F449" s="16"/>
      <c r="G449" s="16"/>
      <c r="H449" s="16"/>
    </row>
    <row r="450" spans="6:8" ht="14.25" x14ac:dyDescent="0.2">
      <c r="F450" s="16"/>
      <c r="G450" s="16"/>
      <c r="H450" s="16"/>
    </row>
    <row r="451" spans="6:8" ht="14.25" x14ac:dyDescent="0.2">
      <c r="F451" s="16"/>
      <c r="G451" s="16"/>
      <c r="H451" s="16"/>
    </row>
    <row r="452" spans="6:8" ht="14.25" x14ac:dyDescent="0.2">
      <c r="F452" s="16"/>
      <c r="G452" s="16"/>
      <c r="H452" s="16"/>
    </row>
    <row r="453" spans="6:8" ht="14.25" x14ac:dyDescent="0.2">
      <c r="F453" s="16"/>
      <c r="G453" s="16"/>
      <c r="H453" s="16"/>
    </row>
    <row r="454" spans="6:8" ht="14.25" x14ac:dyDescent="0.2">
      <c r="F454" s="16"/>
      <c r="G454" s="16"/>
      <c r="H454" s="16"/>
    </row>
    <row r="455" spans="6:8" ht="14.25" x14ac:dyDescent="0.2">
      <c r="F455" s="16"/>
      <c r="G455" s="16"/>
      <c r="H455" s="16"/>
    </row>
    <row r="456" spans="6:8" ht="14.25" x14ac:dyDescent="0.2">
      <c r="F456" s="16"/>
      <c r="G456" s="16"/>
      <c r="H456" s="16"/>
    </row>
    <row r="457" spans="6:8" ht="14.25" x14ac:dyDescent="0.2">
      <c r="F457" s="16"/>
      <c r="G457" s="16"/>
      <c r="H457" s="16"/>
    </row>
    <row r="458" spans="6:8" ht="14.25" x14ac:dyDescent="0.2">
      <c r="F458" s="16"/>
      <c r="G458" s="16"/>
      <c r="H458" s="16"/>
    </row>
    <row r="459" spans="6:8" ht="14.25" x14ac:dyDescent="0.2">
      <c r="F459" s="16"/>
      <c r="G459" s="16"/>
      <c r="H459" s="16"/>
    </row>
    <row r="460" spans="6:8" ht="14.25" x14ac:dyDescent="0.2">
      <c r="F460" s="16"/>
      <c r="G460" s="16"/>
      <c r="H460" s="16"/>
    </row>
    <row r="461" spans="6:8" ht="14.25" x14ac:dyDescent="0.2">
      <c r="F461" s="16"/>
      <c r="G461" s="16"/>
      <c r="H461" s="16"/>
    </row>
    <row r="462" spans="6:8" ht="14.25" x14ac:dyDescent="0.2">
      <c r="F462" s="16"/>
      <c r="G462" s="16"/>
      <c r="H462" s="16"/>
    </row>
    <row r="463" spans="6:8" ht="14.25" x14ac:dyDescent="0.2">
      <c r="F463" s="16"/>
      <c r="G463" s="16"/>
      <c r="H463" s="16"/>
    </row>
    <row r="464" spans="6:8" ht="14.25" x14ac:dyDescent="0.2">
      <c r="F464" s="16"/>
      <c r="G464" s="16"/>
      <c r="H464" s="16"/>
    </row>
    <row r="465" spans="6:8" ht="14.25" x14ac:dyDescent="0.2">
      <c r="F465" s="16"/>
      <c r="G465" s="16"/>
      <c r="H465" s="16"/>
    </row>
    <row r="466" spans="6:8" ht="14.25" x14ac:dyDescent="0.2">
      <c r="F466" s="16"/>
      <c r="G466" s="16"/>
      <c r="H466" s="16"/>
    </row>
    <row r="467" spans="6:8" ht="14.25" x14ac:dyDescent="0.2">
      <c r="F467" s="16"/>
      <c r="G467" s="16"/>
      <c r="H467" s="16"/>
    </row>
    <row r="468" spans="6:8" ht="14.25" x14ac:dyDescent="0.2">
      <c r="F468" s="16"/>
      <c r="G468" s="16"/>
      <c r="H468" s="16"/>
    </row>
    <row r="469" spans="6:8" ht="14.25" x14ac:dyDescent="0.2">
      <c r="F469" s="16"/>
      <c r="G469" s="16"/>
      <c r="H469" s="16"/>
    </row>
    <row r="470" spans="6:8" ht="14.25" x14ac:dyDescent="0.2">
      <c r="F470" s="16"/>
      <c r="G470" s="16"/>
      <c r="H470" s="16"/>
    </row>
    <row r="471" spans="6:8" ht="14.25" x14ac:dyDescent="0.2">
      <c r="F471" s="16"/>
      <c r="G471" s="16"/>
      <c r="H471" s="16"/>
    </row>
    <row r="472" spans="6:8" ht="14.25" x14ac:dyDescent="0.2">
      <c r="F472" s="16"/>
      <c r="G472" s="16"/>
      <c r="H472" s="16"/>
    </row>
    <row r="473" spans="6:8" ht="14.25" x14ac:dyDescent="0.2">
      <c r="F473" s="16"/>
      <c r="G473" s="16"/>
      <c r="H473" s="16"/>
    </row>
    <row r="474" spans="6:8" ht="14.25" x14ac:dyDescent="0.2">
      <c r="F474" s="16"/>
      <c r="G474" s="16"/>
      <c r="H474" s="16"/>
    </row>
    <row r="475" spans="6:8" ht="14.25" x14ac:dyDescent="0.2">
      <c r="F475" s="16"/>
      <c r="G475" s="16"/>
      <c r="H475" s="16"/>
    </row>
    <row r="476" spans="6:8" ht="14.25" x14ac:dyDescent="0.2">
      <c r="F476" s="16"/>
      <c r="G476" s="16"/>
      <c r="H476" s="16"/>
    </row>
    <row r="477" spans="6:8" ht="14.25" x14ac:dyDescent="0.2">
      <c r="F477" s="16"/>
      <c r="G477" s="16"/>
      <c r="H477" s="16"/>
    </row>
    <row r="478" spans="6:8" ht="14.25" x14ac:dyDescent="0.2">
      <c r="F478" s="16"/>
      <c r="G478" s="16"/>
      <c r="H478" s="16"/>
    </row>
    <row r="479" spans="6:8" ht="14.25" x14ac:dyDescent="0.2">
      <c r="F479" s="16"/>
      <c r="G479" s="16"/>
      <c r="H479" s="16"/>
    </row>
    <row r="480" spans="6:8" ht="14.25" x14ac:dyDescent="0.2">
      <c r="F480" s="16"/>
      <c r="G480" s="16"/>
      <c r="H480" s="16"/>
    </row>
    <row r="481" spans="6:8" ht="14.25" x14ac:dyDescent="0.2">
      <c r="F481" s="16"/>
      <c r="G481" s="16"/>
      <c r="H481" s="16"/>
    </row>
    <row r="482" spans="6:8" ht="14.25" x14ac:dyDescent="0.2">
      <c r="F482" s="16"/>
      <c r="G482" s="16"/>
      <c r="H482" s="16"/>
    </row>
    <row r="483" spans="6:8" ht="14.25" x14ac:dyDescent="0.2">
      <c r="F483" s="16"/>
      <c r="G483" s="16"/>
      <c r="H483" s="16"/>
    </row>
    <row r="484" spans="6:8" ht="14.25" x14ac:dyDescent="0.2">
      <c r="F484" s="16"/>
      <c r="G484" s="16"/>
      <c r="H484" s="16"/>
    </row>
    <row r="485" spans="6:8" ht="14.25" x14ac:dyDescent="0.2">
      <c r="F485" s="16"/>
      <c r="G485" s="16"/>
      <c r="H485" s="16"/>
    </row>
    <row r="486" spans="6:8" ht="14.25" x14ac:dyDescent="0.2">
      <c r="F486" s="16"/>
      <c r="G486" s="16"/>
      <c r="H486" s="16"/>
    </row>
    <row r="487" spans="6:8" ht="14.25" x14ac:dyDescent="0.2">
      <c r="F487" s="16"/>
      <c r="G487" s="16"/>
      <c r="H487" s="16"/>
    </row>
    <row r="488" spans="6:8" ht="14.25" x14ac:dyDescent="0.2">
      <c r="F488" s="16"/>
      <c r="G488" s="16"/>
      <c r="H488" s="16"/>
    </row>
    <row r="489" spans="6:8" ht="14.25" x14ac:dyDescent="0.2">
      <c r="F489" s="16"/>
      <c r="G489" s="16"/>
      <c r="H489" s="16"/>
    </row>
    <row r="490" spans="6:8" ht="14.25" x14ac:dyDescent="0.2">
      <c r="F490" s="16"/>
      <c r="G490" s="16"/>
      <c r="H490" s="16"/>
    </row>
    <row r="491" spans="6:8" ht="14.25" x14ac:dyDescent="0.2">
      <c r="F491" s="16"/>
      <c r="G491" s="16"/>
      <c r="H491" s="16"/>
    </row>
    <row r="492" spans="6:8" ht="14.25" x14ac:dyDescent="0.2">
      <c r="F492" s="16"/>
      <c r="G492" s="16"/>
      <c r="H492" s="16"/>
    </row>
    <row r="493" spans="6:8" ht="14.25" x14ac:dyDescent="0.2">
      <c r="F493" s="16"/>
      <c r="G493" s="16"/>
      <c r="H493" s="16"/>
    </row>
    <row r="494" spans="6:8" ht="14.25" x14ac:dyDescent="0.2">
      <c r="F494" s="16"/>
      <c r="G494" s="16"/>
      <c r="H494" s="16"/>
    </row>
    <row r="495" spans="6:8" ht="14.25" x14ac:dyDescent="0.2">
      <c r="F495" s="16"/>
      <c r="G495" s="16"/>
      <c r="H495" s="16"/>
    </row>
    <row r="496" spans="6:8" ht="14.25" x14ac:dyDescent="0.2">
      <c r="F496" s="16"/>
      <c r="G496" s="16"/>
      <c r="H496" s="16"/>
    </row>
    <row r="497" spans="6:8" ht="14.25" x14ac:dyDescent="0.2">
      <c r="F497" s="16"/>
      <c r="G497" s="16"/>
      <c r="H497" s="16"/>
    </row>
    <row r="498" spans="6:8" ht="14.25" x14ac:dyDescent="0.2">
      <c r="F498" s="16"/>
      <c r="G498" s="16"/>
      <c r="H498" s="16"/>
    </row>
    <row r="499" spans="6:8" ht="14.25" x14ac:dyDescent="0.2">
      <c r="F499" s="16"/>
      <c r="G499" s="16"/>
      <c r="H499" s="16"/>
    </row>
    <row r="500" spans="6:8" ht="14.25" x14ac:dyDescent="0.2">
      <c r="F500" s="16"/>
      <c r="G500" s="16"/>
      <c r="H500" s="16"/>
    </row>
    <row r="501" spans="6:8" ht="14.25" x14ac:dyDescent="0.2">
      <c r="F501" s="16"/>
      <c r="G501" s="16"/>
      <c r="H501" s="16"/>
    </row>
    <row r="502" spans="6:8" ht="14.25" x14ac:dyDescent="0.2">
      <c r="F502" s="16"/>
      <c r="G502" s="16"/>
      <c r="H502" s="16"/>
    </row>
    <row r="503" spans="6:8" ht="14.25" x14ac:dyDescent="0.2">
      <c r="F503" s="16"/>
      <c r="G503" s="16"/>
      <c r="H503" s="16"/>
    </row>
    <row r="504" spans="6:8" ht="14.25" x14ac:dyDescent="0.2">
      <c r="F504" s="16"/>
      <c r="G504" s="16"/>
      <c r="H504" s="16"/>
    </row>
    <row r="505" spans="6:8" ht="14.25" x14ac:dyDescent="0.2">
      <c r="F505" s="16"/>
      <c r="G505" s="16"/>
      <c r="H505" s="16"/>
    </row>
    <row r="506" spans="6:8" ht="14.25" x14ac:dyDescent="0.2">
      <c r="F506" s="16"/>
      <c r="G506" s="16"/>
      <c r="H506" s="16"/>
    </row>
    <row r="507" spans="6:8" ht="14.25" x14ac:dyDescent="0.2">
      <c r="F507" s="16"/>
      <c r="G507" s="16"/>
      <c r="H507" s="16"/>
    </row>
    <row r="508" spans="6:8" ht="14.25" x14ac:dyDescent="0.2">
      <c r="F508" s="16"/>
      <c r="G508" s="16"/>
      <c r="H508" s="16"/>
    </row>
    <row r="509" spans="6:8" ht="14.25" x14ac:dyDescent="0.2">
      <c r="F509" s="16"/>
      <c r="G509" s="16"/>
      <c r="H509" s="16"/>
    </row>
    <row r="510" spans="6:8" ht="14.25" x14ac:dyDescent="0.2">
      <c r="F510" s="16"/>
      <c r="G510" s="16"/>
      <c r="H510" s="16"/>
    </row>
    <row r="511" spans="6:8" ht="14.25" x14ac:dyDescent="0.2">
      <c r="F511" s="16"/>
      <c r="G511" s="16"/>
      <c r="H511" s="16"/>
    </row>
    <row r="512" spans="6:8" ht="14.25" x14ac:dyDescent="0.2">
      <c r="F512" s="16"/>
      <c r="G512" s="16"/>
      <c r="H512" s="16"/>
    </row>
    <row r="513" spans="6:8" ht="14.25" x14ac:dyDescent="0.2">
      <c r="F513" s="16"/>
      <c r="G513" s="16"/>
      <c r="H513" s="16"/>
    </row>
    <row r="514" spans="6:8" ht="14.25" x14ac:dyDescent="0.2">
      <c r="F514" s="16"/>
      <c r="G514" s="16"/>
      <c r="H514" s="16"/>
    </row>
    <row r="515" spans="6:8" ht="14.25" x14ac:dyDescent="0.2">
      <c r="F515" s="16"/>
      <c r="G515" s="16"/>
      <c r="H515" s="16"/>
    </row>
    <row r="516" spans="6:8" ht="14.25" x14ac:dyDescent="0.2">
      <c r="F516" s="16"/>
      <c r="G516" s="16"/>
      <c r="H516" s="16"/>
    </row>
    <row r="517" spans="6:8" ht="14.25" x14ac:dyDescent="0.2">
      <c r="F517" s="16"/>
      <c r="G517" s="16"/>
      <c r="H517" s="16"/>
    </row>
    <row r="518" spans="6:8" ht="14.25" x14ac:dyDescent="0.2">
      <c r="F518" s="16"/>
      <c r="G518" s="16"/>
      <c r="H518" s="16"/>
    </row>
    <row r="519" spans="6:8" ht="14.25" x14ac:dyDescent="0.2">
      <c r="F519" s="16"/>
      <c r="G519" s="16"/>
      <c r="H519" s="16"/>
    </row>
    <row r="520" spans="6:8" ht="14.25" x14ac:dyDescent="0.2">
      <c r="F520" s="16"/>
      <c r="G520" s="16"/>
      <c r="H520" s="16"/>
    </row>
    <row r="521" spans="6:8" ht="14.25" x14ac:dyDescent="0.2">
      <c r="F521" s="16"/>
      <c r="G521" s="16"/>
      <c r="H521" s="16"/>
    </row>
    <row r="522" spans="6:8" ht="14.25" x14ac:dyDescent="0.2">
      <c r="F522" s="16"/>
      <c r="G522" s="16"/>
      <c r="H522" s="16"/>
    </row>
    <row r="523" spans="6:8" ht="14.25" x14ac:dyDescent="0.2">
      <c r="F523" s="16"/>
      <c r="G523" s="16"/>
      <c r="H523" s="16"/>
    </row>
    <row r="524" spans="6:8" ht="14.25" x14ac:dyDescent="0.2">
      <c r="F524" s="16"/>
      <c r="G524" s="16"/>
      <c r="H524" s="16"/>
    </row>
    <row r="525" spans="6:8" ht="14.25" x14ac:dyDescent="0.2">
      <c r="F525" s="16"/>
      <c r="G525" s="16"/>
      <c r="H525" s="16"/>
    </row>
    <row r="526" spans="6:8" ht="14.25" x14ac:dyDescent="0.2">
      <c r="F526" s="16"/>
      <c r="G526" s="16"/>
      <c r="H526" s="16"/>
    </row>
    <row r="527" spans="6:8" ht="14.25" x14ac:dyDescent="0.2">
      <c r="F527" s="16"/>
      <c r="G527" s="16"/>
      <c r="H527" s="16"/>
    </row>
    <row r="528" spans="6:8" ht="14.25" x14ac:dyDescent="0.2">
      <c r="F528" s="16"/>
      <c r="G528" s="16"/>
      <c r="H528" s="16"/>
    </row>
    <row r="529" spans="6:8" ht="14.25" x14ac:dyDescent="0.2">
      <c r="F529" s="16"/>
      <c r="G529" s="16"/>
      <c r="H529" s="16"/>
    </row>
    <row r="530" spans="6:8" ht="14.25" x14ac:dyDescent="0.2">
      <c r="F530" s="16"/>
      <c r="G530" s="16"/>
      <c r="H530" s="16"/>
    </row>
    <row r="531" spans="6:8" ht="14.25" x14ac:dyDescent="0.2">
      <c r="F531" s="16"/>
      <c r="G531" s="16"/>
      <c r="H531" s="16"/>
    </row>
    <row r="532" spans="6:8" ht="14.25" x14ac:dyDescent="0.2">
      <c r="F532" s="16"/>
      <c r="G532" s="16"/>
      <c r="H532" s="16"/>
    </row>
    <row r="533" spans="6:8" ht="14.25" x14ac:dyDescent="0.2">
      <c r="F533" s="16"/>
      <c r="G533" s="16"/>
      <c r="H533" s="16"/>
    </row>
    <row r="534" spans="6:8" ht="14.25" x14ac:dyDescent="0.2">
      <c r="F534" s="16"/>
      <c r="G534" s="16"/>
      <c r="H534" s="16"/>
    </row>
    <row r="535" spans="6:8" ht="14.25" x14ac:dyDescent="0.2">
      <c r="F535" s="16"/>
      <c r="G535" s="16"/>
      <c r="H535" s="16"/>
    </row>
    <row r="536" spans="6:8" ht="14.25" x14ac:dyDescent="0.2">
      <c r="F536" s="16"/>
      <c r="G536" s="16"/>
      <c r="H536" s="16"/>
    </row>
    <row r="537" spans="6:8" ht="14.25" x14ac:dyDescent="0.2">
      <c r="F537" s="16"/>
      <c r="G537" s="16"/>
      <c r="H537" s="16"/>
    </row>
    <row r="538" spans="6:8" ht="14.25" x14ac:dyDescent="0.2">
      <c r="F538" s="16"/>
      <c r="G538" s="16"/>
      <c r="H538" s="16"/>
    </row>
    <row r="539" spans="6:8" ht="14.25" x14ac:dyDescent="0.2">
      <c r="F539" s="16"/>
      <c r="G539" s="16"/>
      <c r="H539" s="16"/>
    </row>
    <row r="540" spans="6:8" ht="14.25" x14ac:dyDescent="0.2">
      <c r="F540" s="16"/>
      <c r="G540" s="16"/>
      <c r="H540" s="16"/>
    </row>
    <row r="541" spans="6:8" ht="14.25" x14ac:dyDescent="0.2">
      <c r="F541" s="16"/>
      <c r="G541" s="16"/>
      <c r="H541" s="16"/>
    </row>
    <row r="542" spans="6:8" ht="14.25" x14ac:dyDescent="0.2">
      <c r="F542" s="16"/>
      <c r="G542" s="16"/>
      <c r="H542" s="16"/>
    </row>
    <row r="543" spans="6:8" ht="14.25" x14ac:dyDescent="0.2">
      <c r="F543" s="16"/>
      <c r="G543" s="16"/>
      <c r="H543" s="16"/>
    </row>
    <row r="544" spans="6:8" ht="14.25" x14ac:dyDescent="0.2">
      <c r="F544" s="16"/>
      <c r="G544" s="16"/>
      <c r="H544" s="16"/>
    </row>
    <row r="545" spans="6:8" ht="14.25" x14ac:dyDescent="0.2">
      <c r="F545" s="16"/>
      <c r="G545" s="16"/>
      <c r="H545" s="16"/>
    </row>
    <row r="546" spans="6:8" ht="14.25" x14ac:dyDescent="0.2">
      <c r="F546" s="16"/>
      <c r="G546" s="16"/>
      <c r="H546" s="16"/>
    </row>
    <row r="547" spans="6:8" ht="14.25" x14ac:dyDescent="0.2">
      <c r="F547" s="16"/>
      <c r="G547" s="16"/>
      <c r="H547" s="16"/>
    </row>
    <row r="548" spans="6:8" ht="14.25" x14ac:dyDescent="0.2">
      <c r="F548" s="16"/>
      <c r="G548" s="16"/>
      <c r="H548" s="16"/>
    </row>
    <row r="549" spans="6:8" ht="14.25" x14ac:dyDescent="0.2">
      <c r="F549" s="16"/>
      <c r="G549" s="16"/>
      <c r="H549" s="16"/>
    </row>
    <row r="550" spans="6:8" ht="14.25" x14ac:dyDescent="0.2">
      <c r="F550" s="16"/>
      <c r="G550" s="16"/>
      <c r="H550" s="16"/>
    </row>
    <row r="551" spans="6:8" ht="14.25" x14ac:dyDescent="0.2">
      <c r="F551" s="16"/>
      <c r="G551" s="16"/>
      <c r="H551" s="16"/>
    </row>
    <row r="552" spans="6:8" ht="14.25" x14ac:dyDescent="0.2">
      <c r="F552" s="16"/>
      <c r="G552" s="16"/>
      <c r="H552" s="16"/>
    </row>
    <row r="553" spans="6:8" ht="14.25" x14ac:dyDescent="0.2">
      <c r="F553" s="16"/>
      <c r="G553" s="16"/>
      <c r="H553" s="16"/>
    </row>
    <row r="554" spans="6:8" ht="14.25" x14ac:dyDescent="0.2">
      <c r="F554" s="16"/>
      <c r="G554" s="16"/>
      <c r="H554" s="16"/>
    </row>
    <row r="555" spans="6:8" ht="14.25" x14ac:dyDescent="0.2">
      <c r="F555" s="16"/>
      <c r="G555" s="16"/>
      <c r="H555" s="16"/>
    </row>
    <row r="556" spans="6:8" ht="14.25" x14ac:dyDescent="0.2">
      <c r="F556" s="16"/>
      <c r="G556" s="16"/>
      <c r="H556" s="16"/>
    </row>
    <row r="557" spans="6:8" ht="14.25" x14ac:dyDescent="0.2">
      <c r="F557" s="16"/>
      <c r="G557" s="16"/>
      <c r="H557" s="16"/>
    </row>
    <row r="558" spans="6:8" ht="14.25" x14ac:dyDescent="0.2">
      <c r="F558" s="16"/>
      <c r="G558" s="16"/>
      <c r="H558" s="16"/>
    </row>
    <row r="559" spans="6:8" ht="14.25" x14ac:dyDescent="0.2">
      <c r="F559" s="16"/>
      <c r="G559" s="16"/>
      <c r="H559" s="16"/>
    </row>
    <row r="560" spans="6:8" ht="14.25" x14ac:dyDescent="0.2">
      <c r="F560" s="16"/>
      <c r="G560" s="16"/>
      <c r="H560" s="16"/>
    </row>
    <row r="561" spans="6:8" ht="14.25" x14ac:dyDescent="0.2">
      <c r="F561" s="16"/>
      <c r="G561" s="16"/>
      <c r="H561" s="16"/>
    </row>
    <row r="562" spans="6:8" ht="14.25" x14ac:dyDescent="0.2">
      <c r="F562" s="16"/>
      <c r="G562" s="16"/>
      <c r="H562" s="16"/>
    </row>
    <row r="563" spans="6:8" ht="14.25" x14ac:dyDescent="0.2">
      <c r="F563" s="16"/>
      <c r="G563" s="16"/>
      <c r="H563" s="16"/>
    </row>
    <row r="564" spans="6:8" ht="14.25" x14ac:dyDescent="0.2">
      <c r="F564" s="16"/>
      <c r="G564" s="16"/>
      <c r="H564" s="16"/>
    </row>
    <row r="565" spans="6:8" ht="14.25" x14ac:dyDescent="0.2">
      <c r="F565" s="16"/>
      <c r="G565" s="16"/>
      <c r="H565" s="16"/>
    </row>
    <row r="566" spans="6:8" ht="14.25" x14ac:dyDescent="0.2">
      <c r="F566" s="16"/>
      <c r="G566" s="16"/>
      <c r="H566" s="16"/>
    </row>
    <row r="567" spans="6:8" ht="14.25" x14ac:dyDescent="0.2">
      <c r="F567" s="16"/>
      <c r="G567" s="16"/>
      <c r="H567" s="16"/>
    </row>
    <row r="568" spans="6:8" ht="14.25" x14ac:dyDescent="0.2">
      <c r="F568" s="16"/>
      <c r="G568" s="16"/>
      <c r="H568" s="16"/>
    </row>
    <row r="569" spans="6:8" ht="14.25" x14ac:dyDescent="0.2">
      <c r="F569" s="16"/>
      <c r="G569" s="16"/>
      <c r="H569" s="16"/>
    </row>
    <row r="570" spans="6:8" ht="14.25" x14ac:dyDescent="0.2">
      <c r="F570" s="16"/>
      <c r="G570" s="16"/>
      <c r="H570" s="16"/>
    </row>
    <row r="571" spans="6:8" ht="14.25" x14ac:dyDescent="0.2">
      <c r="F571" s="16"/>
      <c r="G571" s="16"/>
      <c r="H571" s="16"/>
    </row>
    <row r="572" spans="6:8" ht="14.25" x14ac:dyDescent="0.2">
      <c r="F572" s="16"/>
      <c r="G572" s="16"/>
      <c r="H572" s="16"/>
    </row>
    <row r="573" spans="6:8" ht="14.25" x14ac:dyDescent="0.2">
      <c r="F573" s="16"/>
      <c r="G573" s="16"/>
      <c r="H573" s="16"/>
    </row>
    <row r="574" spans="6:8" ht="14.25" x14ac:dyDescent="0.2">
      <c r="F574" s="16"/>
      <c r="G574" s="16"/>
      <c r="H574" s="16"/>
    </row>
    <row r="575" spans="6:8" ht="14.25" x14ac:dyDescent="0.2">
      <c r="F575" s="16"/>
      <c r="G575" s="16"/>
      <c r="H575" s="16"/>
    </row>
    <row r="576" spans="6:8" ht="14.25" x14ac:dyDescent="0.2">
      <c r="F576" s="16"/>
      <c r="G576" s="16"/>
      <c r="H576" s="16"/>
    </row>
    <row r="577" spans="6:8" ht="14.25" x14ac:dyDescent="0.2">
      <c r="F577" s="16"/>
      <c r="G577" s="16"/>
      <c r="H577" s="16"/>
    </row>
    <row r="578" spans="6:8" ht="14.25" x14ac:dyDescent="0.2">
      <c r="F578" s="16"/>
      <c r="G578" s="16"/>
      <c r="H578" s="16"/>
    </row>
    <row r="579" spans="6:8" ht="14.25" x14ac:dyDescent="0.2">
      <c r="F579" s="16"/>
      <c r="G579" s="16"/>
      <c r="H579" s="16"/>
    </row>
    <row r="580" spans="6:8" ht="14.25" x14ac:dyDescent="0.2">
      <c r="F580" s="16"/>
      <c r="G580" s="16"/>
      <c r="H580" s="16"/>
    </row>
    <row r="581" spans="6:8" ht="14.25" x14ac:dyDescent="0.2">
      <c r="F581" s="16"/>
      <c r="G581" s="16"/>
      <c r="H581" s="16"/>
    </row>
    <row r="582" spans="6:8" ht="14.25" x14ac:dyDescent="0.2">
      <c r="F582" s="16"/>
      <c r="G582" s="16"/>
      <c r="H582" s="16"/>
    </row>
    <row r="583" spans="6:8" ht="14.25" x14ac:dyDescent="0.2">
      <c r="F583" s="16"/>
      <c r="G583" s="16"/>
      <c r="H583" s="16"/>
    </row>
    <row r="584" spans="6:8" ht="14.25" x14ac:dyDescent="0.2">
      <c r="F584" s="16"/>
      <c r="G584" s="16"/>
      <c r="H584" s="16"/>
    </row>
    <row r="585" spans="6:8" ht="14.25" x14ac:dyDescent="0.2">
      <c r="F585" s="16"/>
      <c r="G585" s="16"/>
      <c r="H585" s="16"/>
    </row>
    <row r="586" spans="6:8" ht="14.25" x14ac:dyDescent="0.2">
      <c r="F586" s="16"/>
      <c r="G586" s="16"/>
      <c r="H586" s="16"/>
    </row>
    <row r="587" spans="6:8" ht="14.25" x14ac:dyDescent="0.2">
      <c r="F587" s="16"/>
      <c r="G587" s="16"/>
      <c r="H587" s="16"/>
    </row>
    <row r="588" spans="6:8" ht="14.25" x14ac:dyDescent="0.2">
      <c r="F588" s="16"/>
      <c r="G588" s="16"/>
      <c r="H588" s="16"/>
    </row>
    <row r="589" spans="6:8" ht="14.25" x14ac:dyDescent="0.2">
      <c r="F589" s="16"/>
      <c r="G589" s="16"/>
      <c r="H589" s="16"/>
    </row>
    <row r="590" spans="6:8" ht="14.25" x14ac:dyDescent="0.2">
      <c r="F590" s="16"/>
      <c r="G590" s="16"/>
      <c r="H590" s="16"/>
    </row>
    <row r="591" spans="6:8" ht="14.25" x14ac:dyDescent="0.2">
      <c r="F591" s="16"/>
      <c r="G591" s="16"/>
      <c r="H591" s="16"/>
    </row>
    <row r="592" spans="6:8" ht="14.25" x14ac:dyDescent="0.2">
      <c r="F592" s="16"/>
      <c r="G592" s="16"/>
      <c r="H592" s="16"/>
    </row>
    <row r="593" spans="6:8" ht="14.25" x14ac:dyDescent="0.2">
      <c r="F593" s="16"/>
      <c r="G593" s="16"/>
      <c r="H593" s="16"/>
    </row>
    <row r="594" spans="6:8" ht="14.25" x14ac:dyDescent="0.2">
      <c r="F594" s="16"/>
      <c r="G594" s="16"/>
      <c r="H594" s="16"/>
    </row>
    <row r="595" spans="6:8" ht="14.25" x14ac:dyDescent="0.2">
      <c r="F595" s="16"/>
      <c r="G595" s="16"/>
      <c r="H595" s="16"/>
    </row>
    <row r="596" spans="6:8" ht="14.25" x14ac:dyDescent="0.2">
      <c r="F596" s="16"/>
      <c r="G596" s="16"/>
      <c r="H596" s="16"/>
    </row>
    <row r="597" spans="6:8" ht="14.25" x14ac:dyDescent="0.2">
      <c r="F597" s="16"/>
      <c r="G597" s="16"/>
      <c r="H597" s="16"/>
    </row>
    <row r="598" spans="6:8" ht="14.25" x14ac:dyDescent="0.2">
      <c r="F598" s="16"/>
      <c r="G598" s="16"/>
      <c r="H598" s="16"/>
    </row>
    <row r="599" spans="6:8" ht="14.25" x14ac:dyDescent="0.2">
      <c r="F599" s="16"/>
      <c r="G599" s="16"/>
      <c r="H599" s="16"/>
    </row>
    <row r="600" spans="6:8" ht="14.25" x14ac:dyDescent="0.2">
      <c r="F600" s="16"/>
      <c r="G600" s="16"/>
      <c r="H600" s="16"/>
    </row>
    <row r="601" spans="6:8" ht="14.25" x14ac:dyDescent="0.2">
      <c r="F601" s="16"/>
      <c r="G601" s="16"/>
      <c r="H601" s="16"/>
    </row>
    <row r="602" spans="6:8" ht="14.25" x14ac:dyDescent="0.2">
      <c r="F602" s="16"/>
      <c r="G602" s="16"/>
      <c r="H602" s="16"/>
    </row>
    <row r="603" spans="6:8" ht="14.25" x14ac:dyDescent="0.2">
      <c r="F603" s="16"/>
      <c r="G603" s="16"/>
      <c r="H603" s="16"/>
    </row>
    <row r="604" spans="6:8" ht="14.25" x14ac:dyDescent="0.2">
      <c r="F604" s="16"/>
      <c r="G604" s="16"/>
      <c r="H604" s="16"/>
    </row>
    <row r="605" spans="6:8" ht="14.25" x14ac:dyDescent="0.2">
      <c r="F605" s="16"/>
      <c r="G605" s="16"/>
      <c r="H605" s="16"/>
    </row>
    <row r="606" spans="6:8" ht="14.25" x14ac:dyDescent="0.2">
      <c r="F606" s="16"/>
      <c r="G606" s="16"/>
      <c r="H606" s="16"/>
    </row>
    <row r="607" spans="6:8" ht="14.25" x14ac:dyDescent="0.2">
      <c r="F607" s="16"/>
      <c r="G607" s="16"/>
      <c r="H607" s="16"/>
    </row>
    <row r="608" spans="6:8" ht="14.25" x14ac:dyDescent="0.2">
      <c r="F608" s="16"/>
      <c r="G608" s="16"/>
      <c r="H608" s="16"/>
    </row>
    <row r="609" spans="6:8" ht="14.25" x14ac:dyDescent="0.2">
      <c r="F609" s="16"/>
      <c r="G609" s="16"/>
      <c r="H609" s="16"/>
    </row>
    <row r="610" spans="6:8" ht="14.25" x14ac:dyDescent="0.2">
      <c r="F610" s="16"/>
      <c r="G610" s="16"/>
      <c r="H610" s="16"/>
    </row>
    <row r="611" spans="6:8" ht="14.25" x14ac:dyDescent="0.2">
      <c r="F611" s="16"/>
      <c r="G611" s="16"/>
      <c r="H611" s="16"/>
    </row>
    <row r="612" spans="6:8" ht="14.25" x14ac:dyDescent="0.2">
      <c r="F612" s="16"/>
      <c r="G612" s="16"/>
      <c r="H612" s="16"/>
    </row>
    <row r="613" spans="6:8" ht="14.25" x14ac:dyDescent="0.2">
      <c r="F613" s="16"/>
      <c r="G613" s="16"/>
      <c r="H613" s="16"/>
    </row>
    <row r="614" spans="6:8" ht="14.25" x14ac:dyDescent="0.2">
      <c r="F614" s="16"/>
      <c r="G614" s="16"/>
      <c r="H614" s="16"/>
    </row>
    <row r="615" spans="6:8" ht="14.25" x14ac:dyDescent="0.2">
      <c r="F615" s="16"/>
      <c r="G615" s="16"/>
      <c r="H615" s="16"/>
    </row>
    <row r="616" spans="6:8" ht="14.25" x14ac:dyDescent="0.2">
      <c r="F616" s="16"/>
      <c r="G616" s="16"/>
      <c r="H616" s="16"/>
    </row>
    <row r="617" spans="6:8" ht="14.25" x14ac:dyDescent="0.2">
      <c r="F617" s="16"/>
      <c r="G617" s="16"/>
      <c r="H617" s="16"/>
    </row>
    <row r="618" spans="6:8" ht="14.25" x14ac:dyDescent="0.2">
      <c r="F618" s="16"/>
      <c r="G618" s="16"/>
      <c r="H618" s="16"/>
    </row>
    <row r="619" spans="6:8" ht="14.25" x14ac:dyDescent="0.2">
      <c r="F619" s="16"/>
      <c r="G619" s="16"/>
      <c r="H619" s="16"/>
    </row>
    <row r="620" spans="6:8" ht="14.25" x14ac:dyDescent="0.2">
      <c r="F620" s="16"/>
      <c r="G620" s="16"/>
      <c r="H620" s="16"/>
    </row>
    <row r="621" spans="6:8" ht="14.25" x14ac:dyDescent="0.2">
      <c r="F621" s="16"/>
      <c r="G621" s="16"/>
      <c r="H621" s="16"/>
    </row>
    <row r="622" spans="6:8" ht="14.25" x14ac:dyDescent="0.2">
      <c r="F622" s="16"/>
      <c r="G622" s="16"/>
      <c r="H622" s="16"/>
    </row>
    <row r="623" spans="6:8" ht="14.25" x14ac:dyDescent="0.2">
      <c r="F623" s="16"/>
      <c r="G623" s="16"/>
      <c r="H623" s="16"/>
    </row>
    <row r="624" spans="6:8" ht="14.25" x14ac:dyDescent="0.2">
      <c r="F624" s="16"/>
      <c r="G624" s="16"/>
      <c r="H624" s="16"/>
    </row>
    <row r="625" spans="6:8" ht="14.25" x14ac:dyDescent="0.2">
      <c r="F625" s="16"/>
      <c r="G625" s="16"/>
      <c r="H625" s="16"/>
    </row>
    <row r="626" spans="6:8" ht="14.25" x14ac:dyDescent="0.2">
      <c r="F626" s="16"/>
      <c r="G626" s="16"/>
      <c r="H626" s="16"/>
    </row>
    <row r="627" spans="6:8" ht="14.25" x14ac:dyDescent="0.2">
      <c r="F627" s="16"/>
      <c r="G627" s="16"/>
      <c r="H627" s="16"/>
    </row>
    <row r="628" spans="6:8" ht="14.25" x14ac:dyDescent="0.2">
      <c r="F628" s="16"/>
      <c r="G628" s="16"/>
      <c r="H628" s="16"/>
    </row>
    <row r="629" spans="6:8" ht="14.25" x14ac:dyDescent="0.2">
      <c r="F629" s="16"/>
      <c r="G629" s="16"/>
      <c r="H629" s="16"/>
    </row>
    <row r="630" spans="6:8" ht="14.25" x14ac:dyDescent="0.2">
      <c r="F630" s="16"/>
      <c r="G630" s="16"/>
      <c r="H630" s="16"/>
    </row>
    <row r="631" spans="6:8" ht="14.25" x14ac:dyDescent="0.2">
      <c r="F631" s="16"/>
      <c r="G631" s="16"/>
      <c r="H631" s="16"/>
    </row>
    <row r="632" spans="6:8" ht="14.25" x14ac:dyDescent="0.2">
      <c r="F632" s="16"/>
      <c r="G632" s="16"/>
      <c r="H632" s="16"/>
    </row>
    <row r="633" spans="6:8" ht="14.25" x14ac:dyDescent="0.2">
      <c r="F633" s="16"/>
      <c r="G633" s="16"/>
      <c r="H633" s="16"/>
    </row>
    <row r="634" spans="6:8" ht="14.25" x14ac:dyDescent="0.2">
      <c r="F634" s="16"/>
      <c r="G634" s="16"/>
      <c r="H634" s="16"/>
    </row>
    <row r="635" spans="6:8" ht="14.25" x14ac:dyDescent="0.2">
      <c r="F635" s="16"/>
      <c r="G635" s="16"/>
      <c r="H635" s="16"/>
    </row>
    <row r="636" spans="6:8" ht="14.25" x14ac:dyDescent="0.2">
      <c r="F636" s="16"/>
      <c r="G636" s="16"/>
      <c r="H636" s="16"/>
    </row>
    <row r="637" spans="6:8" ht="14.25" x14ac:dyDescent="0.2">
      <c r="F637" s="16"/>
      <c r="G637" s="16"/>
      <c r="H637" s="16"/>
    </row>
    <row r="638" spans="6:8" ht="14.25" x14ac:dyDescent="0.2">
      <c r="F638" s="16"/>
      <c r="G638" s="16"/>
      <c r="H638" s="16"/>
    </row>
    <row r="639" spans="6:8" ht="14.25" x14ac:dyDescent="0.2">
      <c r="F639" s="16"/>
      <c r="G639" s="16"/>
      <c r="H639" s="16"/>
    </row>
    <row r="640" spans="6:8" ht="14.25" x14ac:dyDescent="0.2">
      <c r="F640" s="16"/>
      <c r="G640" s="16"/>
      <c r="H640" s="16"/>
    </row>
    <row r="641" spans="6:8" ht="14.25" x14ac:dyDescent="0.2">
      <c r="F641" s="16"/>
      <c r="G641" s="16"/>
      <c r="H641" s="16"/>
    </row>
    <row r="642" spans="6:8" ht="14.25" x14ac:dyDescent="0.2">
      <c r="F642" s="16"/>
      <c r="G642" s="16"/>
      <c r="H642" s="16"/>
    </row>
    <row r="643" spans="6:8" ht="14.25" x14ac:dyDescent="0.2">
      <c r="F643" s="16"/>
      <c r="G643" s="16"/>
      <c r="H643" s="16"/>
    </row>
    <row r="644" spans="6:8" ht="14.25" x14ac:dyDescent="0.2">
      <c r="F644" s="16"/>
      <c r="G644" s="16"/>
      <c r="H644" s="16"/>
    </row>
    <row r="645" spans="6:8" ht="14.25" x14ac:dyDescent="0.2">
      <c r="F645" s="16"/>
      <c r="G645" s="16"/>
      <c r="H645" s="16"/>
    </row>
    <row r="646" spans="6:8" ht="14.25" x14ac:dyDescent="0.2">
      <c r="F646" s="16"/>
      <c r="G646" s="16"/>
      <c r="H646" s="16"/>
    </row>
    <row r="647" spans="6:8" ht="14.25" x14ac:dyDescent="0.2">
      <c r="F647" s="16"/>
      <c r="G647" s="16"/>
      <c r="H647" s="16"/>
    </row>
    <row r="648" spans="6:8" ht="14.25" x14ac:dyDescent="0.2">
      <c r="F648" s="16"/>
      <c r="G648" s="16"/>
      <c r="H648" s="16"/>
    </row>
    <row r="649" spans="6:8" ht="14.25" x14ac:dyDescent="0.2">
      <c r="F649" s="16"/>
      <c r="G649" s="16"/>
      <c r="H649" s="16"/>
    </row>
    <row r="650" spans="6:8" ht="14.25" x14ac:dyDescent="0.2">
      <c r="F650" s="16"/>
      <c r="G650" s="16"/>
      <c r="H650" s="16"/>
    </row>
    <row r="651" spans="6:8" ht="14.25" x14ac:dyDescent="0.2">
      <c r="F651" s="16"/>
      <c r="G651" s="16"/>
      <c r="H651" s="16"/>
    </row>
    <row r="652" spans="6:8" ht="14.25" x14ac:dyDescent="0.2">
      <c r="F652" s="16"/>
      <c r="G652" s="16"/>
      <c r="H652" s="16"/>
    </row>
    <row r="653" spans="6:8" ht="14.25" x14ac:dyDescent="0.2">
      <c r="F653" s="16"/>
      <c r="G653" s="16"/>
      <c r="H653" s="16"/>
    </row>
    <row r="654" spans="6:8" ht="14.25" x14ac:dyDescent="0.2">
      <c r="F654" s="16"/>
      <c r="G654" s="16"/>
      <c r="H654" s="16"/>
    </row>
    <row r="655" spans="6:8" ht="14.25" x14ac:dyDescent="0.2">
      <c r="F655" s="16"/>
      <c r="G655" s="16"/>
      <c r="H655" s="16"/>
    </row>
    <row r="656" spans="6:8" ht="14.25" x14ac:dyDescent="0.2">
      <c r="F656" s="16"/>
      <c r="G656" s="16"/>
      <c r="H656" s="16"/>
    </row>
    <row r="657" spans="6:8" ht="14.25" x14ac:dyDescent="0.2">
      <c r="F657" s="16"/>
      <c r="G657" s="16"/>
      <c r="H657" s="16"/>
    </row>
    <row r="658" spans="6:8" ht="14.25" x14ac:dyDescent="0.2">
      <c r="F658" s="16"/>
      <c r="G658" s="16"/>
      <c r="H658" s="16"/>
    </row>
    <row r="659" spans="6:8" ht="14.25" x14ac:dyDescent="0.2">
      <c r="F659" s="16"/>
      <c r="G659" s="16"/>
      <c r="H659" s="16"/>
    </row>
    <row r="660" spans="6:8" ht="14.25" x14ac:dyDescent="0.2">
      <c r="F660" s="16"/>
      <c r="G660" s="16"/>
      <c r="H660" s="16"/>
    </row>
    <row r="661" spans="6:8" ht="14.25" x14ac:dyDescent="0.2">
      <c r="F661" s="16"/>
      <c r="G661" s="16"/>
      <c r="H661" s="16"/>
    </row>
    <row r="662" spans="6:8" ht="14.25" x14ac:dyDescent="0.2">
      <c r="F662" s="16"/>
      <c r="G662" s="16"/>
      <c r="H662" s="16"/>
    </row>
    <row r="663" spans="6:8" ht="14.25" x14ac:dyDescent="0.2">
      <c r="F663" s="16"/>
      <c r="G663" s="16"/>
      <c r="H663" s="16"/>
    </row>
    <row r="664" spans="6:8" ht="14.25" x14ac:dyDescent="0.2">
      <c r="F664" s="16"/>
      <c r="G664" s="16"/>
      <c r="H664" s="16"/>
    </row>
    <row r="665" spans="6:8" ht="14.25" x14ac:dyDescent="0.2">
      <c r="F665" s="16"/>
      <c r="G665" s="16"/>
      <c r="H665" s="16"/>
    </row>
    <row r="666" spans="6:8" ht="14.25" x14ac:dyDescent="0.2">
      <c r="F666" s="16"/>
      <c r="G666" s="16"/>
      <c r="H666" s="16"/>
    </row>
    <row r="667" spans="6:8" ht="14.25" x14ac:dyDescent="0.2">
      <c r="F667" s="16"/>
      <c r="G667" s="16"/>
      <c r="H667" s="16"/>
    </row>
    <row r="668" spans="6:8" ht="14.25" x14ac:dyDescent="0.2">
      <c r="F668" s="16"/>
      <c r="G668" s="16"/>
      <c r="H668" s="16"/>
    </row>
    <row r="669" spans="6:8" ht="14.25" x14ac:dyDescent="0.2">
      <c r="F669" s="16"/>
      <c r="G669" s="16"/>
      <c r="H669" s="16"/>
    </row>
    <row r="670" spans="6:8" ht="14.25" x14ac:dyDescent="0.2">
      <c r="F670" s="16"/>
      <c r="G670" s="16"/>
      <c r="H670" s="16"/>
    </row>
    <row r="671" spans="6:8" ht="14.25" x14ac:dyDescent="0.2">
      <c r="F671" s="16"/>
      <c r="G671" s="16"/>
      <c r="H671" s="16"/>
    </row>
    <row r="672" spans="6:8" ht="14.25" x14ac:dyDescent="0.2">
      <c r="F672" s="16"/>
      <c r="G672" s="16"/>
      <c r="H672" s="16"/>
    </row>
    <row r="673" spans="6:8" ht="14.25" x14ac:dyDescent="0.2">
      <c r="F673" s="16"/>
      <c r="G673" s="16"/>
      <c r="H673" s="16"/>
    </row>
    <row r="674" spans="6:8" ht="14.25" x14ac:dyDescent="0.2">
      <c r="F674" s="16"/>
      <c r="G674" s="16"/>
      <c r="H674" s="16"/>
    </row>
    <row r="675" spans="6:8" ht="14.25" x14ac:dyDescent="0.2">
      <c r="F675" s="16"/>
      <c r="G675" s="16"/>
      <c r="H675" s="16"/>
    </row>
    <row r="676" spans="6:8" ht="14.25" x14ac:dyDescent="0.2">
      <c r="F676" s="16"/>
      <c r="G676" s="16"/>
      <c r="H676" s="16"/>
    </row>
    <row r="677" spans="6:8" ht="14.25" x14ac:dyDescent="0.2">
      <c r="F677" s="16"/>
      <c r="G677" s="16"/>
      <c r="H677" s="16"/>
    </row>
    <row r="678" spans="6:8" ht="14.25" x14ac:dyDescent="0.2">
      <c r="F678" s="16"/>
      <c r="G678" s="16"/>
      <c r="H678" s="16"/>
    </row>
    <row r="679" spans="6:8" ht="14.25" x14ac:dyDescent="0.2">
      <c r="F679" s="16"/>
      <c r="G679" s="16"/>
      <c r="H679" s="16"/>
    </row>
    <row r="680" spans="6:8" ht="14.25" x14ac:dyDescent="0.2">
      <c r="F680" s="16"/>
      <c r="G680" s="16"/>
      <c r="H680" s="16"/>
    </row>
    <row r="681" spans="6:8" ht="14.25" x14ac:dyDescent="0.2">
      <c r="F681" s="16"/>
      <c r="G681" s="16"/>
      <c r="H681" s="16"/>
    </row>
    <row r="682" spans="6:8" ht="14.25" x14ac:dyDescent="0.2">
      <c r="F682" s="16"/>
      <c r="G682" s="16"/>
      <c r="H682" s="16"/>
    </row>
    <row r="683" spans="6:8" ht="14.25" x14ac:dyDescent="0.2">
      <c r="F683" s="16"/>
      <c r="G683" s="16"/>
      <c r="H683" s="16"/>
    </row>
    <row r="684" spans="6:8" ht="14.25" x14ac:dyDescent="0.2">
      <c r="F684" s="16"/>
      <c r="G684" s="16"/>
      <c r="H684" s="16"/>
    </row>
    <row r="685" spans="6:8" ht="14.25" x14ac:dyDescent="0.2">
      <c r="F685" s="16"/>
      <c r="G685" s="16"/>
      <c r="H685" s="16"/>
    </row>
    <row r="686" spans="6:8" ht="14.25" x14ac:dyDescent="0.2">
      <c r="F686" s="16"/>
      <c r="G686" s="16"/>
      <c r="H686" s="16"/>
    </row>
    <row r="687" spans="6:8" ht="14.25" x14ac:dyDescent="0.2">
      <c r="F687" s="16"/>
      <c r="G687" s="16"/>
      <c r="H687" s="16"/>
    </row>
    <row r="688" spans="6:8" ht="14.25" x14ac:dyDescent="0.2">
      <c r="F688" s="16"/>
      <c r="G688" s="16"/>
      <c r="H688" s="16"/>
    </row>
    <row r="689" spans="6:8" ht="14.25" x14ac:dyDescent="0.2">
      <c r="F689" s="16"/>
      <c r="G689" s="16"/>
      <c r="H689" s="16"/>
    </row>
    <row r="690" spans="6:8" ht="14.25" x14ac:dyDescent="0.2">
      <c r="F690" s="16"/>
      <c r="G690" s="16"/>
      <c r="H690" s="16"/>
    </row>
    <row r="691" spans="6:8" ht="14.25" x14ac:dyDescent="0.2">
      <c r="F691" s="16"/>
      <c r="G691" s="16"/>
      <c r="H691" s="16"/>
    </row>
    <row r="692" spans="6:8" ht="14.25" x14ac:dyDescent="0.2">
      <c r="F692" s="16"/>
      <c r="G692" s="16"/>
      <c r="H692" s="16"/>
    </row>
    <row r="693" spans="6:8" ht="14.25" x14ac:dyDescent="0.2">
      <c r="F693" s="16"/>
      <c r="G693" s="16"/>
      <c r="H693" s="16"/>
    </row>
    <row r="694" spans="6:8" ht="14.25" x14ac:dyDescent="0.2">
      <c r="F694" s="16"/>
      <c r="G694" s="16"/>
      <c r="H694" s="16"/>
    </row>
    <row r="695" spans="6:8" ht="14.25" x14ac:dyDescent="0.2">
      <c r="F695" s="16"/>
      <c r="G695" s="16"/>
      <c r="H695" s="16"/>
    </row>
    <row r="696" spans="6:8" ht="14.25" x14ac:dyDescent="0.2">
      <c r="F696" s="16"/>
      <c r="G696" s="16"/>
      <c r="H696" s="16"/>
    </row>
    <row r="697" spans="6:8" ht="14.25" x14ac:dyDescent="0.2">
      <c r="F697" s="16"/>
      <c r="G697" s="16"/>
      <c r="H697" s="16"/>
    </row>
    <row r="698" spans="6:8" ht="14.25" x14ac:dyDescent="0.2">
      <c r="F698" s="16"/>
      <c r="G698" s="16"/>
      <c r="H698" s="16"/>
    </row>
    <row r="699" spans="6:8" ht="14.25" x14ac:dyDescent="0.2">
      <c r="F699" s="16"/>
      <c r="G699" s="16"/>
      <c r="H699" s="16"/>
    </row>
    <row r="700" spans="6:8" ht="14.25" x14ac:dyDescent="0.2">
      <c r="F700" s="16"/>
      <c r="G700" s="16"/>
      <c r="H700" s="16"/>
    </row>
    <row r="701" spans="6:8" ht="14.25" x14ac:dyDescent="0.2">
      <c r="F701" s="16"/>
      <c r="G701" s="16"/>
      <c r="H701" s="16"/>
    </row>
    <row r="702" spans="6:8" ht="14.25" x14ac:dyDescent="0.2">
      <c r="F702" s="16"/>
      <c r="G702" s="16"/>
      <c r="H702" s="16"/>
    </row>
    <row r="703" spans="6:8" ht="14.25" x14ac:dyDescent="0.2">
      <c r="F703" s="16"/>
      <c r="G703" s="16"/>
      <c r="H703" s="16"/>
    </row>
    <row r="704" spans="6:8" ht="14.25" x14ac:dyDescent="0.2">
      <c r="F704" s="16"/>
      <c r="G704" s="16"/>
      <c r="H704" s="16"/>
    </row>
    <row r="705" spans="6:8" ht="14.25" x14ac:dyDescent="0.2">
      <c r="F705" s="16"/>
      <c r="G705" s="16"/>
      <c r="H705" s="16"/>
    </row>
    <row r="706" spans="6:8" ht="14.25" x14ac:dyDescent="0.2">
      <c r="F706" s="16"/>
      <c r="G706" s="16"/>
      <c r="H706" s="16"/>
    </row>
    <row r="707" spans="6:8" ht="14.25" x14ac:dyDescent="0.2">
      <c r="F707" s="16"/>
      <c r="G707" s="16"/>
      <c r="H707" s="16"/>
    </row>
    <row r="708" spans="6:8" ht="14.25" x14ac:dyDescent="0.2">
      <c r="F708" s="16"/>
      <c r="G708" s="16"/>
      <c r="H708" s="16"/>
    </row>
    <row r="709" spans="6:8" ht="14.25" x14ac:dyDescent="0.2">
      <c r="F709" s="16"/>
      <c r="G709" s="16"/>
      <c r="H709" s="16"/>
    </row>
    <row r="710" spans="6:8" ht="14.25" x14ac:dyDescent="0.2">
      <c r="F710" s="16"/>
      <c r="G710" s="16"/>
      <c r="H710" s="16"/>
    </row>
    <row r="711" spans="6:8" ht="14.25" x14ac:dyDescent="0.2">
      <c r="F711" s="16"/>
      <c r="G711" s="16"/>
      <c r="H711" s="16"/>
    </row>
    <row r="712" spans="6:8" ht="14.25" x14ac:dyDescent="0.2">
      <c r="F712" s="16"/>
      <c r="G712" s="16"/>
      <c r="H712" s="16"/>
    </row>
    <row r="713" spans="6:8" ht="14.25" x14ac:dyDescent="0.2">
      <c r="F713" s="16"/>
      <c r="G713" s="16"/>
      <c r="H713" s="16"/>
    </row>
    <row r="714" spans="6:8" ht="14.25" x14ac:dyDescent="0.2">
      <c r="F714" s="16"/>
      <c r="G714" s="16"/>
      <c r="H714" s="16"/>
    </row>
    <row r="715" spans="6:8" ht="14.25" x14ac:dyDescent="0.2">
      <c r="F715" s="16"/>
      <c r="G715" s="16"/>
      <c r="H715" s="16"/>
    </row>
    <row r="716" spans="6:8" ht="14.25" x14ac:dyDescent="0.2">
      <c r="F716" s="16"/>
      <c r="G716" s="16"/>
      <c r="H716" s="16"/>
    </row>
    <row r="717" spans="6:8" ht="14.25" x14ac:dyDescent="0.2">
      <c r="F717" s="16"/>
      <c r="G717" s="16"/>
      <c r="H717" s="16"/>
    </row>
    <row r="718" spans="6:8" ht="14.25" x14ac:dyDescent="0.2">
      <c r="F718" s="16"/>
      <c r="G718" s="16"/>
      <c r="H718" s="16"/>
    </row>
    <row r="719" spans="6:8" ht="14.25" x14ac:dyDescent="0.2">
      <c r="F719" s="16"/>
      <c r="G719" s="16"/>
      <c r="H719" s="16"/>
    </row>
    <row r="720" spans="6:8" ht="14.25" x14ac:dyDescent="0.2">
      <c r="F720" s="16"/>
      <c r="G720" s="16"/>
      <c r="H720" s="16"/>
    </row>
    <row r="721" spans="6:8" ht="14.25" x14ac:dyDescent="0.2">
      <c r="F721" s="16"/>
      <c r="G721" s="16"/>
      <c r="H721" s="16"/>
    </row>
    <row r="722" spans="6:8" ht="14.25" x14ac:dyDescent="0.2">
      <c r="F722" s="16"/>
      <c r="G722" s="16"/>
      <c r="H722" s="16"/>
    </row>
    <row r="723" spans="6:8" ht="14.25" x14ac:dyDescent="0.2">
      <c r="F723" s="16"/>
      <c r="G723" s="16"/>
      <c r="H723" s="16"/>
    </row>
    <row r="724" spans="6:8" ht="14.25" x14ac:dyDescent="0.2">
      <c r="F724" s="16"/>
      <c r="G724" s="16"/>
      <c r="H724" s="16"/>
    </row>
    <row r="725" spans="6:8" ht="14.25" x14ac:dyDescent="0.2">
      <c r="F725" s="16"/>
      <c r="G725" s="16"/>
      <c r="H725" s="16"/>
    </row>
    <row r="726" spans="6:8" ht="14.25" x14ac:dyDescent="0.2">
      <c r="F726" s="16"/>
      <c r="G726" s="16"/>
      <c r="H726" s="16"/>
    </row>
    <row r="727" spans="6:8" ht="14.25" x14ac:dyDescent="0.2">
      <c r="F727" s="16"/>
      <c r="G727" s="16"/>
      <c r="H727" s="16"/>
    </row>
    <row r="728" spans="6:8" ht="14.25" x14ac:dyDescent="0.2">
      <c r="F728" s="16"/>
      <c r="G728" s="16"/>
      <c r="H728" s="16"/>
    </row>
    <row r="729" spans="6:8" ht="14.25" x14ac:dyDescent="0.2">
      <c r="F729" s="16"/>
      <c r="G729" s="16"/>
      <c r="H729" s="16"/>
    </row>
    <row r="730" spans="6:8" ht="14.25" x14ac:dyDescent="0.2">
      <c r="F730" s="16"/>
      <c r="G730" s="16"/>
      <c r="H730" s="16"/>
    </row>
    <row r="731" spans="6:8" ht="14.25" x14ac:dyDescent="0.2">
      <c r="F731" s="16"/>
      <c r="G731" s="16"/>
      <c r="H731" s="16"/>
    </row>
    <row r="732" spans="6:8" ht="14.25" x14ac:dyDescent="0.2">
      <c r="F732" s="16"/>
      <c r="G732" s="16"/>
      <c r="H732" s="16"/>
    </row>
    <row r="733" spans="6:8" ht="14.25" x14ac:dyDescent="0.2">
      <c r="F733" s="16"/>
      <c r="G733" s="16"/>
      <c r="H733" s="16"/>
    </row>
    <row r="734" spans="6:8" ht="14.25" x14ac:dyDescent="0.2">
      <c r="F734" s="16"/>
      <c r="G734" s="16"/>
      <c r="H734" s="16"/>
    </row>
    <row r="735" spans="6:8" ht="14.25" x14ac:dyDescent="0.2">
      <c r="F735" s="16"/>
      <c r="G735" s="16"/>
      <c r="H735" s="16"/>
    </row>
    <row r="736" spans="6:8" ht="14.25" x14ac:dyDescent="0.2">
      <c r="F736" s="16"/>
      <c r="G736" s="16"/>
      <c r="H736" s="16"/>
    </row>
    <row r="737" spans="6:8" ht="14.25" x14ac:dyDescent="0.2">
      <c r="F737" s="16"/>
      <c r="G737" s="16"/>
      <c r="H737" s="16"/>
    </row>
    <row r="738" spans="6:8" ht="14.25" x14ac:dyDescent="0.2">
      <c r="F738" s="16"/>
      <c r="G738" s="16"/>
      <c r="H738" s="16"/>
    </row>
    <row r="739" spans="6:8" ht="14.25" x14ac:dyDescent="0.2">
      <c r="F739" s="16"/>
      <c r="G739" s="16"/>
      <c r="H739" s="16"/>
    </row>
    <row r="740" spans="6:8" ht="14.25" x14ac:dyDescent="0.2">
      <c r="F740" s="16"/>
      <c r="G740" s="16"/>
      <c r="H740" s="16"/>
    </row>
    <row r="741" spans="6:8" ht="14.25" x14ac:dyDescent="0.2">
      <c r="F741" s="16"/>
      <c r="G741" s="16"/>
      <c r="H741" s="16"/>
    </row>
    <row r="742" spans="6:8" ht="14.25" x14ac:dyDescent="0.2">
      <c r="F742" s="16"/>
      <c r="G742" s="16"/>
      <c r="H742" s="16"/>
    </row>
    <row r="743" spans="6:8" ht="14.25" x14ac:dyDescent="0.2">
      <c r="F743" s="16"/>
      <c r="G743" s="16"/>
      <c r="H743" s="16"/>
    </row>
    <row r="744" spans="6:8" ht="14.25" x14ac:dyDescent="0.2">
      <c r="F744" s="16"/>
      <c r="G744" s="16"/>
      <c r="H744" s="16"/>
    </row>
    <row r="745" spans="6:8" ht="14.25" x14ac:dyDescent="0.2">
      <c r="F745" s="16"/>
      <c r="G745" s="16"/>
      <c r="H745" s="16"/>
    </row>
    <row r="746" spans="6:8" ht="14.25" x14ac:dyDescent="0.2">
      <c r="F746" s="16"/>
      <c r="G746" s="16"/>
      <c r="H746" s="16"/>
    </row>
    <row r="747" spans="6:8" ht="14.25" x14ac:dyDescent="0.2">
      <c r="F747" s="16"/>
      <c r="G747" s="16"/>
      <c r="H747" s="16"/>
    </row>
    <row r="748" spans="6:8" ht="14.25" x14ac:dyDescent="0.2">
      <c r="F748" s="16"/>
      <c r="G748" s="16"/>
      <c r="H748" s="16"/>
    </row>
    <row r="749" spans="6:8" ht="14.25" x14ac:dyDescent="0.2">
      <c r="F749" s="16"/>
      <c r="G749" s="16"/>
      <c r="H749" s="16"/>
    </row>
    <row r="750" spans="6:8" ht="14.25" x14ac:dyDescent="0.2">
      <c r="F750" s="16"/>
      <c r="G750" s="16"/>
      <c r="H750" s="16"/>
    </row>
    <row r="751" spans="6:8" ht="14.25" x14ac:dyDescent="0.2">
      <c r="F751" s="16"/>
      <c r="G751" s="16"/>
      <c r="H751" s="16"/>
    </row>
    <row r="752" spans="6:8" ht="14.25" x14ac:dyDescent="0.2">
      <c r="F752" s="16"/>
      <c r="G752" s="16"/>
      <c r="H752" s="16"/>
    </row>
    <row r="753" spans="6:8" ht="14.25" x14ac:dyDescent="0.2">
      <c r="F753" s="16"/>
      <c r="G753" s="16"/>
      <c r="H753" s="16"/>
    </row>
    <row r="754" spans="6:8" ht="14.25" x14ac:dyDescent="0.2">
      <c r="F754" s="16"/>
      <c r="G754" s="16"/>
      <c r="H754" s="16"/>
    </row>
    <row r="755" spans="6:8" ht="14.25" x14ac:dyDescent="0.2">
      <c r="F755" s="16"/>
      <c r="G755" s="16"/>
      <c r="H755" s="16"/>
    </row>
    <row r="756" spans="6:8" ht="14.25" x14ac:dyDescent="0.2">
      <c r="F756" s="16"/>
      <c r="G756" s="16"/>
      <c r="H756" s="16"/>
    </row>
    <row r="757" spans="6:8" ht="14.25" x14ac:dyDescent="0.2">
      <c r="F757" s="16"/>
      <c r="G757" s="16"/>
      <c r="H757" s="16"/>
    </row>
    <row r="758" spans="6:8" ht="14.25" x14ac:dyDescent="0.2">
      <c r="F758" s="16"/>
      <c r="G758" s="16"/>
      <c r="H758" s="16"/>
    </row>
    <row r="759" spans="6:8" ht="14.25" x14ac:dyDescent="0.2">
      <c r="F759" s="16"/>
      <c r="G759" s="16"/>
      <c r="H759" s="16"/>
    </row>
    <row r="760" spans="6:8" ht="14.25" x14ac:dyDescent="0.2">
      <c r="F760" s="16"/>
      <c r="G760" s="16"/>
      <c r="H760" s="16"/>
    </row>
    <row r="761" spans="6:8" ht="14.25" x14ac:dyDescent="0.2">
      <c r="F761" s="16"/>
      <c r="G761" s="16"/>
      <c r="H761" s="16"/>
    </row>
    <row r="762" spans="6:8" ht="14.25" x14ac:dyDescent="0.2">
      <c r="F762" s="16"/>
      <c r="G762" s="16"/>
      <c r="H762" s="16"/>
    </row>
    <row r="763" spans="6:8" ht="14.25" x14ac:dyDescent="0.2">
      <c r="F763" s="16"/>
      <c r="G763" s="16"/>
      <c r="H763" s="16"/>
    </row>
    <row r="764" spans="6:8" ht="14.25" x14ac:dyDescent="0.2">
      <c r="F764" s="16"/>
      <c r="G764" s="16"/>
      <c r="H764" s="16"/>
    </row>
    <row r="765" spans="6:8" ht="14.25" x14ac:dyDescent="0.2">
      <c r="F765" s="16"/>
      <c r="G765" s="16"/>
      <c r="H765" s="16"/>
    </row>
    <row r="766" spans="6:8" ht="14.25" x14ac:dyDescent="0.2">
      <c r="F766" s="16"/>
      <c r="G766" s="16"/>
      <c r="H766" s="16"/>
    </row>
    <row r="767" spans="6:8" ht="14.25" x14ac:dyDescent="0.2">
      <c r="F767" s="16"/>
      <c r="G767" s="16"/>
      <c r="H767" s="16"/>
    </row>
    <row r="768" spans="6:8" ht="14.25" x14ac:dyDescent="0.2">
      <c r="F768" s="16"/>
      <c r="G768" s="16"/>
      <c r="H768" s="16"/>
    </row>
    <row r="769" spans="6:8" ht="14.25" x14ac:dyDescent="0.2">
      <c r="F769" s="16"/>
      <c r="G769" s="16"/>
      <c r="H769" s="16"/>
    </row>
    <row r="770" spans="6:8" ht="14.25" x14ac:dyDescent="0.2">
      <c r="F770" s="16"/>
      <c r="G770" s="16"/>
      <c r="H770" s="16"/>
    </row>
    <row r="771" spans="6:8" ht="14.25" x14ac:dyDescent="0.2">
      <c r="F771" s="16"/>
      <c r="G771" s="16"/>
      <c r="H771" s="16"/>
    </row>
    <row r="772" spans="6:8" ht="14.25" x14ac:dyDescent="0.2">
      <c r="F772" s="16"/>
      <c r="G772" s="16"/>
      <c r="H772" s="16"/>
    </row>
    <row r="773" spans="6:8" ht="14.25" x14ac:dyDescent="0.2">
      <c r="F773" s="16"/>
      <c r="G773" s="16"/>
      <c r="H773" s="16"/>
    </row>
    <row r="774" spans="6:8" ht="14.25" x14ac:dyDescent="0.2">
      <c r="F774" s="16"/>
      <c r="G774" s="16"/>
      <c r="H774" s="16"/>
    </row>
    <row r="775" spans="6:8" ht="14.25" x14ac:dyDescent="0.2">
      <c r="F775" s="16"/>
      <c r="G775" s="16"/>
      <c r="H775" s="16"/>
    </row>
    <row r="776" spans="6:8" ht="14.25" x14ac:dyDescent="0.2">
      <c r="F776" s="16"/>
      <c r="G776" s="16"/>
      <c r="H776" s="16"/>
    </row>
    <row r="777" spans="6:8" ht="14.25" x14ac:dyDescent="0.2">
      <c r="F777" s="16"/>
      <c r="G777" s="16"/>
      <c r="H777" s="16"/>
    </row>
    <row r="778" spans="6:8" ht="14.25" x14ac:dyDescent="0.2">
      <c r="F778" s="16"/>
      <c r="G778" s="16"/>
      <c r="H778" s="16"/>
    </row>
    <row r="779" spans="6:8" ht="14.25" x14ac:dyDescent="0.2">
      <c r="F779" s="16"/>
      <c r="G779" s="16"/>
      <c r="H779" s="16"/>
    </row>
    <row r="780" spans="6:8" ht="14.25" x14ac:dyDescent="0.2">
      <c r="F780" s="16"/>
      <c r="G780" s="16"/>
      <c r="H780" s="16"/>
    </row>
    <row r="781" spans="6:8" ht="14.25" x14ac:dyDescent="0.2">
      <c r="F781" s="16"/>
      <c r="G781" s="16"/>
      <c r="H781" s="16"/>
    </row>
    <row r="782" spans="6:8" ht="14.25" x14ac:dyDescent="0.2">
      <c r="F782" s="16"/>
      <c r="G782" s="16"/>
      <c r="H782" s="16"/>
    </row>
    <row r="783" spans="6:8" ht="14.25" x14ac:dyDescent="0.2">
      <c r="F783" s="16"/>
      <c r="G783" s="16"/>
      <c r="H783" s="16"/>
    </row>
    <row r="784" spans="6:8" ht="14.25" x14ac:dyDescent="0.2">
      <c r="F784" s="16"/>
      <c r="G784" s="16"/>
      <c r="H784" s="16"/>
    </row>
    <row r="785" spans="6:8" ht="14.25" x14ac:dyDescent="0.2">
      <c r="F785" s="16"/>
      <c r="G785" s="16"/>
      <c r="H785" s="16"/>
    </row>
    <row r="786" spans="6:8" ht="14.25" x14ac:dyDescent="0.2">
      <c r="F786" s="16"/>
      <c r="G786" s="16"/>
      <c r="H786" s="16"/>
    </row>
    <row r="787" spans="6:8" ht="14.25" x14ac:dyDescent="0.2">
      <c r="F787" s="16"/>
      <c r="G787" s="16"/>
      <c r="H787" s="16"/>
    </row>
    <row r="788" spans="6:8" ht="14.25" x14ac:dyDescent="0.2">
      <c r="F788" s="16"/>
      <c r="G788" s="16"/>
      <c r="H788" s="16"/>
    </row>
    <row r="789" spans="6:8" ht="14.25" x14ac:dyDescent="0.2">
      <c r="F789" s="16"/>
      <c r="G789" s="16"/>
      <c r="H789" s="16"/>
    </row>
    <row r="790" spans="6:8" ht="14.25" x14ac:dyDescent="0.2">
      <c r="F790" s="16"/>
      <c r="G790" s="16"/>
      <c r="H790" s="16"/>
    </row>
    <row r="791" spans="6:8" ht="14.25" x14ac:dyDescent="0.2">
      <c r="F791" s="16"/>
      <c r="G791" s="16"/>
      <c r="H791" s="16"/>
    </row>
    <row r="792" spans="6:8" ht="14.25" x14ac:dyDescent="0.2">
      <c r="F792" s="16"/>
      <c r="G792" s="16"/>
      <c r="H792" s="16"/>
    </row>
    <row r="793" spans="6:8" ht="14.25" x14ac:dyDescent="0.2">
      <c r="F793" s="16"/>
      <c r="G793" s="16"/>
      <c r="H793" s="16"/>
    </row>
    <row r="794" spans="6:8" ht="14.25" x14ac:dyDescent="0.2">
      <c r="F794" s="16"/>
      <c r="G794" s="16"/>
      <c r="H794" s="16"/>
    </row>
    <row r="795" spans="6:8" ht="14.25" x14ac:dyDescent="0.2">
      <c r="F795" s="16"/>
      <c r="G795" s="16"/>
      <c r="H795" s="16"/>
    </row>
    <row r="796" spans="6:8" ht="14.25" x14ac:dyDescent="0.2">
      <c r="F796" s="16"/>
      <c r="G796" s="16"/>
      <c r="H796" s="16"/>
    </row>
    <row r="797" spans="6:8" ht="14.25" x14ac:dyDescent="0.2">
      <c r="F797" s="16"/>
      <c r="G797" s="16"/>
      <c r="H797" s="16"/>
    </row>
    <row r="798" spans="6:8" ht="14.25" x14ac:dyDescent="0.2">
      <c r="F798" s="16"/>
      <c r="G798" s="16"/>
      <c r="H798" s="16"/>
    </row>
    <row r="799" spans="6:8" ht="14.25" x14ac:dyDescent="0.2">
      <c r="F799" s="16"/>
      <c r="G799" s="16"/>
      <c r="H799" s="16"/>
    </row>
    <row r="800" spans="6:8" ht="14.25" x14ac:dyDescent="0.2">
      <c r="F800" s="16"/>
      <c r="G800" s="16"/>
      <c r="H800" s="16"/>
    </row>
    <row r="801" spans="6:8" ht="14.25" x14ac:dyDescent="0.2">
      <c r="F801" s="16"/>
      <c r="G801" s="16"/>
      <c r="H801" s="16"/>
    </row>
    <row r="802" spans="6:8" ht="14.25" x14ac:dyDescent="0.2">
      <c r="F802" s="16"/>
      <c r="G802" s="16"/>
      <c r="H802" s="16"/>
    </row>
    <row r="803" spans="6:8" ht="14.25" x14ac:dyDescent="0.2">
      <c r="F803" s="16"/>
      <c r="G803" s="16"/>
      <c r="H803" s="16"/>
    </row>
    <row r="804" spans="6:8" ht="14.25" x14ac:dyDescent="0.2">
      <c r="F804" s="16"/>
      <c r="G804" s="16"/>
      <c r="H804" s="16"/>
    </row>
    <row r="805" spans="6:8" ht="14.25" x14ac:dyDescent="0.2">
      <c r="F805" s="16"/>
      <c r="G805" s="16"/>
      <c r="H805" s="16"/>
    </row>
    <row r="806" spans="6:8" ht="14.25" x14ac:dyDescent="0.2">
      <c r="F806" s="16"/>
      <c r="G806" s="16"/>
      <c r="H806" s="16"/>
    </row>
    <row r="807" spans="6:8" ht="14.25" x14ac:dyDescent="0.2">
      <c r="F807" s="16"/>
      <c r="G807" s="16"/>
      <c r="H807" s="16"/>
    </row>
    <row r="808" spans="6:8" ht="14.25" x14ac:dyDescent="0.2">
      <c r="F808" s="16"/>
      <c r="G808" s="16"/>
      <c r="H808" s="16"/>
    </row>
    <row r="809" spans="6:8" ht="14.25" x14ac:dyDescent="0.2">
      <c r="F809" s="16"/>
      <c r="G809" s="16"/>
      <c r="H809" s="16"/>
    </row>
    <row r="810" spans="6:8" ht="14.25" x14ac:dyDescent="0.2">
      <c r="F810" s="16"/>
      <c r="G810" s="16"/>
      <c r="H810" s="16"/>
    </row>
    <row r="811" spans="6:8" ht="14.25" x14ac:dyDescent="0.2">
      <c r="F811" s="16"/>
      <c r="G811" s="16"/>
      <c r="H811" s="16"/>
    </row>
    <row r="812" spans="6:8" ht="14.25" x14ac:dyDescent="0.2">
      <c r="F812" s="16"/>
      <c r="G812" s="16"/>
      <c r="H812" s="16"/>
    </row>
    <row r="813" spans="6:8" ht="14.25" x14ac:dyDescent="0.2">
      <c r="F813" s="16"/>
      <c r="G813" s="16"/>
      <c r="H813" s="16"/>
    </row>
    <row r="814" spans="6:8" ht="14.25" x14ac:dyDescent="0.2">
      <c r="F814" s="16"/>
      <c r="G814" s="16"/>
      <c r="H814" s="16"/>
    </row>
    <row r="815" spans="6:8" ht="14.25" x14ac:dyDescent="0.2">
      <c r="F815" s="16"/>
      <c r="G815" s="16"/>
      <c r="H815" s="16"/>
    </row>
    <row r="816" spans="6:8" ht="14.25" x14ac:dyDescent="0.2">
      <c r="F816" s="16"/>
      <c r="G816" s="16"/>
      <c r="H816" s="16"/>
    </row>
    <row r="817" spans="6:8" ht="14.25" x14ac:dyDescent="0.2">
      <c r="F817" s="16"/>
      <c r="G817" s="16"/>
      <c r="H817" s="16"/>
    </row>
    <row r="818" spans="6:8" ht="14.25" x14ac:dyDescent="0.2">
      <c r="F818" s="16"/>
      <c r="G818" s="16"/>
      <c r="H818" s="16"/>
    </row>
    <row r="819" spans="6:8" ht="14.25" x14ac:dyDescent="0.2">
      <c r="F819" s="16"/>
      <c r="G819" s="16"/>
      <c r="H819" s="16"/>
    </row>
    <row r="820" spans="6:8" ht="14.25" x14ac:dyDescent="0.2">
      <c r="F820" s="16"/>
      <c r="G820" s="16"/>
      <c r="H820" s="16"/>
    </row>
    <row r="821" spans="6:8" ht="14.25" x14ac:dyDescent="0.2">
      <c r="F821" s="16"/>
      <c r="G821" s="16"/>
      <c r="H821" s="16"/>
    </row>
    <row r="822" spans="6:8" ht="14.25" x14ac:dyDescent="0.2">
      <c r="F822" s="16"/>
      <c r="G822" s="16"/>
      <c r="H822" s="16"/>
    </row>
    <row r="823" spans="6:8" ht="14.25" x14ac:dyDescent="0.2">
      <c r="F823" s="16"/>
      <c r="G823" s="16"/>
      <c r="H823" s="16"/>
    </row>
    <row r="824" spans="6:8" ht="14.25" x14ac:dyDescent="0.2">
      <c r="F824" s="16"/>
      <c r="G824" s="16"/>
      <c r="H824" s="16"/>
    </row>
    <row r="825" spans="6:8" ht="14.25" x14ac:dyDescent="0.2">
      <c r="F825" s="16"/>
      <c r="G825" s="16"/>
      <c r="H825" s="16"/>
    </row>
    <row r="826" spans="6:8" ht="14.25" x14ac:dyDescent="0.2">
      <c r="F826" s="16"/>
      <c r="G826" s="16"/>
      <c r="H826" s="16"/>
    </row>
    <row r="827" spans="6:8" ht="14.25" x14ac:dyDescent="0.2">
      <c r="F827" s="16"/>
      <c r="G827" s="16"/>
      <c r="H827" s="16"/>
    </row>
    <row r="828" spans="6:8" ht="14.25" x14ac:dyDescent="0.2">
      <c r="F828" s="16"/>
      <c r="G828" s="16"/>
      <c r="H828" s="16"/>
    </row>
    <row r="829" spans="6:8" ht="14.25" x14ac:dyDescent="0.2">
      <c r="F829" s="16"/>
      <c r="G829" s="16"/>
      <c r="H829" s="16"/>
    </row>
    <row r="830" spans="6:8" ht="14.25" x14ac:dyDescent="0.2">
      <c r="F830" s="16"/>
      <c r="G830" s="16"/>
      <c r="H830" s="16"/>
    </row>
    <row r="831" spans="6:8" ht="14.25" x14ac:dyDescent="0.2">
      <c r="F831" s="16"/>
      <c r="G831" s="16"/>
      <c r="H831" s="16"/>
    </row>
    <row r="832" spans="6:8" ht="14.25" x14ac:dyDescent="0.2">
      <c r="F832" s="16"/>
      <c r="G832" s="16"/>
      <c r="H832" s="16"/>
    </row>
    <row r="833" spans="6:8" ht="14.25" x14ac:dyDescent="0.2">
      <c r="F833" s="16"/>
      <c r="G833" s="16"/>
      <c r="H833" s="16"/>
    </row>
    <row r="834" spans="6:8" ht="14.25" x14ac:dyDescent="0.2">
      <c r="F834" s="16"/>
      <c r="G834" s="16"/>
      <c r="H834" s="16"/>
    </row>
    <row r="835" spans="6:8" ht="14.25" x14ac:dyDescent="0.2">
      <c r="F835" s="16"/>
      <c r="G835" s="16"/>
      <c r="H835" s="16"/>
    </row>
    <row r="836" spans="6:8" ht="14.25" x14ac:dyDescent="0.2">
      <c r="F836" s="16"/>
      <c r="G836" s="16"/>
      <c r="H836" s="16"/>
    </row>
    <row r="837" spans="6:8" ht="14.25" x14ac:dyDescent="0.2">
      <c r="F837" s="16"/>
      <c r="G837" s="16"/>
      <c r="H837" s="16"/>
    </row>
    <row r="838" spans="6:8" ht="14.25" x14ac:dyDescent="0.2">
      <c r="F838" s="16"/>
      <c r="G838" s="16"/>
      <c r="H838" s="16"/>
    </row>
    <row r="839" spans="6:8" ht="14.25" x14ac:dyDescent="0.2">
      <c r="F839" s="16"/>
      <c r="G839" s="16"/>
      <c r="H839" s="16"/>
    </row>
    <row r="840" spans="6:8" ht="14.25" x14ac:dyDescent="0.2">
      <c r="F840" s="16"/>
      <c r="G840" s="16"/>
      <c r="H840" s="16"/>
    </row>
    <row r="841" spans="6:8" ht="14.25" x14ac:dyDescent="0.2">
      <c r="F841" s="16"/>
      <c r="G841" s="16"/>
      <c r="H841" s="16"/>
    </row>
    <row r="842" spans="6:8" ht="14.25" x14ac:dyDescent="0.2">
      <c r="F842" s="16"/>
      <c r="G842" s="16"/>
      <c r="H842" s="16"/>
    </row>
    <row r="843" spans="6:8" ht="14.25" x14ac:dyDescent="0.2">
      <c r="F843" s="16"/>
      <c r="G843" s="16"/>
      <c r="H843" s="16"/>
    </row>
    <row r="844" spans="6:8" ht="14.25" x14ac:dyDescent="0.2">
      <c r="F844" s="16"/>
      <c r="G844" s="16"/>
      <c r="H844" s="16"/>
    </row>
    <row r="845" spans="6:8" ht="14.25" x14ac:dyDescent="0.2">
      <c r="F845" s="16"/>
      <c r="G845" s="16"/>
      <c r="H845" s="16"/>
    </row>
    <row r="846" spans="6:8" ht="14.25" x14ac:dyDescent="0.2">
      <c r="F846" s="16"/>
      <c r="G846" s="16"/>
      <c r="H846" s="16"/>
    </row>
    <row r="847" spans="6:8" ht="14.25" x14ac:dyDescent="0.2">
      <c r="F847" s="16"/>
      <c r="G847" s="16"/>
      <c r="H847" s="16"/>
    </row>
    <row r="848" spans="6:8" ht="14.25" x14ac:dyDescent="0.2">
      <c r="F848" s="16"/>
      <c r="G848" s="16"/>
      <c r="H848" s="16"/>
    </row>
    <row r="849" spans="6:8" ht="14.25" x14ac:dyDescent="0.2">
      <c r="F849" s="16"/>
      <c r="G849" s="16"/>
      <c r="H849" s="16"/>
    </row>
    <row r="850" spans="6:8" ht="14.25" x14ac:dyDescent="0.2">
      <c r="F850" s="16"/>
      <c r="G850" s="16"/>
      <c r="H850" s="16"/>
    </row>
    <row r="851" spans="6:8" ht="14.25" x14ac:dyDescent="0.2">
      <c r="F851" s="16"/>
      <c r="G851" s="16"/>
      <c r="H851" s="16"/>
    </row>
    <row r="852" spans="6:8" ht="14.25" x14ac:dyDescent="0.2">
      <c r="F852" s="16"/>
      <c r="G852" s="16"/>
      <c r="H852" s="16"/>
    </row>
    <row r="853" spans="6:8" ht="14.25" x14ac:dyDescent="0.2">
      <c r="F853" s="16"/>
      <c r="G853" s="16"/>
      <c r="H853" s="16"/>
    </row>
    <row r="854" spans="6:8" ht="14.25" x14ac:dyDescent="0.2">
      <c r="F854" s="16"/>
      <c r="G854" s="16"/>
      <c r="H854" s="16"/>
    </row>
    <row r="855" spans="6:8" ht="14.25" x14ac:dyDescent="0.2">
      <c r="F855" s="16"/>
      <c r="G855" s="16"/>
      <c r="H855" s="16"/>
    </row>
    <row r="856" spans="6:8" ht="14.25" x14ac:dyDescent="0.2">
      <c r="F856" s="16"/>
      <c r="G856" s="16"/>
      <c r="H856" s="16"/>
    </row>
    <row r="857" spans="6:8" ht="14.25" x14ac:dyDescent="0.2">
      <c r="F857" s="16"/>
      <c r="G857" s="16"/>
      <c r="H857" s="16"/>
    </row>
    <row r="858" spans="6:8" ht="14.25" x14ac:dyDescent="0.2">
      <c r="F858" s="16"/>
      <c r="G858" s="16"/>
      <c r="H858" s="16"/>
    </row>
    <row r="859" spans="6:8" ht="14.25" x14ac:dyDescent="0.2">
      <c r="F859" s="16"/>
      <c r="G859" s="16"/>
      <c r="H859" s="16"/>
    </row>
    <row r="860" spans="6:8" ht="14.25" x14ac:dyDescent="0.2">
      <c r="F860" s="16"/>
      <c r="G860" s="16"/>
      <c r="H860" s="16"/>
    </row>
    <row r="861" spans="6:8" ht="14.25" x14ac:dyDescent="0.2">
      <c r="F861" s="16"/>
      <c r="G861" s="16"/>
      <c r="H861" s="16"/>
    </row>
    <row r="862" spans="6:8" ht="14.25" x14ac:dyDescent="0.2">
      <c r="F862" s="16"/>
      <c r="G862" s="16"/>
      <c r="H862" s="16"/>
    </row>
    <row r="863" spans="6:8" ht="14.25" x14ac:dyDescent="0.2">
      <c r="F863" s="16"/>
      <c r="G863" s="16"/>
      <c r="H863" s="16"/>
    </row>
    <row r="864" spans="6:8" ht="14.25" x14ac:dyDescent="0.2">
      <c r="F864" s="16"/>
      <c r="G864" s="16"/>
      <c r="H864" s="16"/>
    </row>
    <row r="865" spans="6:8" ht="14.25" x14ac:dyDescent="0.2">
      <c r="F865" s="16"/>
      <c r="G865" s="16"/>
      <c r="H865" s="16"/>
    </row>
    <row r="866" spans="6:8" ht="14.25" x14ac:dyDescent="0.2">
      <c r="F866" s="16"/>
      <c r="G866" s="16"/>
      <c r="H866" s="16"/>
    </row>
    <row r="867" spans="6:8" ht="14.25" x14ac:dyDescent="0.2">
      <c r="F867" s="16"/>
      <c r="G867" s="16"/>
      <c r="H867" s="16"/>
    </row>
    <row r="868" spans="6:8" ht="14.25" x14ac:dyDescent="0.2">
      <c r="F868" s="16"/>
      <c r="G868" s="16"/>
      <c r="H868" s="16"/>
    </row>
    <row r="869" spans="6:8" ht="14.25" x14ac:dyDescent="0.2">
      <c r="F869" s="16"/>
      <c r="G869" s="16"/>
      <c r="H869" s="16"/>
    </row>
    <row r="870" spans="6:8" ht="14.25" x14ac:dyDescent="0.2">
      <c r="F870" s="16"/>
      <c r="G870" s="16"/>
      <c r="H870" s="16"/>
    </row>
    <row r="871" spans="6:8" ht="14.25" x14ac:dyDescent="0.2">
      <c r="F871" s="16"/>
      <c r="G871" s="16"/>
      <c r="H871" s="16"/>
    </row>
    <row r="872" spans="6:8" ht="14.25" x14ac:dyDescent="0.2">
      <c r="F872" s="16"/>
      <c r="G872" s="16"/>
      <c r="H872" s="16"/>
    </row>
    <row r="873" spans="6:8" ht="14.25" x14ac:dyDescent="0.2">
      <c r="F873" s="16"/>
      <c r="G873" s="16"/>
      <c r="H873" s="16"/>
    </row>
    <row r="874" spans="6:8" ht="14.25" x14ac:dyDescent="0.2">
      <c r="F874" s="16"/>
      <c r="G874" s="16"/>
      <c r="H874" s="16"/>
    </row>
    <row r="875" spans="6:8" ht="14.25" x14ac:dyDescent="0.2">
      <c r="F875" s="16"/>
      <c r="G875" s="16"/>
      <c r="H875" s="16"/>
    </row>
    <row r="876" spans="6:8" ht="14.25" x14ac:dyDescent="0.2">
      <c r="F876" s="16"/>
      <c r="G876" s="16"/>
      <c r="H876" s="16"/>
    </row>
    <row r="877" spans="6:8" ht="14.25" x14ac:dyDescent="0.2">
      <c r="F877" s="16"/>
      <c r="G877" s="16"/>
      <c r="H877" s="16"/>
    </row>
    <row r="878" spans="6:8" ht="14.25" x14ac:dyDescent="0.2">
      <c r="F878" s="16"/>
      <c r="G878" s="16"/>
      <c r="H878" s="16"/>
    </row>
    <row r="879" spans="6:8" ht="14.25" x14ac:dyDescent="0.2">
      <c r="F879" s="16"/>
      <c r="G879" s="16"/>
      <c r="H879" s="16"/>
    </row>
    <row r="880" spans="6:8" ht="14.25" x14ac:dyDescent="0.2">
      <c r="F880" s="16"/>
      <c r="G880" s="16"/>
      <c r="H880" s="16"/>
    </row>
    <row r="881" spans="6:8" ht="14.25" x14ac:dyDescent="0.2">
      <c r="F881" s="16"/>
      <c r="G881" s="16"/>
      <c r="H881" s="16"/>
    </row>
    <row r="882" spans="6:8" ht="14.25" x14ac:dyDescent="0.2">
      <c r="F882" s="16"/>
      <c r="G882" s="16"/>
      <c r="H882" s="16"/>
    </row>
    <row r="883" spans="6:8" ht="14.25" x14ac:dyDescent="0.2">
      <c r="F883" s="16"/>
      <c r="G883" s="16"/>
      <c r="H883" s="16"/>
    </row>
    <row r="884" spans="6:8" ht="14.25" x14ac:dyDescent="0.2">
      <c r="F884" s="16"/>
      <c r="G884" s="16"/>
      <c r="H884" s="16"/>
    </row>
    <row r="885" spans="6:8" ht="14.25" x14ac:dyDescent="0.2">
      <c r="F885" s="16"/>
      <c r="G885" s="16"/>
      <c r="H885" s="16"/>
    </row>
    <row r="886" spans="6:8" ht="14.25" x14ac:dyDescent="0.2">
      <c r="F886" s="16"/>
      <c r="G886" s="16"/>
      <c r="H886" s="16"/>
    </row>
    <row r="887" spans="6:8" ht="14.25" x14ac:dyDescent="0.2">
      <c r="F887" s="16"/>
      <c r="G887" s="16"/>
      <c r="H887" s="16"/>
    </row>
    <row r="888" spans="6:8" ht="14.25" x14ac:dyDescent="0.2">
      <c r="F888" s="16"/>
      <c r="G888" s="16"/>
      <c r="H888" s="16"/>
    </row>
    <row r="889" spans="6:8" ht="14.25" x14ac:dyDescent="0.2">
      <c r="F889" s="16"/>
      <c r="G889" s="16"/>
      <c r="H889" s="16"/>
    </row>
    <row r="890" spans="6:8" ht="14.25" x14ac:dyDescent="0.2">
      <c r="F890" s="16"/>
      <c r="G890" s="16"/>
      <c r="H890" s="16"/>
    </row>
    <row r="891" spans="6:8" ht="14.25" x14ac:dyDescent="0.2">
      <c r="F891" s="16"/>
      <c r="G891" s="16"/>
      <c r="H891" s="16"/>
    </row>
    <row r="892" spans="6:8" ht="14.25" x14ac:dyDescent="0.2">
      <c r="F892" s="16"/>
      <c r="G892" s="16"/>
      <c r="H892" s="16"/>
    </row>
    <row r="893" spans="6:8" ht="14.25" x14ac:dyDescent="0.2">
      <c r="F893" s="16"/>
      <c r="G893" s="16"/>
      <c r="H893" s="16"/>
    </row>
    <row r="894" spans="6:8" ht="14.25" x14ac:dyDescent="0.2">
      <c r="F894" s="16"/>
      <c r="G894" s="16"/>
      <c r="H894" s="16"/>
    </row>
    <row r="895" spans="6:8" ht="14.25" x14ac:dyDescent="0.2">
      <c r="F895" s="16"/>
      <c r="G895" s="16"/>
      <c r="H895" s="16"/>
    </row>
    <row r="896" spans="6:8" ht="14.25" x14ac:dyDescent="0.2">
      <c r="F896" s="16"/>
      <c r="G896" s="16"/>
      <c r="H896" s="16"/>
    </row>
    <row r="897" spans="6:8" ht="14.25" x14ac:dyDescent="0.2">
      <c r="F897" s="16"/>
      <c r="G897" s="16"/>
      <c r="H897" s="16"/>
    </row>
    <row r="898" spans="6:8" ht="14.25" x14ac:dyDescent="0.2">
      <c r="F898" s="16"/>
      <c r="G898" s="16"/>
      <c r="H898" s="16"/>
    </row>
    <row r="899" spans="6:8" ht="14.25" x14ac:dyDescent="0.2">
      <c r="F899" s="16"/>
      <c r="G899" s="16"/>
      <c r="H899" s="16"/>
    </row>
    <row r="900" spans="6:8" ht="14.25" x14ac:dyDescent="0.2">
      <c r="F900" s="16"/>
      <c r="G900" s="16"/>
      <c r="H900" s="16"/>
    </row>
    <row r="901" spans="6:8" ht="14.25" x14ac:dyDescent="0.2">
      <c r="F901" s="16"/>
      <c r="G901" s="16"/>
      <c r="H901" s="16"/>
    </row>
    <row r="902" spans="6:8" ht="14.25" x14ac:dyDescent="0.2">
      <c r="F902" s="16"/>
      <c r="G902" s="16"/>
      <c r="H902" s="16"/>
    </row>
    <row r="903" spans="6:8" ht="14.25" x14ac:dyDescent="0.2">
      <c r="F903" s="16"/>
      <c r="G903" s="16"/>
      <c r="H903" s="16"/>
    </row>
    <row r="904" spans="6:8" ht="14.25" x14ac:dyDescent="0.2">
      <c r="F904" s="16"/>
      <c r="G904" s="16"/>
      <c r="H904" s="16"/>
    </row>
    <row r="905" spans="6:8" ht="14.25" x14ac:dyDescent="0.2">
      <c r="F905" s="16"/>
      <c r="G905" s="16"/>
      <c r="H905" s="16"/>
    </row>
    <row r="906" spans="6:8" ht="14.25" x14ac:dyDescent="0.2">
      <c r="F906" s="16"/>
      <c r="G906" s="16"/>
      <c r="H906" s="16"/>
    </row>
    <row r="907" spans="6:8" ht="14.25" x14ac:dyDescent="0.2">
      <c r="F907" s="16"/>
      <c r="G907" s="16"/>
      <c r="H907" s="16"/>
    </row>
    <row r="908" spans="6:8" ht="14.25" x14ac:dyDescent="0.2">
      <c r="F908" s="16"/>
      <c r="G908" s="16"/>
      <c r="H908" s="16"/>
    </row>
    <row r="909" spans="6:8" ht="14.25" x14ac:dyDescent="0.2">
      <c r="F909" s="16"/>
      <c r="G909" s="16"/>
      <c r="H909" s="16"/>
    </row>
    <row r="910" spans="6:8" ht="14.25" x14ac:dyDescent="0.2">
      <c r="F910" s="16"/>
      <c r="G910" s="16"/>
      <c r="H910" s="16"/>
    </row>
    <row r="911" spans="6:8" ht="14.25" x14ac:dyDescent="0.2">
      <c r="F911" s="16"/>
      <c r="G911" s="16"/>
      <c r="H911" s="16"/>
    </row>
    <row r="912" spans="6:8" ht="14.25" x14ac:dyDescent="0.2">
      <c r="F912" s="16"/>
      <c r="G912" s="16"/>
      <c r="H912" s="16"/>
    </row>
    <row r="913" spans="6:8" ht="14.25" x14ac:dyDescent="0.2">
      <c r="F913" s="16"/>
      <c r="G913" s="16"/>
      <c r="H913" s="16"/>
    </row>
    <row r="914" spans="6:8" ht="14.25" x14ac:dyDescent="0.2">
      <c r="F914" s="16"/>
      <c r="G914" s="16"/>
      <c r="H914" s="16"/>
    </row>
    <row r="915" spans="6:8" ht="14.25" x14ac:dyDescent="0.2">
      <c r="F915" s="16"/>
      <c r="G915" s="16"/>
      <c r="H915" s="16"/>
    </row>
    <row r="916" spans="6:8" ht="14.25" x14ac:dyDescent="0.2">
      <c r="F916" s="16"/>
      <c r="G916" s="16"/>
      <c r="H916" s="16"/>
    </row>
    <row r="917" spans="6:8" ht="14.25" x14ac:dyDescent="0.2">
      <c r="F917" s="16"/>
      <c r="G917" s="16"/>
      <c r="H917" s="16"/>
    </row>
    <row r="918" spans="6:8" ht="14.25" x14ac:dyDescent="0.2">
      <c r="F918" s="16"/>
      <c r="G918" s="16"/>
      <c r="H918" s="16"/>
    </row>
    <row r="919" spans="6:8" ht="14.25" x14ac:dyDescent="0.2">
      <c r="F919" s="16"/>
      <c r="G919" s="16"/>
      <c r="H919" s="16"/>
    </row>
    <row r="920" spans="6:8" ht="14.25" x14ac:dyDescent="0.2">
      <c r="F920" s="16"/>
      <c r="G920" s="16"/>
      <c r="H920" s="16"/>
    </row>
    <row r="921" spans="6:8" ht="14.25" x14ac:dyDescent="0.2">
      <c r="F921" s="16"/>
      <c r="G921" s="16"/>
      <c r="H921" s="16"/>
    </row>
    <row r="922" spans="6:8" ht="14.25" x14ac:dyDescent="0.2">
      <c r="F922" s="16"/>
      <c r="G922" s="16"/>
      <c r="H922" s="16"/>
    </row>
    <row r="923" spans="6:8" ht="14.25" x14ac:dyDescent="0.2">
      <c r="F923" s="16"/>
      <c r="G923" s="16"/>
      <c r="H923" s="16"/>
    </row>
    <row r="924" spans="6:8" ht="14.25" x14ac:dyDescent="0.2">
      <c r="F924" s="16"/>
      <c r="G924" s="16"/>
      <c r="H924" s="16"/>
    </row>
    <row r="925" spans="6:8" ht="14.25" x14ac:dyDescent="0.2">
      <c r="F925" s="16"/>
      <c r="G925" s="16"/>
      <c r="H925" s="16"/>
    </row>
    <row r="926" spans="6:8" ht="14.25" x14ac:dyDescent="0.2">
      <c r="F926" s="16"/>
      <c r="G926" s="16"/>
      <c r="H926" s="16"/>
    </row>
    <row r="927" spans="6:8" ht="14.25" x14ac:dyDescent="0.2">
      <c r="F927" s="16"/>
      <c r="G927" s="16"/>
      <c r="H927" s="16"/>
    </row>
    <row r="928" spans="6:8" ht="14.25" x14ac:dyDescent="0.2">
      <c r="F928" s="16"/>
      <c r="G928" s="16"/>
      <c r="H928" s="16"/>
    </row>
    <row r="929" spans="6:8" ht="14.25" x14ac:dyDescent="0.2">
      <c r="F929" s="16"/>
      <c r="G929" s="16"/>
      <c r="H929" s="16"/>
    </row>
    <row r="930" spans="6:8" ht="14.25" x14ac:dyDescent="0.2">
      <c r="F930" s="16"/>
      <c r="G930" s="16"/>
      <c r="H930" s="16"/>
    </row>
    <row r="931" spans="6:8" ht="14.25" x14ac:dyDescent="0.2">
      <c r="F931" s="16"/>
      <c r="G931" s="16"/>
      <c r="H931" s="16"/>
    </row>
    <row r="932" spans="6:8" ht="14.25" x14ac:dyDescent="0.2">
      <c r="F932" s="16"/>
      <c r="G932" s="16"/>
      <c r="H932" s="16"/>
    </row>
    <row r="933" spans="6:8" ht="14.25" x14ac:dyDescent="0.2">
      <c r="F933" s="16"/>
      <c r="G933" s="16"/>
      <c r="H933" s="16"/>
    </row>
    <row r="934" spans="6:8" ht="14.25" x14ac:dyDescent="0.2">
      <c r="F934" s="16"/>
      <c r="G934" s="16"/>
      <c r="H934" s="16"/>
    </row>
    <row r="935" spans="6:8" ht="14.25" x14ac:dyDescent="0.2">
      <c r="F935" s="16"/>
      <c r="G935" s="16"/>
      <c r="H935" s="16"/>
    </row>
    <row r="936" spans="6:8" ht="14.25" x14ac:dyDescent="0.2">
      <c r="F936" s="16"/>
      <c r="G936" s="16"/>
      <c r="H936" s="16"/>
    </row>
    <row r="937" spans="6:8" ht="14.25" x14ac:dyDescent="0.2">
      <c r="F937" s="16"/>
      <c r="G937" s="16"/>
      <c r="H937" s="16"/>
    </row>
    <row r="938" spans="6:8" ht="14.25" x14ac:dyDescent="0.2">
      <c r="F938" s="16"/>
      <c r="G938" s="16"/>
      <c r="H938" s="16"/>
    </row>
    <row r="939" spans="6:8" ht="14.25" x14ac:dyDescent="0.2">
      <c r="F939" s="16"/>
      <c r="G939" s="16"/>
      <c r="H939" s="16"/>
    </row>
    <row r="940" spans="6:8" ht="14.25" x14ac:dyDescent="0.2">
      <c r="F940" s="16"/>
      <c r="G940" s="16"/>
      <c r="H940" s="16"/>
    </row>
    <row r="941" spans="6:8" ht="14.25" x14ac:dyDescent="0.2">
      <c r="F941" s="16"/>
      <c r="G941" s="16"/>
      <c r="H941" s="16"/>
    </row>
    <row r="942" spans="6:8" ht="14.25" x14ac:dyDescent="0.2">
      <c r="F942" s="16"/>
      <c r="G942" s="16"/>
      <c r="H942" s="16"/>
    </row>
    <row r="943" spans="6:8" ht="14.25" x14ac:dyDescent="0.2">
      <c r="F943" s="16"/>
      <c r="G943" s="16"/>
      <c r="H943" s="16"/>
    </row>
    <row r="944" spans="6:8" ht="14.25" x14ac:dyDescent="0.2">
      <c r="F944" s="16"/>
      <c r="G944" s="16"/>
      <c r="H944" s="16"/>
    </row>
    <row r="945" spans="6:8" ht="14.25" x14ac:dyDescent="0.2">
      <c r="F945" s="16"/>
      <c r="G945" s="16"/>
      <c r="H945" s="16"/>
    </row>
    <row r="946" spans="6:8" ht="14.25" x14ac:dyDescent="0.2">
      <c r="F946" s="16"/>
      <c r="G946" s="16"/>
      <c r="H946" s="16"/>
    </row>
    <row r="947" spans="6:8" ht="14.25" x14ac:dyDescent="0.2">
      <c r="F947" s="16"/>
      <c r="G947" s="16"/>
      <c r="H947" s="16"/>
    </row>
    <row r="948" spans="6:8" ht="14.25" x14ac:dyDescent="0.2">
      <c r="F948" s="16"/>
      <c r="G948" s="16"/>
      <c r="H948" s="16"/>
    </row>
    <row r="949" spans="6:8" ht="14.25" x14ac:dyDescent="0.2">
      <c r="F949" s="16"/>
      <c r="G949" s="16"/>
      <c r="H949" s="16"/>
    </row>
    <row r="950" spans="6:8" ht="14.25" x14ac:dyDescent="0.2">
      <c r="F950" s="16"/>
      <c r="G950" s="16"/>
      <c r="H950" s="16"/>
    </row>
    <row r="951" spans="6:8" ht="14.25" x14ac:dyDescent="0.2">
      <c r="F951" s="16"/>
      <c r="G951" s="16"/>
      <c r="H951" s="16"/>
    </row>
    <row r="952" spans="6:8" ht="14.25" x14ac:dyDescent="0.2">
      <c r="F952" s="16"/>
      <c r="G952" s="16"/>
      <c r="H952" s="16"/>
    </row>
    <row r="953" spans="6:8" ht="14.25" x14ac:dyDescent="0.2">
      <c r="F953" s="16"/>
      <c r="G953" s="16"/>
      <c r="H953" s="16"/>
    </row>
    <row r="954" spans="6:8" ht="14.25" x14ac:dyDescent="0.2">
      <c r="F954" s="16"/>
      <c r="G954" s="16"/>
      <c r="H954" s="16"/>
    </row>
    <row r="955" spans="6:8" ht="14.25" x14ac:dyDescent="0.2">
      <c r="F955" s="16"/>
      <c r="G955" s="16"/>
      <c r="H955" s="16"/>
    </row>
    <row r="956" spans="6:8" ht="14.25" x14ac:dyDescent="0.2">
      <c r="F956" s="16"/>
      <c r="G956" s="16"/>
      <c r="H956" s="16"/>
    </row>
    <row r="957" spans="6:8" ht="14.25" x14ac:dyDescent="0.2">
      <c r="F957" s="16"/>
      <c r="G957" s="16"/>
      <c r="H957" s="16"/>
    </row>
    <row r="958" spans="6:8" ht="14.25" x14ac:dyDescent="0.2">
      <c r="F958" s="16"/>
      <c r="G958" s="16"/>
      <c r="H958" s="16"/>
    </row>
    <row r="959" spans="6:8" ht="14.25" x14ac:dyDescent="0.2">
      <c r="F959" s="16"/>
      <c r="G959" s="16"/>
      <c r="H959" s="16"/>
    </row>
    <row r="960" spans="6:8" ht="14.25" x14ac:dyDescent="0.2">
      <c r="F960" s="16"/>
      <c r="G960" s="16"/>
      <c r="H960" s="16"/>
    </row>
    <row r="961" spans="6:8" ht="14.25" x14ac:dyDescent="0.2">
      <c r="F961" s="16"/>
      <c r="G961" s="16"/>
      <c r="H961" s="16"/>
    </row>
    <row r="962" spans="6:8" ht="14.25" x14ac:dyDescent="0.2">
      <c r="F962" s="16"/>
      <c r="G962" s="16"/>
      <c r="H962" s="16"/>
    </row>
    <row r="963" spans="6:8" ht="14.25" x14ac:dyDescent="0.2">
      <c r="F963" s="16"/>
      <c r="G963" s="16"/>
      <c r="H963" s="16"/>
    </row>
    <row r="964" spans="6:8" ht="14.25" x14ac:dyDescent="0.2">
      <c r="F964" s="16"/>
      <c r="G964" s="16"/>
      <c r="H964" s="16"/>
    </row>
    <row r="965" spans="6:8" ht="14.25" x14ac:dyDescent="0.2">
      <c r="F965" s="16"/>
      <c r="G965" s="16"/>
      <c r="H965" s="16"/>
    </row>
    <row r="966" spans="6:8" ht="14.25" x14ac:dyDescent="0.2">
      <c r="F966" s="16"/>
      <c r="G966" s="16"/>
      <c r="H966" s="16"/>
    </row>
    <row r="967" spans="6:8" ht="14.25" x14ac:dyDescent="0.2">
      <c r="F967" s="16"/>
      <c r="G967" s="16"/>
      <c r="H967" s="16"/>
    </row>
    <row r="968" spans="6:8" ht="14.25" x14ac:dyDescent="0.2">
      <c r="F968" s="16"/>
      <c r="G968" s="16"/>
      <c r="H968" s="16"/>
    </row>
    <row r="969" spans="6:8" ht="14.25" x14ac:dyDescent="0.2">
      <c r="F969" s="16"/>
      <c r="G969" s="16"/>
      <c r="H969" s="16"/>
    </row>
    <row r="970" spans="6:8" ht="14.25" x14ac:dyDescent="0.2">
      <c r="F970" s="16"/>
      <c r="G970" s="16"/>
      <c r="H970" s="16"/>
    </row>
    <row r="971" spans="6:8" ht="14.25" x14ac:dyDescent="0.2">
      <c r="F971" s="16"/>
      <c r="G971" s="16"/>
      <c r="H971" s="16"/>
    </row>
    <row r="972" spans="6:8" ht="14.25" x14ac:dyDescent="0.2">
      <c r="F972" s="16"/>
      <c r="G972" s="16"/>
      <c r="H972" s="16"/>
    </row>
    <row r="973" spans="6:8" ht="14.25" x14ac:dyDescent="0.2">
      <c r="F973" s="16"/>
      <c r="G973" s="16"/>
      <c r="H973" s="16"/>
    </row>
    <row r="974" spans="6:8" ht="14.25" x14ac:dyDescent="0.2">
      <c r="F974" s="16"/>
      <c r="G974" s="16"/>
      <c r="H974" s="16"/>
    </row>
    <row r="975" spans="6:8" ht="14.25" x14ac:dyDescent="0.2">
      <c r="F975" s="16"/>
      <c r="G975" s="16"/>
      <c r="H975" s="16"/>
    </row>
    <row r="976" spans="6:8" ht="14.25" x14ac:dyDescent="0.2">
      <c r="F976" s="16"/>
      <c r="G976" s="16"/>
      <c r="H976" s="16"/>
    </row>
    <row r="977" spans="6:8" ht="14.25" x14ac:dyDescent="0.2">
      <c r="F977" s="16"/>
      <c r="G977" s="16"/>
      <c r="H977" s="16"/>
    </row>
    <row r="978" spans="6:8" ht="14.25" x14ac:dyDescent="0.2">
      <c r="F978" s="16"/>
      <c r="G978" s="16"/>
      <c r="H978" s="16"/>
    </row>
    <row r="979" spans="6:8" ht="14.25" x14ac:dyDescent="0.2">
      <c r="F979" s="16"/>
      <c r="G979" s="16"/>
      <c r="H979" s="16"/>
    </row>
    <row r="980" spans="6:8" ht="14.25" x14ac:dyDescent="0.2">
      <c r="F980" s="16"/>
      <c r="G980" s="16"/>
      <c r="H980" s="16"/>
    </row>
    <row r="981" spans="6:8" ht="14.25" x14ac:dyDescent="0.2">
      <c r="F981" s="16"/>
      <c r="G981" s="16"/>
      <c r="H981" s="16"/>
    </row>
    <row r="982" spans="6:8" ht="14.25" x14ac:dyDescent="0.2">
      <c r="F982" s="16"/>
      <c r="G982" s="16"/>
      <c r="H982" s="16"/>
    </row>
    <row r="983" spans="6:8" ht="14.25" x14ac:dyDescent="0.2">
      <c r="F983" s="16"/>
      <c r="G983" s="16"/>
      <c r="H983" s="16"/>
    </row>
    <row r="984" spans="6:8" ht="14.25" x14ac:dyDescent="0.2">
      <c r="F984" s="16"/>
      <c r="G984" s="16"/>
      <c r="H984" s="16"/>
    </row>
    <row r="985" spans="6:8" ht="14.25" x14ac:dyDescent="0.2">
      <c r="F985" s="16"/>
      <c r="G985" s="16"/>
      <c r="H985" s="16"/>
    </row>
    <row r="986" spans="6:8" ht="14.25" x14ac:dyDescent="0.2">
      <c r="F986" s="16"/>
      <c r="G986" s="16"/>
      <c r="H986" s="16"/>
    </row>
    <row r="987" spans="6:8" ht="14.25" x14ac:dyDescent="0.2">
      <c r="F987" s="16"/>
      <c r="G987" s="16"/>
      <c r="H987" s="16"/>
    </row>
    <row r="988" spans="6:8" ht="14.25" x14ac:dyDescent="0.2">
      <c r="F988" s="16"/>
      <c r="G988" s="16"/>
      <c r="H988" s="16"/>
    </row>
    <row r="989" spans="6:8" ht="14.25" x14ac:dyDescent="0.2">
      <c r="F989" s="16"/>
      <c r="G989" s="16"/>
      <c r="H989" s="16"/>
    </row>
    <row r="990" spans="6:8" ht="14.25" x14ac:dyDescent="0.2">
      <c r="F990" s="16"/>
      <c r="G990" s="16"/>
      <c r="H990" s="16"/>
    </row>
    <row r="991" spans="6:8" ht="14.25" x14ac:dyDescent="0.2">
      <c r="F991" s="16"/>
      <c r="G991" s="16"/>
      <c r="H991" s="16"/>
    </row>
    <row r="992" spans="6:8" ht="14.25" x14ac:dyDescent="0.2">
      <c r="F992" s="16"/>
      <c r="G992" s="16"/>
      <c r="H992" s="16"/>
    </row>
    <row r="993" spans="6:8" ht="14.25" x14ac:dyDescent="0.2">
      <c r="F993" s="16"/>
      <c r="G993" s="16"/>
      <c r="H993" s="16"/>
    </row>
    <row r="994" spans="6:8" ht="14.25" x14ac:dyDescent="0.2">
      <c r="F994" s="16"/>
      <c r="G994" s="16"/>
      <c r="H994" s="16"/>
    </row>
    <row r="995" spans="6:8" ht="14.25" x14ac:dyDescent="0.2">
      <c r="F995" s="16"/>
      <c r="G995" s="16"/>
      <c r="H995" s="16"/>
    </row>
    <row r="996" spans="6:8" ht="14.25" x14ac:dyDescent="0.2">
      <c r="F996" s="16"/>
      <c r="G996" s="16"/>
      <c r="H996" s="16"/>
    </row>
    <row r="997" spans="6:8" ht="14.25" x14ac:dyDescent="0.2">
      <c r="F997" s="16"/>
      <c r="G997" s="16"/>
      <c r="H997" s="16"/>
    </row>
    <row r="998" spans="6:8" ht="14.25" x14ac:dyDescent="0.2">
      <c r="F998" s="16"/>
      <c r="G998" s="16"/>
      <c r="H998" s="16"/>
    </row>
    <row r="999" spans="6:8" ht="14.25" x14ac:dyDescent="0.2">
      <c r="F999" s="16"/>
      <c r="G999" s="16"/>
      <c r="H999" s="16"/>
    </row>
    <row r="1000" spans="6:8" ht="14.25" x14ac:dyDescent="0.2">
      <c r="F1000" s="16"/>
      <c r="G1000" s="16"/>
      <c r="H1000" s="16"/>
    </row>
  </sheetData>
  <mergeCells count="2">
    <mergeCell ref="B1:D1"/>
    <mergeCell ref="B16:D16"/>
  </mergeCells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F955-5642-4F88-9870-572375A2C0E9}">
  <dimension ref="A1:B18"/>
  <sheetViews>
    <sheetView workbookViewId="0"/>
  </sheetViews>
  <sheetFormatPr defaultRowHeight="14.25" x14ac:dyDescent="0.2"/>
  <sheetData>
    <row r="1" spans="1:2" x14ac:dyDescent="0.2">
      <c r="A1">
        <v>1</v>
      </c>
      <c r="B1">
        <v>1</v>
      </c>
    </row>
    <row r="2" spans="1:2" x14ac:dyDescent="0.2">
      <c r="A2" t="s">
        <v>180</v>
      </c>
      <c r="B2" t="s">
        <v>164</v>
      </c>
    </row>
    <row r="3" spans="1:2" x14ac:dyDescent="0.2">
      <c r="A3">
        <v>1</v>
      </c>
      <c r="B3">
        <v>1</v>
      </c>
    </row>
    <row r="4" spans="1:2" x14ac:dyDescent="0.2">
      <c r="A4">
        <v>100000</v>
      </c>
      <c r="B4">
        <v>2500000</v>
      </c>
    </row>
    <row r="5" spans="1:2" x14ac:dyDescent="0.2">
      <c r="A5">
        <v>200000</v>
      </c>
      <c r="B5">
        <v>4000000</v>
      </c>
    </row>
    <row r="6" spans="1:2" x14ac:dyDescent="0.2">
      <c r="A6">
        <v>10000</v>
      </c>
      <c r="B6">
        <v>100000</v>
      </c>
    </row>
    <row r="8" spans="1:2" x14ac:dyDescent="0.2">
      <c r="A8" s="128"/>
      <c r="B8" s="128" t="s">
        <v>165</v>
      </c>
    </row>
    <row r="9" spans="1:2" x14ac:dyDescent="0.2">
      <c r="A9" t="s">
        <v>181</v>
      </c>
      <c r="B9" t="s">
        <v>166</v>
      </c>
    </row>
    <row r="10" spans="1:2" x14ac:dyDescent="0.2">
      <c r="A10" t="s">
        <v>182</v>
      </c>
      <c r="B10">
        <v>1</v>
      </c>
    </row>
    <row r="11" spans="1:2" x14ac:dyDescent="0.2">
      <c r="B11">
        <v>4000000</v>
      </c>
    </row>
    <row r="12" spans="1:2" x14ac:dyDescent="0.2">
      <c r="B12">
        <v>6500000</v>
      </c>
    </row>
    <row r="13" spans="1:2" x14ac:dyDescent="0.2">
      <c r="B13">
        <v>100000</v>
      </c>
    </row>
    <row r="15" spans="1:2" x14ac:dyDescent="0.2">
      <c r="B15" s="128" t="s">
        <v>165</v>
      </c>
    </row>
    <row r="16" spans="1:2" x14ac:dyDescent="0.2">
      <c r="B16" t="s">
        <v>167</v>
      </c>
    </row>
    <row r="17" spans="2:2" x14ac:dyDescent="0.2">
      <c r="B17" t="s">
        <v>168</v>
      </c>
    </row>
    <row r="18" spans="2:2" x14ac:dyDescent="0.2">
      <c r="B18" t="s">
        <v>169</v>
      </c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AEC8-2445-434C-9CD3-B00784CED1A2}">
  <dimension ref="A1:AZ30"/>
  <sheetViews>
    <sheetView topLeftCell="O10" workbookViewId="0"/>
  </sheetViews>
  <sheetFormatPr defaultRowHeight="14.25" x14ac:dyDescent="0.2"/>
  <cols>
    <col min="1" max="1" width="8.5" bestFit="1" customWidth="1"/>
    <col min="2" max="27" width="10.875" bestFit="1" customWidth="1"/>
  </cols>
  <sheetData>
    <row r="1" spans="1:52" x14ac:dyDescent="0.2">
      <c r="A1" s="131" t="s">
        <v>170</v>
      </c>
      <c r="AC1" s="134" t="str">
        <f>CONCATENATE("Sensitivity of ",$AC$4," to ","W2")</f>
        <v>Sensitivity of $D$41 to W2</v>
      </c>
      <c r="AG1" s="134" t="str">
        <f>CONCATENATE("Sensitivity of ",$AG$4," to ","W1")</f>
        <v>Sensitivity of $D$41 to W1</v>
      </c>
    </row>
    <row r="2" spans="1:52" x14ac:dyDescent="0.2">
      <c r="AC2" t="s">
        <v>172</v>
      </c>
      <c r="AG2" t="s">
        <v>175</v>
      </c>
      <c r="AZ2" t="s">
        <v>167</v>
      </c>
    </row>
    <row r="3" spans="1:52" x14ac:dyDescent="0.2">
      <c r="A3" t="s">
        <v>171</v>
      </c>
      <c r="AC3" t="s">
        <v>173</v>
      </c>
      <c r="AD3" t="s">
        <v>174</v>
      </c>
      <c r="AG3" t="s">
        <v>173</v>
      </c>
      <c r="AH3" t="s">
        <v>176</v>
      </c>
    </row>
    <row r="4" spans="1:52" ht="35.25" x14ac:dyDescent="0.2">
      <c r="A4" s="130" t="s">
        <v>167</v>
      </c>
      <c r="B4" s="129">
        <v>4000000</v>
      </c>
      <c r="C4" s="129">
        <v>4100000</v>
      </c>
      <c r="D4" s="129">
        <v>4200000</v>
      </c>
      <c r="E4" s="129">
        <v>4300000</v>
      </c>
      <c r="F4" s="129">
        <v>4400000</v>
      </c>
      <c r="G4" s="129">
        <v>4500000</v>
      </c>
      <c r="H4" s="129">
        <v>4600000</v>
      </c>
      <c r="I4" s="129">
        <v>4700000</v>
      </c>
      <c r="J4" s="129">
        <v>4800000</v>
      </c>
      <c r="K4" s="129">
        <v>4900000</v>
      </c>
      <c r="L4" s="129">
        <v>5000000</v>
      </c>
      <c r="M4" s="129">
        <v>5100000</v>
      </c>
      <c r="N4" s="129">
        <v>5200000</v>
      </c>
      <c r="O4" s="129">
        <v>5300000</v>
      </c>
      <c r="P4" s="129">
        <v>5400000</v>
      </c>
      <c r="Q4" s="129">
        <v>5500000</v>
      </c>
      <c r="R4" s="129">
        <v>5600000</v>
      </c>
      <c r="S4" s="129">
        <v>5700000</v>
      </c>
      <c r="T4" s="129">
        <v>5800000</v>
      </c>
      <c r="U4" s="129">
        <v>5900000</v>
      </c>
      <c r="V4" s="129">
        <v>6000000</v>
      </c>
      <c r="W4" s="129">
        <v>6100000</v>
      </c>
      <c r="X4" s="129">
        <v>6200000</v>
      </c>
      <c r="Y4" s="129">
        <v>6300000</v>
      </c>
      <c r="Z4" s="129">
        <v>6400000</v>
      </c>
      <c r="AA4" s="129">
        <v>6500000</v>
      </c>
      <c r="AB4" s="134">
        <f>MATCH($AC$4,OutputAddresses,0)</f>
        <v>1</v>
      </c>
      <c r="AC4" s="133" t="s">
        <v>167</v>
      </c>
      <c r="AD4" s="132">
        <v>2500000</v>
      </c>
      <c r="AE4" s="134">
        <f>MATCH($AD$4,InputValues1,0)</f>
        <v>1</v>
      </c>
      <c r="AF4" s="134">
        <f>MATCH($AG$4,OutputAddresses,0)</f>
        <v>1</v>
      </c>
      <c r="AG4" s="133" t="s">
        <v>167</v>
      </c>
      <c r="AH4" s="132">
        <v>4000000</v>
      </c>
      <c r="AI4" s="134">
        <f>MATCH($AH$4,InputValues2,0)</f>
        <v>1</v>
      </c>
    </row>
    <row r="5" spans="1:52" x14ac:dyDescent="0.2">
      <c r="A5" s="129">
        <v>2500000</v>
      </c>
      <c r="B5" s="135">
        <v>60159.596357908027</v>
      </c>
      <c r="C5" s="138">
        <v>60161.794757793963</v>
      </c>
      <c r="D5" s="138">
        <v>60163.417583115021</v>
      </c>
      <c r="E5" s="138">
        <v>60163.071076814784</v>
      </c>
      <c r="F5" s="138">
        <v>60164.545609913504</v>
      </c>
      <c r="G5" s="138">
        <v>60164.668557209283</v>
      </c>
      <c r="H5" s="138">
        <v>60165.645336967762</v>
      </c>
      <c r="I5" s="138">
        <v>60165.645336967762</v>
      </c>
      <c r="J5" s="138">
        <v>60165.645336967762</v>
      </c>
      <c r="K5" s="138">
        <v>60165.645336967762</v>
      </c>
      <c r="L5" s="138">
        <v>60165.645336967762</v>
      </c>
      <c r="M5" s="138">
        <v>60165.645336967762</v>
      </c>
      <c r="N5" s="138">
        <v>60165.645336967762</v>
      </c>
      <c r="O5" s="138">
        <v>60165.645336967762</v>
      </c>
      <c r="P5" s="138">
        <v>60165.645336967762</v>
      </c>
      <c r="Q5" s="138">
        <v>60165.645336967762</v>
      </c>
      <c r="R5" s="138">
        <v>60165.645336967762</v>
      </c>
      <c r="S5" s="138">
        <v>60165.645336967762</v>
      </c>
      <c r="T5" s="138">
        <v>60165.645336967762</v>
      </c>
      <c r="U5" s="138">
        <v>60165.645336967762</v>
      </c>
      <c r="V5" s="138">
        <v>60165.645336967762</v>
      </c>
      <c r="W5" s="138">
        <v>60165.645336967762</v>
      </c>
      <c r="X5" s="138">
        <v>60165.645336967762</v>
      </c>
      <c r="Y5" s="138">
        <v>60165.645336967762</v>
      </c>
      <c r="Z5" s="138">
        <v>60165.645336967762</v>
      </c>
      <c r="AA5" s="141">
        <v>60165.645336967762</v>
      </c>
      <c r="AB5" s="134" t="str">
        <f>"OutputValues_"&amp;$AB$4</f>
        <v>OutputValues_1</v>
      </c>
      <c r="AC5">
        <f ca="1">INDEX(INDIRECT($AB$5),$AE$4,1)</f>
        <v>60159.596357908027</v>
      </c>
      <c r="AF5" s="134" t="str">
        <f>"OutputValues_"&amp;$AF$4</f>
        <v>OutputValues_1</v>
      </c>
      <c r="AG5">
        <f ca="1">INDEX(INDIRECT($AF$5),1,$AI$4)</f>
        <v>60159.596357908027</v>
      </c>
    </row>
    <row r="6" spans="1:52" x14ac:dyDescent="0.2">
      <c r="A6" s="129">
        <v>2600000</v>
      </c>
      <c r="B6" s="136">
        <v>60162.068992607165</v>
      </c>
      <c r="C6" s="139">
        <v>60162.301625901411</v>
      </c>
      <c r="D6" s="139">
        <v>60165.720349785028</v>
      </c>
      <c r="E6" s="139">
        <v>60166.413961381375</v>
      </c>
      <c r="F6" s="139">
        <v>60163.223204093199</v>
      </c>
      <c r="G6" s="139">
        <v>60165.252216761801</v>
      </c>
      <c r="H6" s="139">
        <v>60165.252216761801</v>
      </c>
      <c r="I6" s="139">
        <v>60165.252216761801</v>
      </c>
      <c r="J6" s="139">
        <v>60165.252216761801</v>
      </c>
      <c r="K6" s="139">
        <v>60165.252216761801</v>
      </c>
      <c r="L6" s="139">
        <v>60165.252216761801</v>
      </c>
      <c r="M6" s="139">
        <v>60165.252216761801</v>
      </c>
      <c r="N6" s="139">
        <v>60165.252216761801</v>
      </c>
      <c r="O6" s="139">
        <v>60165.252216761801</v>
      </c>
      <c r="P6" s="139">
        <v>60165.252216761801</v>
      </c>
      <c r="Q6" s="139">
        <v>60165.252216761801</v>
      </c>
      <c r="R6" s="139">
        <v>60165.252216761801</v>
      </c>
      <c r="S6" s="139">
        <v>60165.252216761801</v>
      </c>
      <c r="T6" s="139">
        <v>60165.252216761801</v>
      </c>
      <c r="U6" s="139">
        <v>60165.252216761801</v>
      </c>
      <c r="V6" s="139">
        <v>60165.252216761801</v>
      </c>
      <c r="W6" s="139">
        <v>60165.252216761801</v>
      </c>
      <c r="X6" s="139">
        <v>60165.252216761801</v>
      </c>
      <c r="Y6" s="139">
        <v>60165.252216761801</v>
      </c>
      <c r="Z6" s="139">
        <v>60165.252216761801</v>
      </c>
      <c r="AA6" s="142">
        <v>60165.252216761801</v>
      </c>
      <c r="AC6">
        <f ca="1">INDEX(INDIRECT($AB$5),$AE$4,2)</f>
        <v>60161.794757793963</v>
      </c>
      <c r="AG6">
        <f ca="1">INDEX(INDIRECT($AF$5),2,$AI$4)</f>
        <v>60162.068992607165</v>
      </c>
    </row>
    <row r="7" spans="1:52" x14ac:dyDescent="0.2">
      <c r="A7" s="129">
        <v>2700000</v>
      </c>
      <c r="B7" s="136">
        <v>60164.095048783842</v>
      </c>
      <c r="C7" s="139">
        <v>60165.480864963334</v>
      </c>
      <c r="D7" s="139">
        <v>60164.528055769988</v>
      </c>
      <c r="E7" s="139">
        <v>60164.588411456891</v>
      </c>
      <c r="F7" s="139">
        <v>60165.14708416842</v>
      </c>
      <c r="G7" s="139">
        <v>60166.873692352703</v>
      </c>
      <c r="H7" s="139">
        <v>60166.873692352703</v>
      </c>
      <c r="I7" s="139">
        <v>60166.873692352703</v>
      </c>
      <c r="J7" s="139">
        <v>60166.873692352703</v>
      </c>
      <c r="K7" s="139">
        <v>60166.873692352703</v>
      </c>
      <c r="L7" s="139">
        <v>60166.873692352703</v>
      </c>
      <c r="M7" s="139">
        <v>60166.873692352703</v>
      </c>
      <c r="N7" s="139">
        <v>60166.873692352703</v>
      </c>
      <c r="O7" s="139">
        <v>60166.873692352703</v>
      </c>
      <c r="P7" s="139">
        <v>60166.873692352703</v>
      </c>
      <c r="Q7" s="139">
        <v>60166.873692352703</v>
      </c>
      <c r="R7" s="139">
        <v>60166.873692352703</v>
      </c>
      <c r="S7" s="139">
        <v>60166.873692352703</v>
      </c>
      <c r="T7" s="139">
        <v>60166.873692352703</v>
      </c>
      <c r="U7" s="139">
        <v>60166.873692352703</v>
      </c>
      <c r="V7" s="139">
        <v>60166.873692352703</v>
      </c>
      <c r="W7" s="139">
        <v>60166.873692352703</v>
      </c>
      <c r="X7" s="139">
        <v>60166.873692352703</v>
      </c>
      <c r="Y7" s="139">
        <v>60166.873692352703</v>
      </c>
      <c r="Z7" s="139">
        <v>60166.873692352703</v>
      </c>
      <c r="AA7" s="142">
        <v>60166.873692352703</v>
      </c>
      <c r="AC7">
        <f ca="1">INDEX(INDIRECT($AB$5),$AE$4,3)</f>
        <v>60163.417583115021</v>
      </c>
      <c r="AG7">
        <f ca="1">INDEX(INDIRECT($AF$5),3,$AI$4)</f>
        <v>60164.095048783842</v>
      </c>
    </row>
    <row r="8" spans="1:52" x14ac:dyDescent="0.2">
      <c r="A8" s="129">
        <v>2800000</v>
      </c>
      <c r="B8" s="136">
        <v>60163.687260339371</v>
      </c>
      <c r="C8" s="139">
        <v>60162.609767491362</v>
      </c>
      <c r="D8" s="139">
        <v>60164.052742768923</v>
      </c>
      <c r="E8" s="139">
        <v>60165.14708416842</v>
      </c>
      <c r="F8" s="139">
        <v>60166.441209453871</v>
      </c>
      <c r="G8" s="139">
        <v>60166.447752123757</v>
      </c>
      <c r="H8" s="139">
        <v>60166.447752123757</v>
      </c>
      <c r="I8" s="139">
        <v>60166.447752123757</v>
      </c>
      <c r="J8" s="139">
        <v>60166.447752123757</v>
      </c>
      <c r="K8" s="139">
        <v>60166.447752123757</v>
      </c>
      <c r="L8" s="139">
        <v>60166.447752123757</v>
      </c>
      <c r="M8" s="139">
        <v>60166.447752123757</v>
      </c>
      <c r="N8" s="139">
        <v>60166.447752123757</v>
      </c>
      <c r="O8" s="139">
        <v>60166.447752123757</v>
      </c>
      <c r="P8" s="139">
        <v>60166.447752123757</v>
      </c>
      <c r="Q8" s="139">
        <v>60166.447752123757</v>
      </c>
      <c r="R8" s="139">
        <v>60166.447752123757</v>
      </c>
      <c r="S8" s="139">
        <v>60166.447752123757</v>
      </c>
      <c r="T8" s="139">
        <v>60166.447752123757</v>
      </c>
      <c r="U8" s="139">
        <v>60166.447752123757</v>
      </c>
      <c r="V8" s="139">
        <v>60166.447752123757</v>
      </c>
      <c r="W8" s="139">
        <v>60166.447752123757</v>
      </c>
      <c r="X8" s="139">
        <v>60166.447752123757</v>
      </c>
      <c r="Y8" s="139">
        <v>60166.447752123757</v>
      </c>
      <c r="Z8" s="139">
        <v>60166.447752123757</v>
      </c>
      <c r="AA8" s="142">
        <v>60166.447752123757</v>
      </c>
      <c r="AC8">
        <f ca="1">INDEX(INDIRECT($AB$5),$AE$4,4)</f>
        <v>60163.071076814784</v>
      </c>
      <c r="AG8">
        <f ca="1">INDEX(INDIRECT($AF$5),4,$AI$4)</f>
        <v>60163.687260339371</v>
      </c>
    </row>
    <row r="9" spans="1:52" x14ac:dyDescent="0.2">
      <c r="A9" s="129">
        <v>2900000</v>
      </c>
      <c r="B9" s="136">
        <v>60163.439306167085</v>
      </c>
      <c r="C9" s="139">
        <v>60163.223204093199</v>
      </c>
      <c r="D9" s="139">
        <v>60165.14708416842</v>
      </c>
      <c r="E9" s="139">
        <v>60165.70152997876</v>
      </c>
      <c r="F9" s="139">
        <v>60166.441209453871</v>
      </c>
      <c r="G9" s="139">
        <v>60166.447752123757</v>
      </c>
      <c r="H9" s="139">
        <v>60166.447752123757</v>
      </c>
      <c r="I9" s="139">
        <v>60166.447752123757</v>
      </c>
      <c r="J9" s="139">
        <v>60166.447752123757</v>
      </c>
      <c r="K9" s="139">
        <v>60166.447752123757</v>
      </c>
      <c r="L9" s="139">
        <v>60166.447752123757</v>
      </c>
      <c r="M9" s="139">
        <v>60166.447752123757</v>
      </c>
      <c r="N9" s="139">
        <v>60166.447752123757</v>
      </c>
      <c r="O9" s="139">
        <v>60166.447752123757</v>
      </c>
      <c r="P9" s="139">
        <v>60166.447752123757</v>
      </c>
      <c r="Q9" s="139">
        <v>60166.447752123757</v>
      </c>
      <c r="R9" s="139">
        <v>60166.447752123757</v>
      </c>
      <c r="S9" s="139">
        <v>60166.447752123757</v>
      </c>
      <c r="T9" s="139">
        <v>60166.447752123757</v>
      </c>
      <c r="U9" s="139">
        <v>60166.447752123757</v>
      </c>
      <c r="V9" s="139">
        <v>60166.447752123757</v>
      </c>
      <c r="W9" s="139">
        <v>60166.447752123757</v>
      </c>
      <c r="X9" s="139">
        <v>60166.447752123757</v>
      </c>
      <c r="Y9" s="139">
        <v>60166.447752123757</v>
      </c>
      <c r="Z9" s="139">
        <v>60166.447752123757</v>
      </c>
      <c r="AA9" s="142">
        <v>60166.447752123757</v>
      </c>
      <c r="AC9">
        <f ca="1">INDEX(INDIRECT($AB$5),$AE$4,5)</f>
        <v>60164.545609913504</v>
      </c>
      <c r="AG9">
        <f ca="1">INDEX(INDIRECT($AF$5),5,$AI$4)</f>
        <v>60163.439306167085</v>
      </c>
    </row>
    <row r="10" spans="1:52" x14ac:dyDescent="0.2">
      <c r="A10" s="129">
        <v>3000000</v>
      </c>
      <c r="B10" s="136">
        <v>60163.223204093199</v>
      </c>
      <c r="C10" s="139">
        <v>60165.14708416842</v>
      </c>
      <c r="D10" s="139">
        <v>60165.380398401117</v>
      </c>
      <c r="E10" s="139">
        <v>60165.70152997876</v>
      </c>
      <c r="F10" s="139">
        <v>60166.441209453871</v>
      </c>
      <c r="G10" s="139">
        <v>60166.447752123757</v>
      </c>
      <c r="H10" s="139">
        <v>60166.447752123757</v>
      </c>
      <c r="I10" s="139">
        <v>60166.447752123757</v>
      </c>
      <c r="J10" s="139">
        <v>60166.447752123757</v>
      </c>
      <c r="K10" s="139">
        <v>60166.447752123757</v>
      </c>
      <c r="L10" s="139">
        <v>60166.447752123757</v>
      </c>
      <c r="M10" s="139">
        <v>60166.447752123757</v>
      </c>
      <c r="N10" s="139">
        <v>60166.447752123757</v>
      </c>
      <c r="O10" s="139">
        <v>60166.447752123757</v>
      </c>
      <c r="P10" s="139">
        <v>60166.447752123757</v>
      </c>
      <c r="Q10" s="139">
        <v>60166.447752123757</v>
      </c>
      <c r="R10" s="139">
        <v>60166.447752123757</v>
      </c>
      <c r="S10" s="139">
        <v>60166.447752123757</v>
      </c>
      <c r="T10" s="139">
        <v>60166.447752123757</v>
      </c>
      <c r="U10" s="139">
        <v>60166.447752123757</v>
      </c>
      <c r="V10" s="139">
        <v>60166.447752123757</v>
      </c>
      <c r="W10" s="139">
        <v>60166.447752123757</v>
      </c>
      <c r="X10" s="139">
        <v>60166.447752123757</v>
      </c>
      <c r="Y10" s="139">
        <v>60166.447752123757</v>
      </c>
      <c r="Z10" s="139">
        <v>60166.447752123757</v>
      </c>
      <c r="AA10" s="142">
        <v>60166.447752123757</v>
      </c>
      <c r="AC10">
        <f ca="1">INDEX(INDIRECT($AB$5),$AE$4,6)</f>
        <v>60164.668557209283</v>
      </c>
      <c r="AG10">
        <f ca="1">INDEX(INDIRECT($AF$5),6,$AI$4)</f>
        <v>60163.223204093199</v>
      </c>
    </row>
    <row r="11" spans="1:52" x14ac:dyDescent="0.2">
      <c r="A11" s="129">
        <v>3100000</v>
      </c>
      <c r="B11" s="136">
        <v>60166.360093376643</v>
      </c>
      <c r="C11" s="139">
        <v>60165.380398401117</v>
      </c>
      <c r="D11" s="139">
        <v>60165.380398401117</v>
      </c>
      <c r="E11" s="139">
        <v>60165.70152997876</v>
      </c>
      <c r="F11" s="139">
        <v>60166.441209453871</v>
      </c>
      <c r="G11" s="139">
        <v>60166.447752123757</v>
      </c>
      <c r="H11" s="139">
        <v>60166.447752123757</v>
      </c>
      <c r="I11" s="139">
        <v>60166.447752123757</v>
      </c>
      <c r="J11" s="139">
        <v>60166.447752123757</v>
      </c>
      <c r="K11" s="139">
        <v>60166.447752123757</v>
      </c>
      <c r="L11" s="139">
        <v>60166.447752123757</v>
      </c>
      <c r="M11" s="139">
        <v>60166.447752123757</v>
      </c>
      <c r="N11" s="139">
        <v>60166.447752123757</v>
      </c>
      <c r="O11" s="139">
        <v>60166.447752123757</v>
      </c>
      <c r="P11" s="139">
        <v>60166.447752123757</v>
      </c>
      <c r="Q11" s="139">
        <v>60166.447752123757</v>
      </c>
      <c r="R11" s="139">
        <v>60166.447752123757</v>
      </c>
      <c r="S11" s="139">
        <v>60166.447752123757</v>
      </c>
      <c r="T11" s="139">
        <v>60166.447752123757</v>
      </c>
      <c r="U11" s="139">
        <v>60166.447752123757</v>
      </c>
      <c r="V11" s="139">
        <v>60166.447752123757</v>
      </c>
      <c r="W11" s="139">
        <v>60166.447752123757</v>
      </c>
      <c r="X11" s="139">
        <v>60166.447752123757</v>
      </c>
      <c r="Y11" s="139">
        <v>60166.447752123757</v>
      </c>
      <c r="Z11" s="139">
        <v>60166.447752123757</v>
      </c>
      <c r="AA11" s="142">
        <v>60166.447752123757</v>
      </c>
      <c r="AC11">
        <f ca="1">INDEX(INDIRECT($AB$5),$AE$4,7)</f>
        <v>60165.645336967762</v>
      </c>
      <c r="AG11">
        <f ca="1">INDEX(INDIRECT($AF$5),7,$AI$4)</f>
        <v>60166.360093376643</v>
      </c>
    </row>
    <row r="12" spans="1:52" x14ac:dyDescent="0.2">
      <c r="A12" s="129">
        <v>3200000</v>
      </c>
      <c r="B12" s="136">
        <v>60165.380398401117</v>
      </c>
      <c r="C12" s="139">
        <v>60165.380398401117</v>
      </c>
      <c r="D12" s="139">
        <v>60165.380398401117</v>
      </c>
      <c r="E12" s="139">
        <v>60165.70152997876</v>
      </c>
      <c r="F12" s="139">
        <v>60166.441209453871</v>
      </c>
      <c r="G12" s="139">
        <v>60166.447752123757</v>
      </c>
      <c r="H12" s="139">
        <v>60166.447752123757</v>
      </c>
      <c r="I12" s="139">
        <v>60166.447752123757</v>
      </c>
      <c r="J12" s="139">
        <v>60166.447752123757</v>
      </c>
      <c r="K12" s="139">
        <v>60166.447752123757</v>
      </c>
      <c r="L12" s="139">
        <v>60166.447752123757</v>
      </c>
      <c r="M12" s="139">
        <v>60166.447752123757</v>
      </c>
      <c r="N12" s="139">
        <v>60166.447752123757</v>
      </c>
      <c r="O12" s="139">
        <v>60166.447752123757</v>
      </c>
      <c r="P12" s="139">
        <v>60166.447752123757</v>
      </c>
      <c r="Q12" s="139">
        <v>60166.447752123757</v>
      </c>
      <c r="R12" s="139">
        <v>60166.447752123757</v>
      </c>
      <c r="S12" s="139">
        <v>60166.447752123757</v>
      </c>
      <c r="T12" s="139">
        <v>60166.447752123757</v>
      </c>
      <c r="U12" s="139">
        <v>60166.447752123757</v>
      </c>
      <c r="V12" s="139">
        <v>60166.447752123757</v>
      </c>
      <c r="W12" s="139">
        <v>60166.447752123757</v>
      </c>
      <c r="X12" s="139">
        <v>60166.447752123757</v>
      </c>
      <c r="Y12" s="139">
        <v>60166.447752123757</v>
      </c>
      <c r="Z12" s="139">
        <v>60166.447752123757</v>
      </c>
      <c r="AA12" s="142">
        <v>60166.447752123757</v>
      </c>
      <c r="AC12">
        <f ca="1">INDEX(INDIRECT($AB$5),$AE$4,8)</f>
        <v>60165.645336967762</v>
      </c>
      <c r="AG12">
        <f ca="1">INDEX(INDIRECT($AF$5),8,$AI$4)</f>
        <v>60165.380398401117</v>
      </c>
    </row>
    <row r="13" spans="1:52" x14ac:dyDescent="0.2">
      <c r="A13" s="129">
        <v>3300000</v>
      </c>
      <c r="B13" s="136">
        <v>60165.380398401117</v>
      </c>
      <c r="C13" s="139">
        <v>60165.380398401117</v>
      </c>
      <c r="D13" s="139">
        <v>60165.380398401117</v>
      </c>
      <c r="E13" s="139">
        <v>60165.70152997876</v>
      </c>
      <c r="F13" s="139">
        <v>60166.441209453871</v>
      </c>
      <c r="G13" s="139">
        <v>60166.447752123757</v>
      </c>
      <c r="H13" s="139">
        <v>60166.447752123757</v>
      </c>
      <c r="I13" s="139">
        <v>60166.447752123757</v>
      </c>
      <c r="J13" s="139">
        <v>60166.447752123757</v>
      </c>
      <c r="K13" s="139">
        <v>60166.447752123757</v>
      </c>
      <c r="L13" s="139">
        <v>60166.447752123757</v>
      </c>
      <c r="M13" s="139">
        <v>60166.447752123757</v>
      </c>
      <c r="N13" s="139">
        <v>60166.447752123757</v>
      </c>
      <c r="O13" s="139">
        <v>60166.447752123757</v>
      </c>
      <c r="P13" s="139">
        <v>60166.447752123757</v>
      </c>
      <c r="Q13" s="139">
        <v>60166.447752123757</v>
      </c>
      <c r="R13" s="139">
        <v>60166.447752123757</v>
      </c>
      <c r="S13" s="139">
        <v>60166.447752123757</v>
      </c>
      <c r="T13" s="139">
        <v>60166.447752123757</v>
      </c>
      <c r="U13" s="139">
        <v>60166.447752123757</v>
      </c>
      <c r="V13" s="139">
        <v>60166.447752123757</v>
      </c>
      <c r="W13" s="139">
        <v>60166.447752123757</v>
      </c>
      <c r="X13" s="139">
        <v>60166.447752123757</v>
      </c>
      <c r="Y13" s="139">
        <v>60166.447752123757</v>
      </c>
      <c r="Z13" s="139">
        <v>60166.447752123757</v>
      </c>
      <c r="AA13" s="142">
        <v>60166.447752123757</v>
      </c>
      <c r="AC13">
        <f ca="1">INDEX(INDIRECT($AB$5),$AE$4,9)</f>
        <v>60165.645336967762</v>
      </c>
      <c r="AG13">
        <f ca="1">INDEX(INDIRECT($AF$5),9,$AI$4)</f>
        <v>60165.380398401117</v>
      </c>
    </row>
    <row r="14" spans="1:52" x14ac:dyDescent="0.2">
      <c r="A14" s="129">
        <v>3400000</v>
      </c>
      <c r="B14" s="136">
        <v>60165.380398401117</v>
      </c>
      <c r="C14" s="139">
        <v>60165.380398401117</v>
      </c>
      <c r="D14" s="139">
        <v>60165.380398401117</v>
      </c>
      <c r="E14" s="139">
        <v>60165.70152997876</v>
      </c>
      <c r="F14" s="139">
        <v>60166.441209453871</v>
      </c>
      <c r="G14" s="139">
        <v>60166.447752123757</v>
      </c>
      <c r="H14" s="139">
        <v>60166.447752123757</v>
      </c>
      <c r="I14" s="139">
        <v>60166.447752123757</v>
      </c>
      <c r="J14" s="139">
        <v>60166.447752123757</v>
      </c>
      <c r="K14" s="139">
        <v>60166.447752123757</v>
      </c>
      <c r="L14" s="139">
        <v>60166.447752123757</v>
      </c>
      <c r="M14" s="139">
        <v>60166.447752123757</v>
      </c>
      <c r="N14" s="139">
        <v>60166.447752123757</v>
      </c>
      <c r="O14" s="139">
        <v>60166.447752123757</v>
      </c>
      <c r="P14" s="139">
        <v>60166.447752123757</v>
      </c>
      <c r="Q14" s="139">
        <v>60166.447752123757</v>
      </c>
      <c r="R14" s="139">
        <v>60166.447752123757</v>
      </c>
      <c r="S14" s="139">
        <v>60166.447752123757</v>
      </c>
      <c r="T14" s="139">
        <v>60166.447752123757</v>
      </c>
      <c r="U14" s="139">
        <v>60166.447752123757</v>
      </c>
      <c r="V14" s="139">
        <v>60166.447752123757</v>
      </c>
      <c r="W14" s="139">
        <v>60166.447752123757</v>
      </c>
      <c r="X14" s="139">
        <v>60166.447752123757</v>
      </c>
      <c r="Y14" s="139">
        <v>60166.447752123757</v>
      </c>
      <c r="Z14" s="139">
        <v>60166.447752123757</v>
      </c>
      <c r="AA14" s="142">
        <v>60166.447752123757</v>
      </c>
      <c r="AC14">
        <f ca="1">INDEX(INDIRECT($AB$5),$AE$4,10)</f>
        <v>60165.645336967762</v>
      </c>
      <c r="AG14">
        <f ca="1">INDEX(INDIRECT($AF$5),10,$AI$4)</f>
        <v>60165.380398401117</v>
      </c>
    </row>
    <row r="15" spans="1:52" x14ac:dyDescent="0.2">
      <c r="A15" s="129">
        <v>3500000</v>
      </c>
      <c r="B15" s="136">
        <v>60165.380398401117</v>
      </c>
      <c r="C15" s="139">
        <v>60165.380398401117</v>
      </c>
      <c r="D15" s="139">
        <v>60165.380398401117</v>
      </c>
      <c r="E15" s="139">
        <v>60165.70152997876</v>
      </c>
      <c r="F15" s="139">
        <v>60166.441209453871</v>
      </c>
      <c r="G15" s="139">
        <v>60166.447752123757</v>
      </c>
      <c r="H15" s="139">
        <v>60166.447752123757</v>
      </c>
      <c r="I15" s="139">
        <v>60166.447752123757</v>
      </c>
      <c r="J15" s="139">
        <v>60166.447752123757</v>
      </c>
      <c r="K15" s="139">
        <v>60166.447752123757</v>
      </c>
      <c r="L15" s="139">
        <v>60166.447752123757</v>
      </c>
      <c r="M15" s="139">
        <v>60166.447752123757</v>
      </c>
      <c r="N15" s="139">
        <v>60166.447752123757</v>
      </c>
      <c r="O15" s="139">
        <v>60166.447752123757</v>
      </c>
      <c r="P15" s="139">
        <v>60166.447752123757</v>
      </c>
      <c r="Q15" s="139">
        <v>60166.447752123757</v>
      </c>
      <c r="R15" s="139">
        <v>60166.447752123757</v>
      </c>
      <c r="S15" s="139">
        <v>60166.447752123757</v>
      </c>
      <c r="T15" s="139">
        <v>60166.447752123757</v>
      </c>
      <c r="U15" s="139">
        <v>60166.447752123757</v>
      </c>
      <c r="V15" s="139">
        <v>60166.447752123757</v>
      </c>
      <c r="W15" s="139">
        <v>60166.447752123757</v>
      </c>
      <c r="X15" s="139">
        <v>60166.447752123757</v>
      </c>
      <c r="Y15" s="139">
        <v>60166.447752123757</v>
      </c>
      <c r="Z15" s="139">
        <v>60166.447752123757</v>
      </c>
      <c r="AA15" s="142">
        <v>60166.447752123757</v>
      </c>
      <c r="AC15">
        <f ca="1">INDEX(INDIRECT($AB$5),$AE$4,11)</f>
        <v>60165.645336967762</v>
      </c>
      <c r="AG15">
        <f ca="1">INDEX(INDIRECT($AF$5),11,$AI$4)</f>
        <v>60165.380398401117</v>
      </c>
    </row>
    <row r="16" spans="1:52" x14ac:dyDescent="0.2">
      <c r="A16" s="129">
        <v>3600000</v>
      </c>
      <c r="B16" s="136">
        <v>60165.380398401117</v>
      </c>
      <c r="C16" s="139">
        <v>60165.380398401117</v>
      </c>
      <c r="D16" s="139">
        <v>60165.380398401117</v>
      </c>
      <c r="E16" s="139">
        <v>60165.70152997876</v>
      </c>
      <c r="F16" s="139">
        <v>60166.441209453871</v>
      </c>
      <c r="G16" s="139">
        <v>60166.447752123757</v>
      </c>
      <c r="H16" s="139">
        <v>60166.447752123757</v>
      </c>
      <c r="I16" s="139">
        <v>60166.447752123757</v>
      </c>
      <c r="J16" s="139">
        <v>60166.447752123757</v>
      </c>
      <c r="K16" s="139">
        <v>60166.447752123757</v>
      </c>
      <c r="L16" s="139">
        <v>60166.447752123757</v>
      </c>
      <c r="M16" s="139">
        <v>60166.447752123757</v>
      </c>
      <c r="N16" s="139">
        <v>60166.447752123757</v>
      </c>
      <c r="O16" s="139">
        <v>60166.447752123757</v>
      </c>
      <c r="P16" s="139">
        <v>60166.447752123757</v>
      </c>
      <c r="Q16" s="139">
        <v>60166.447752123757</v>
      </c>
      <c r="R16" s="139">
        <v>60166.447752123757</v>
      </c>
      <c r="S16" s="139">
        <v>60166.447752123757</v>
      </c>
      <c r="T16" s="139">
        <v>60166.447752123757</v>
      </c>
      <c r="U16" s="139">
        <v>60166.447752123757</v>
      </c>
      <c r="V16" s="139">
        <v>60166.447752123757</v>
      </c>
      <c r="W16" s="139">
        <v>60166.447752123757</v>
      </c>
      <c r="X16" s="139">
        <v>60166.447752123757</v>
      </c>
      <c r="Y16" s="139">
        <v>60166.447752123757</v>
      </c>
      <c r="Z16" s="139">
        <v>60166.447752123757</v>
      </c>
      <c r="AA16" s="142">
        <v>60166.447752123757</v>
      </c>
      <c r="AC16">
        <f ca="1">INDEX(INDIRECT($AB$5),$AE$4,12)</f>
        <v>60165.645336967762</v>
      </c>
      <c r="AG16">
        <f ca="1">INDEX(INDIRECT($AF$5),12,$AI$4)</f>
        <v>60165.380398401117</v>
      </c>
    </row>
    <row r="17" spans="1:33" x14ac:dyDescent="0.2">
      <c r="A17" s="129">
        <v>3700000</v>
      </c>
      <c r="B17" s="136">
        <v>60165.380398401117</v>
      </c>
      <c r="C17" s="139">
        <v>60165.380398401117</v>
      </c>
      <c r="D17" s="139">
        <v>60165.380398401117</v>
      </c>
      <c r="E17" s="139">
        <v>60165.70152997876</v>
      </c>
      <c r="F17" s="139">
        <v>60166.441209453871</v>
      </c>
      <c r="G17" s="139">
        <v>60166.447752123757</v>
      </c>
      <c r="H17" s="139">
        <v>60166.447752123757</v>
      </c>
      <c r="I17" s="139">
        <v>60166.447752123757</v>
      </c>
      <c r="J17" s="139">
        <v>60166.447752123757</v>
      </c>
      <c r="K17" s="139">
        <v>60166.447752123757</v>
      </c>
      <c r="L17" s="139">
        <v>60166.447752123757</v>
      </c>
      <c r="M17" s="139">
        <v>60166.447752123757</v>
      </c>
      <c r="N17" s="139">
        <v>60166.447752123757</v>
      </c>
      <c r="O17" s="139">
        <v>60166.447752123757</v>
      </c>
      <c r="P17" s="139">
        <v>60166.447752123757</v>
      </c>
      <c r="Q17" s="139">
        <v>60166.447752123757</v>
      </c>
      <c r="R17" s="139">
        <v>60166.447752123757</v>
      </c>
      <c r="S17" s="139">
        <v>60166.447752123757</v>
      </c>
      <c r="T17" s="139">
        <v>60166.447752123757</v>
      </c>
      <c r="U17" s="139">
        <v>60166.447752123757</v>
      </c>
      <c r="V17" s="139">
        <v>60166.447752123757</v>
      </c>
      <c r="W17" s="139">
        <v>60166.447752123757</v>
      </c>
      <c r="X17" s="139">
        <v>60166.447752123757</v>
      </c>
      <c r="Y17" s="139">
        <v>60166.447752123757</v>
      </c>
      <c r="Z17" s="139">
        <v>60166.447752123757</v>
      </c>
      <c r="AA17" s="142">
        <v>60166.447752123757</v>
      </c>
      <c r="AC17">
        <f ca="1">INDEX(INDIRECT($AB$5),$AE$4,13)</f>
        <v>60165.645336967762</v>
      </c>
      <c r="AG17">
        <f ca="1">INDEX(INDIRECT($AF$5),13,$AI$4)</f>
        <v>60165.380398401117</v>
      </c>
    </row>
    <row r="18" spans="1:33" x14ac:dyDescent="0.2">
      <c r="A18" s="129">
        <v>3800000</v>
      </c>
      <c r="B18" s="136">
        <v>60165.380398401117</v>
      </c>
      <c r="C18" s="139">
        <v>60165.380398401117</v>
      </c>
      <c r="D18" s="139">
        <v>60165.380398401117</v>
      </c>
      <c r="E18" s="139">
        <v>60165.70152997876</v>
      </c>
      <c r="F18" s="139">
        <v>60166.441209453871</v>
      </c>
      <c r="G18" s="139">
        <v>60166.447752123757</v>
      </c>
      <c r="H18" s="139">
        <v>60166.447752123757</v>
      </c>
      <c r="I18" s="139">
        <v>60166.447752123757</v>
      </c>
      <c r="J18" s="139">
        <v>60166.447752123757</v>
      </c>
      <c r="K18" s="139">
        <v>60166.447752123757</v>
      </c>
      <c r="L18" s="139">
        <v>60166.447752123757</v>
      </c>
      <c r="M18" s="139">
        <v>60166.447752123757</v>
      </c>
      <c r="N18" s="139">
        <v>60166.447752123757</v>
      </c>
      <c r="O18" s="139">
        <v>60166.447752123757</v>
      </c>
      <c r="P18" s="139">
        <v>60166.447752123757</v>
      </c>
      <c r="Q18" s="139">
        <v>60166.447752123757</v>
      </c>
      <c r="R18" s="139">
        <v>60166.447752123757</v>
      </c>
      <c r="S18" s="139">
        <v>60166.447752123757</v>
      </c>
      <c r="T18" s="139">
        <v>60166.447752123757</v>
      </c>
      <c r="U18" s="139">
        <v>60166.447752123757</v>
      </c>
      <c r="V18" s="139">
        <v>60166.447752123757</v>
      </c>
      <c r="W18" s="139">
        <v>60166.447752123757</v>
      </c>
      <c r="X18" s="139">
        <v>60166.447752123757</v>
      </c>
      <c r="Y18" s="139">
        <v>60166.447752123757</v>
      </c>
      <c r="Z18" s="139">
        <v>60166.447752123757</v>
      </c>
      <c r="AA18" s="142">
        <v>60166.447752123757</v>
      </c>
      <c r="AC18">
        <f ca="1">INDEX(INDIRECT($AB$5),$AE$4,14)</f>
        <v>60165.645336967762</v>
      </c>
      <c r="AG18">
        <f ca="1">INDEX(INDIRECT($AF$5),14,$AI$4)</f>
        <v>60165.380398401117</v>
      </c>
    </row>
    <row r="19" spans="1:33" x14ac:dyDescent="0.2">
      <c r="A19" s="129">
        <v>3900000</v>
      </c>
      <c r="B19" s="136">
        <v>60165.380398401117</v>
      </c>
      <c r="C19" s="139">
        <v>60165.380398401117</v>
      </c>
      <c r="D19" s="139">
        <v>60165.380398401117</v>
      </c>
      <c r="E19" s="139">
        <v>60165.70152997876</v>
      </c>
      <c r="F19" s="139">
        <v>60166.441209453871</v>
      </c>
      <c r="G19" s="139">
        <v>60166.447752123757</v>
      </c>
      <c r="H19" s="139">
        <v>60166.447752123757</v>
      </c>
      <c r="I19" s="139">
        <v>60166.447752123757</v>
      </c>
      <c r="J19" s="139">
        <v>60166.447752123757</v>
      </c>
      <c r="K19" s="139">
        <v>60166.447752123757</v>
      </c>
      <c r="L19" s="139">
        <v>60166.447752123757</v>
      </c>
      <c r="M19" s="139">
        <v>60166.447752123757</v>
      </c>
      <c r="N19" s="139">
        <v>60166.447752123757</v>
      </c>
      <c r="O19" s="139">
        <v>60166.447752123757</v>
      </c>
      <c r="P19" s="139">
        <v>60166.447752123757</v>
      </c>
      <c r="Q19" s="139">
        <v>60166.447752123757</v>
      </c>
      <c r="R19" s="139">
        <v>60166.447752123757</v>
      </c>
      <c r="S19" s="139">
        <v>60166.447752123757</v>
      </c>
      <c r="T19" s="139">
        <v>60166.447752123757</v>
      </c>
      <c r="U19" s="139">
        <v>60166.447752123757</v>
      </c>
      <c r="V19" s="139">
        <v>60166.447752123757</v>
      </c>
      <c r="W19" s="139">
        <v>60166.447752123757</v>
      </c>
      <c r="X19" s="139">
        <v>60166.447752123757</v>
      </c>
      <c r="Y19" s="139">
        <v>60166.447752123757</v>
      </c>
      <c r="Z19" s="139">
        <v>60166.447752123757</v>
      </c>
      <c r="AA19" s="142">
        <v>60166.447752123757</v>
      </c>
      <c r="AC19">
        <f ca="1">INDEX(INDIRECT($AB$5),$AE$4,15)</f>
        <v>60165.645336967762</v>
      </c>
      <c r="AG19">
        <f ca="1">INDEX(INDIRECT($AF$5),15,$AI$4)</f>
        <v>60165.380398401117</v>
      </c>
    </row>
    <row r="20" spans="1:33" x14ac:dyDescent="0.2">
      <c r="A20" s="129">
        <v>4000000</v>
      </c>
      <c r="B20" s="137">
        <v>60165.380398401117</v>
      </c>
      <c r="C20" s="140">
        <v>60165.380398401117</v>
      </c>
      <c r="D20" s="140">
        <v>60165.380398401117</v>
      </c>
      <c r="E20" s="140">
        <v>60165.70152997876</v>
      </c>
      <c r="F20" s="140">
        <v>60166.441209453871</v>
      </c>
      <c r="G20" s="140">
        <v>60166.447752123757</v>
      </c>
      <c r="H20" s="140">
        <v>60166.447752123757</v>
      </c>
      <c r="I20" s="140">
        <v>60166.447752123757</v>
      </c>
      <c r="J20" s="140">
        <v>60166.447752123757</v>
      </c>
      <c r="K20" s="140">
        <v>60166.447752123757</v>
      </c>
      <c r="L20" s="140">
        <v>60166.447752123757</v>
      </c>
      <c r="M20" s="140">
        <v>60166.447752123757</v>
      </c>
      <c r="N20" s="140">
        <v>60166.447752123757</v>
      </c>
      <c r="O20" s="140">
        <v>60166.447752123757</v>
      </c>
      <c r="P20" s="140">
        <v>60166.447752123757</v>
      </c>
      <c r="Q20" s="140">
        <v>60166.447752123757</v>
      </c>
      <c r="R20" s="140">
        <v>60166.447752123757</v>
      </c>
      <c r="S20" s="140">
        <v>60166.447752123757</v>
      </c>
      <c r="T20" s="140">
        <v>60166.447752123757</v>
      </c>
      <c r="U20" s="140">
        <v>60166.447752123757</v>
      </c>
      <c r="V20" s="140">
        <v>60166.447752123757</v>
      </c>
      <c r="W20" s="140">
        <v>60166.447752123757</v>
      </c>
      <c r="X20" s="140">
        <v>60166.447752123757</v>
      </c>
      <c r="Y20" s="140">
        <v>60166.447752123757</v>
      </c>
      <c r="Z20" s="140">
        <v>60166.447752123757</v>
      </c>
      <c r="AA20" s="143">
        <v>60166.447752123757</v>
      </c>
      <c r="AC20">
        <f ca="1">INDEX(INDIRECT($AB$5),$AE$4,16)</f>
        <v>60165.645336967762</v>
      </c>
      <c r="AG20">
        <f ca="1">INDEX(INDIRECT($AF$5),16,$AI$4)</f>
        <v>60165.380398401117</v>
      </c>
    </row>
    <row r="21" spans="1:33" x14ac:dyDescent="0.2">
      <c r="AC21">
        <f ca="1">INDEX(INDIRECT($AB$5),$AE$4,17)</f>
        <v>60165.645336967762</v>
      </c>
    </row>
    <row r="22" spans="1:33" x14ac:dyDescent="0.2">
      <c r="AC22">
        <f ca="1">INDEX(INDIRECT($AB$5),$AE$4,18)</f>
        <v>60165.645336967762</v>
      </c>
    </row>
    <row r="23" spans="1:33" x14ac:dyDescent="0.2">
      <c r="AC23">
        <f ca="1">INDEX(INDIRECT($AB$5),$AE$4,19)</f>
        <v>60165.645336967762</v>
      </c>
    </row>
    <row r="24" spans="1:33" x14ac:dyDescent="0.2">
      <c r="AC24">
        <f ca="1">INDEX(INDIRECT($AB$5),$AE$4,20)</f>
        <v>60165.645336967762</v>
      </c>
    </row>
    <row r="25" spans="1:33" x14ac:dyDescent="0.2">
      <c r="AC25">
        <f ca="1">INDEX(INDIRECT($AB$5),$AE$4,21)</f>
        <v>60165.645336967762</v>
      </c>
    </row>
    <row r="26" spans="1:33" x14ac:dyDescent="0.2">
      <c r="AC26">
        <f ca="1">INDEX(INDIRECT($AB$5),$AE$4,22)</f>
        <v>60165.645336967762</v>
      </c>
    </row>
    <row r="27" spans="1:33" x14ac:dyDescent="0.2">
      <c r="AC27">
        <f ca="1">INDEX(INDIRECT($AB$5),$AE$4,23)</f>
        <v>60165.645336967762</v>
      </c>
    </row>
    <row r="28" spans="1:33" x14ac:dyDescent="0.2">
      <c r="AC28">
        <f ca="1">INDEX(INDIRECT($AB$5),$AE$4,24)</f>
        <v>60165.645336967762</v>
      </c>
    </row>
    <row r="29" spans="1:33" x14ac:dyDescent="0.2">
      <c r="AC29">
        <f ca="1">INDEX(INDIRECT($AB$5),$AE$4,25)</f>
        <v>60165.645336967762</v>
      </c>
    </row>
    <row r="30" spans="1:33" x14ac:dyDescent="0.2">
      <c r="AC30">
        <f ca="1">INDEX(INDIRECT($AB$5),$AE$4,26)</f>
        <v>60165.645336967762</v>
      </c>
    </row>
  </sheetData>
  <phoneticPr fontId="7" type="noConversion"/>
  <dataValidations count="3">
    <dataValidation type="list" allowBlank="1" showInputMessage="1" showErrorMessage="1" sqref="AC4 AG4" xr:uid="{B6779681-2EBB-49BC-A7E6-4151FC9FD813}">
      <formula1>OutputAddresses</formula1>
    </dataValidation>
    <dataValidation type="list" allowBlank="1" showInputMessage="1" showErrorMessage="1" sqref="AD4" xr:uid="{C4EA000D-8046-4012-B524-8AD1E6E342AF}">
      <formula1>InputValues1</formula1>
    </dataValidation>
    <dataValidation type="list" allowBlank="1" showInputMessage="1" showErrorMessage="1" sqref="AH4" xr:uid="{77C84DFA-15FC-4A64-A169-E5EA81ED6087}">
      <formula1>InputValues2</formula1>
    </dataValidation>
  </dataValidation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B537-ECCE-499B-8614-78963BAE87D0}">
  <dimension ref="A1:K10"/>
  <sheetViews>
    <sheetView workbookViewId="0"/>
  </sheetViews>
  <sheetFormatPr defaultRowHeight="14.25" x14ac:dyDescent="0.2"/>
  <cols>
    <col min="1" max="1" width="9.375" bestFit="1" customWidth="1"/>
    <col min="2" max="2" width="10.875" bestFit="1" customWidth="1"/>
  </cols>
  <sheetData>
    <row r="1" spans="1:11" x14ac:dyDescent="0.2">
      <c r="A1" s="131" t="s">
        <v>177</v>
      </c>
      <c r="K1" s="134" t="str">
        <f>CONCATENATE("Sensitivity of ",$K$4," to ","Input")</f>
        <v>Sensitivity of $D$41 to Input</v>
      </c>
    </row>
    <row r="3" spans="1:11" x14ac:dyDescent="0.2">
      <c r="A3" t="s">
        <v>178</v>
      </c>
      <c r="K3" t="s">
        <v>179</v>
      </c>
    </row>
    <row r="4" spans="1:11" ht="35.25" x14ac:dyDescent="0.2">
      <c r="B4" s="145" t="s">
        <v>167</v>
      </c>
      <c r="J4" s="134">
        <f>MATCH($K$4,OutputAddresses,0)</f>
        <v>1</v>
      </c>
      <c r="K4" s="133" t="s">
        <v>167</v>
      </c>
    </row>
    <row r="5" spans="1:11" x14ac:dyDescent="0.2">
      <c r="A5" s="144">
        <v>100000</v>
      </c>
      <c r="B5" s="146">
        <v>50151.696326926685</v>
      </c>
      <c r="K5">
        <f>INDEX(OutputValues,1,$J$4)</f>
        <v>50151.696326926685</v>
      </c>
    </row>
    <row r="6" spans="1:11" x14ac:dyDescent="0.2">
      <c r="A6" s="144">
        <v>110000</v>
      </c>
      <c r="B6" s="147">
        <v>55159.072039525243</v>
      </c>
      <c r="K6">
        <f>INDEX(OutputValues,2,$J$4)</f>
        <v>55159.072039525243</v>
      </c>
    </row>
    <row r="7" spans="1:11" x14ac:dyDescent="0.2">
      <c r="A7" s="144">
        <v>120000</v>
      </c>
      <c r="B7" s="147">
        <v>60166.447752123757</v>
      </c>
      <c r="K7">
        <f>INDEX(OutputValues,3,$J$4)</f>
        <v>60166.447752123757</v>
      </c>
    </row>
    <row r="8" spans="1:11" x14ac:dyDescent="0.2">
      <c r="A8" s="144">
        <v>130000</v>
      </c>
      <c r="B8" s="147">
        <v>65171.592842214406</v>
      </c>
      <c r="K8">
        <f>INDEX(OutputValues,4,$J$4)</f>
        <v>65171.592842214406</v>
      </c>
    </row>
    <row r="9" spans="1:11" x14ac:dyDescent="0.2">
      <c r="A9" s="144">
        <v>140000</v>
      </c>
      <c r="B9" s="147">
        <v>66931.75873104934</v>
      </c>
      <c r="K9">
        <f>INDEX(OutputValues,5,$J$4)</f>
        <v>66931.75873104934</v>
      </c>
    </row>
    <row r="10" spans="1:11" x14ac:dyDescent="0.2">
      <c r="A10" s="144">
        <v>150000</v>
      </c>
      <c r="B10" s="148">
        <v>66931.75873104934</v>
      </c>
      <c r="K10">
        <f>INDEX(OutputValues,6,$J$4)</f>
        <v>66931.75873104934</v>
      </c>
    </row>
  </sheetData>
  <phoneticPr fontId="7" type="noConversion"/>
  <dataValidations count="1">
    <dataValidation type="list" allowBlank="1" showInputMessage="1" showErrorMessage="1" sqref="K4" xr:uid="{38D85274-1E41-4C79-AED9-D96757E9FA58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034F-A168-4300-A8CD-C1AB2FD09E09}">
  <dimension ref="A1:K15"/>
  <sheetViews>
    <sheetView workbookViewId="0"/>
  </sheetViews>
  <sheetFormatPr defaultRowHeight="14.25" x14ac:dyDescent="0.2"/>
  <cols>
    <col min="1" max="1" width="9.375" bestFit="1" customWidth="1"/>
    <col min="2" max="2" width="10.875" bestFit="1" customWidth="1"/>
  </cols>
  <sheetData>
    <row r="1" spans="1:11" x14ac:dyDescent="0.2">
      <c r="A1" s="131" t="s">
        <v>177</v>
      </c>
      <c r="K1" s="134" t="str">
        <f>CONCATENATE("Sensitivity of ",$K$4," to ","Input")</f>
        <v>Sensitivity of $D$41 to Input</v>
      </c>
    </row>
    <row r="3" spans="1:11" x14ac:dyDescent="0.2">
      <c r="A3" t="s">
        <v>178</v>
      </c>
      <c r="K3" t="s">
        <v>179</v>
      </c>
    </row>
    <row r="4" spans="1:11" ht="35.25" x14ac:dyDescent="0.2">
      <c r="B4" s="145" t="s">
        <v>167</v>
      </c>
      <c r="J4" s="134">
        <f>MATCH($K$4,OutputAddresses,0)</f>
        <v>1</v>
      </c>
      <c r="K4" s="133" t="s">
        <v>167</v>
      </c>
    </row>
    <row r="5" spans="1:11" x14ac:dyDescent="0.2">
      <c r="A5" s="144">
        <v>100000</v>
      </c>
      <c r="B5" s="146">
        <v>50151.696326926685</v>
      </c>
      <c r="K5">
        <f>INDEX(OutputValues,1,$J$4)</f>
        <v>50151.696326926685</v>
      </c>
    </row>
    <row r="6" spans="1:11" x14ac:dyDescent="0.2">
      <c r="A6" s="144">
        <v>110000</v>
      </c>
      <c r="B6" s="147">
        <v>55159.072039525243</v>
      </c>
      <c r="K6">
        <f>INDEX(OutputValues,2,$J$4)</f>
        <v>55159.072039525243</v>
      </c>
    </row>
    <row r="7" spans="1:11" x14ac:dyDescent="0.2">
      <c r="A7" s="144">
        <v>120000</v>
      </c>
      <c r="B7" s="147">
        <v>60166.447752123757</v>
      </c>
      <c r="K7">
        <f>INDEX(OutputValues,3,$J$4)</f>
        <v>60166.447752123757</v>
      </c>
    </row>
    <row r="8" spans="1:11" x14ac:dyDescent="0.2">
      <c r="A8" s="144">
        <v>130000</v>
      </c>
      <c r="B8" s="147">
        <v>65171.592842214406</v>
      </c>
      <c r="K8">
        <f>INDEX(OutputValues,4,$J$4)</f>
        <v>65171.592842214406</v>
      </c>
    </row>
    <row r="9" spans="1:11" x14ac:dyDescent="0.2">
      <c r="A9" s="144">
        <v>140000</v>
      </c>
      <c r="B9" s="147">
        <v>66931.75873104934</v>
      </c>
      <c r="K9">
        <f>INDEX(OutputValues,5,$J$4)</f>
        <v>66931.75873104934</v>
      </c>
    </row>
    <row r="10" spans="1:11" x14ac:dyDescent="0.2">
      <c r="A10" s="144">
        <v>150000</v>
      </c>
      <c r="B10" s="147">
        <v>66931.75873104934</v>
      </c>
      <c r="K10">
        <f>INDEX(OutputValues,6,$J$4)</f>
        <v>66931.75873104934</v>
      </c>
    </row>
    <row r="11" spans="1:11" x14ac:dyDescent="0.2">
      <c r="A11" s="144">
        <v>160000</v>
      </c>
      <c r="B11" s="147">
        <v>66931.75873104934</v>
      </c>
      <c r="K11">
        <f>INDEX(OutputValues,7,$J$4)</f>
        <v>66931.75873104934</v>
      </c>
    </row>
    <row r="12" spans="1:11" x14ac:dyDescent="0.2">
      <c r="A12" s="144">
        <v>170000</v>
      </c>
      <c r="B12" s="147">
        <v>66931.75873104934</v>
      </c>
      <c r="K12">
        <f>INDEX(OutputValues,8,$J$4)</f>
        <v>66931.75873104934</v>
      </c>
    </row>
    <row r="13" spans="1:11" x14ac:dyDescent="0.2">
      <c r="A13" s="144">
        <v>180000</v>
      </c>
      <c r="B13" s="147">
        <v>66931.75873104934</v>
      </c>
      <c r="K13">
        <f>INDEX(OutputValues,9,$J$4)</f>
        <v>66931.75873104934</v>
      </c>
    </row>
    <row r="14" spans="1:11" x14ac:dyDescent="0.2">
      <c r="A14" s="144">
        <v>190000</v>
      </c>
      <c r="B14" s="147">
        <v>66931.75873104934</v>
      </c>
      <c r="K14">
        <f>INDEX(OutputValues,10,$J$4)</f>
        <v>66931.75873104934</v>
      </c>
    </row>
    <row r="15" spans="1:11" x14ac:dyDescent="0.2">
      <c r="A15" s="144">
        <v>200000</v>
      </c>
      <c r="B15" s="148">
        <v>66931.75873104934</v>
      </c>
      <c r="K15">
        <f>INDEX(OutputValues,11,$J$4)</f>
        <v>66931.75873104934</v>
      </c>
    </row>
  </sheetData>
  <phoneticPr fontId="7" type="noConversion"/>
  <dataValidations count="1">
    <dataValidation type="list" allowBlank="1" showInputMessage="1" showErrorMessage="1" sqref="K4" xr:uid="{485CEFF0-FCDE-4314-9B0D-E861E301D9B3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/>
  </sheetViews>
  <sheetFormatPr defaultColWidth="12.625" defaultRowHeight="15" customHeight="1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6</v>
      </c>
      <c r="B2" s="3">
        <v>72042</v>
      </c>
      <c r="C2" s="4">
        <v>1598.44601425154</v>
      </c>
      <c r="D2" s="5">
        <v>7.7296015484379996</v>
      </c>
      <c r="E2" s="5">
        <v>11.632782996769899</v>
      </c>
    </row>
    <row r="3" spans="1:5" x14ac:dyDescent="0.2">
      <c r="A3" s="2" t="s">
        <v>7</v>
      </c>
      <c r="B3" s="3">
        <v>2120834</v>
      </c>
      <c r="C3" s="4">
        <v>1534.27071076063</v>
      </c>
      <c r="D3" s="5">
        <v>7.1318769209153601</v>
      </c>
      <c r="E3" s="5">
        <v>10.7660562707458</v>
      </c>
    </row>
    <row r="4" spans="1:5" x14ac:dyDescent="0.2">
      <c r="A4" s="2" t="s">
        <v>8</v>
      </c>
      <c r="B4" s="3">
        <v>41931</v>
      </c>
      <c r="C4" s="4">
        <v>1505.9291675899201</v>
      </c>
      <c r="D4" s="5">
        <v>6.9884884408006496</v>
      </c>
      <c r="E4" s="5">
        <v>10.524957160794701</v>
      </c>
    </row>
    <row r="6" spans="1:5" x14ac:dyDescent="0.2">
      <c r="A6" s="8" t="s">
        <v>9</v>
      </c>
      <c r="B6" s="10">
        <f>SUM(B2:B4)</f>
        <v>2234807</v>
      </c>
      <c r="C6" s="11">
        <f t="shared" ref="C6:E6" si="0">AVERAGE(C2:C4)</f>
        <v>1546.2152975340302</v>
      </c>
      <c r="D6" s="12">
        <f t="shared" si="0"/>
        <v>7.2833223033846695</v>
      </c>
      <c r="E6" s="12">
        <f t="shared" si="0"/>
        <v>10.974598809436799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/>
  </sheetViews>
  <sheetFormatPr defaultColWidth="12.625" defaultRowHeight="15" customHeight="1" x14ac:dyDescent="0.2"/>
  <cols>
    <col min="1" max="1" width="26.25" customWidth="1"/>
    <col min="2" max="2" width="11.375" customWidth="1"/>
    <col min="3" max="3" width="16.625" customWidth="1"/>
    <col min="4" max="4" width="15.375" customWidth="1"/>
    <col min="5" max="5" width="16.25" customWidth="1"/>
  </cols>
  <sheetData>
    <row r="1" spans="1:5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25" x14ac:dyDescent="0.2">
      <c r="A2" s="2" t="s">
        <v>17</v>
      </c>
      <c r="B2" s="3">
        <v>143855</v>
      </c>
      <c r="C2" s="2">
        <v>930.79666173463397</v>
      </c>
      <c r="D2" s="5">
        <v>12.9673548236937</v>
      </c>
      <c r="E2" s="5">
        <v>19.454028694452202</v>
      </c>
    </row>
    <row r="3" spans="1:5" ht="14.25" x14ac:dyDescent="0.2">
      <c r="A3" s="2" t="s">
        <v>18</v>
      </c>
      <c r="B3" s="3">
        <v>102390</v>
      </c>
      <c r="C3" s="2">
        <v>921.60232178406</v>
      </c>
      <c r="D3" s="5">
        <v>13.028667993826399</v>
      </c>
      <c r="E3" s="5">
        <v>19.571483883955501</v>
      </c>
    </row>
    <row r="4" spans="1:5" ht="14.25" x14ac:dyDescent="0.2">
      <c r="A4" s="2" t="s">
        <v>20</v>
      </c>
      <c r="B4" s="3">
        <v>889511</v>
      </c>
      <c r="C4" s="4">
        <v>1109.82254549856</v>
      </c>
      <c r="D4" s="5">
        <v>5.8790167870545904</v>
      </c>
      <c r="E4" s="5">
        <v>8.8226942012025305</v>
      </c>
    </row>
    <row r="5" spans="1:5" ht="14.25" x14ac:dyDescent="0.2">
      <c r="A5" s="2" t="s">
        <v>22</v>
      </c>
      <c r="B5" s="3">
        <v>303495</v>
      </c>
      <c r="C5" s="2">
        <v>785.92909347531395</v>
      </c>
      <c r="D5" s="5">
        <v>7.0982004360038502</v>
      </c>
      <c r="E5" s="5">
        <v>10.650143308319</v>
      </c>
    </row>
    <row r="6" spans="1:5" ht="14.25" x14ac:dyDescent="0.2">
      <c r="A6" s="2" t="s">
        <v>24</v>
      </c>
      <c r="B6" s="3">
        <v>8608</v>
      </c>
      <c r="C6" s="2">
        <v>765.33546325878501</v>
      </c>
      <c r="D6" s="5">
        <v>11.307699680511099</v>
      </c>
      <c r="E6" s="5">
        <v>16.966351437699601</v>
      </c>
    </row>
    <row r="7" spans="1:5" ht="14.25" x14ac:dyDescent="0.2">
      <c r="A7" s="2" t="s">
        <v>25</v>
      </c>
      <c r="B7" s="3">
        <v>3693136</v>
      </c>
      <c r="C7" s="2">
        <v>805.27509630816996</v>
      </c>
      <c r="D7" s="5">
        <v>7.2695881769166597</v>
      </c>
      <c r="E7" s="5">
        <v>10.9591689355684</v>
      </c>
    </row>
    <row r="8" spans="1:5" ht="14.25" x14ac:dyDescent="0.2">
      <c r="A8" s="2" t="s">
        <v>27</v>
      </c>
      <c r="B8" s="3">
        <v>555636</v>
      </c>
      <c r="C8" s="4">
        <v>1056.9349389689601</v>
      </c>
      <c r="D8" s="5">
        <v>6.7842140672275102</v>
      </c>
      <c r="E8" s="5">
        <v>10.180007470646499</v>
      </c>
    </row>
    <row r="9" spans="1:5" ht="14.25" x14ac:dyDescent="0.2">
      <c r="A9" s="2" t="s">
        <v>29</v>
      </c>
      <c r="B9" s="3">
        <v>373123</v>
      </c>
      <c r="C9" s="4">
        <v>1035.3933187341599</v>
      </c>
      <c r="D9" s="5">
        <v>6.4768561491323302</v>
      </c>
      <c r="E9" s="5">
        <v>9.7206956073682793</v>
      </c>
    </row>
    <row r="10" spans="1:5" ht="14.25" x14ac:dyDescent="0.2">
      <c r="A10" s="2" t="s">
        <v>31</v>
      </c>
      <c r="B10" s="3">
        <v>122629</v>
      </c>
      <c r="C10" s="2">
        <v>724.69261953221405</v>
      </c>
      <c r="D10" s="5">
        <v>11.9053211437723</v>
      </c>
      <c r="E10" s="5">
        <v>17.8620928564278</v>
      </c>
    </row>
    <row r="11" spans="1:5" ht="14.25" x14ac:dyDescent="0.2">
      <c r="A11" s="2" t="s">
        <v>32</v>
      </c>
      <c r="B11" s="3">
        <v>3776162</v>
      </c>
      <c r="C11" s="2">
        <v>908.98104680632002</v>
      </c>
      <c r="D11" s="5">
        <v>13.386635721498401</v>
      </c>
      <c r="E11" s="5">
        <v>20.105835989783301</v>
      </c>
    </row>
    <row r="12" spans="1:5" ht="14.25" x14ac:dyDescent="0.2">
      <c r="A12" s="2" t="s">
        <v>34</v>
      </c>
      <c r="B12" s="3">
        <v>16618</v>
      </c>
      <c r="C12" s="2">
        <v>800.61801059446702</v>
      </c>
      <c r="D12" s="5">
        <v>7.8665597410241297</v>
      </c>
      <c r="E12" s="5">
        <v>11.8007239552678</v>
      </c>
    </row>
    <row r="13" spans="1:5" ht="14.25" x14ac:dyDescent="0.2">
      <c r="A13" s="2" t="s">
        <v>36</v>
      </c>
      <c r="B13" s="3">
        <v>18124615</v>
      </c>
      <c r="C13" s="4">
        <v>1061.2838612799301</v>
      </c>
      <c r="D13" s="5">
        <v>6.1508123829452099</v>
      </c>
      <c r="E13" s="5">
        <v>9.2436155681783099</v>
      </c>
    </row>
    <row r="14" spans="1:5" ht="14.25" x14ac:dyDescent="0.2">
      <c r="A14" s="2" t="s">
        <v>37</v>
      </c>
      <c r="B14" s="2">
        <v>222</v>
      </c>
      <c r="C14" s="3">
        <v>1000</v>
      </c>
      <c r="D14" s="5">
        <v>7.05</v>
      </c>
      <c r="E14" s="5">
        <v>10.58</v>
      </c>
    </row>
    <row r="15" spans="1:5" ht="14.25" customHeight="1" x14ac:dyDescent="0.2">
      <c r="A15" s="2" t="s">
        <v>39</v>
      </c>
      <c r="B15" s="3">
        <v>1772283</v>
      </c>
      <c r="C15" s="2">
        <v>749.24963218220296</v>
      </c>
      <c r="D15" s="5">
        <v>11.3565516043678</v>
      </c>
      <c r="E15" s="5">
        <v>17.084742895277</v>
      </c>
    </row>
    <row r="17" spans="1:5" ht="14.25" x14ac:dyDescent="0.2">
      <c r="A17" s="13" t="s">
        <v>38</v>
      </c>
      <c r="B17" s="10">
        <f>SUM(B2:B15)</f>
        <v>29882283</v>
      </c>
      <c r="C17">
        <f t="shared" ref="C17:E17" si="0">AVERAGE(C2:C15)</f>
        <v>903.99390072555548</v>
      </c>
      <c r="D17" s="12">
        <f t="shared" si="0"/>
        <v>9.1805341934267126</v>
      </c>
      <c r="E17" s="12">
        <f t="shared" si="0"/>
        <v>13.785827486010447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/>
  </sheetViews>
  <sheetFormatPr defaultColWidth="12.625" defaultRowHeight="15" customHeight="1" x14ac:dyDescent="0.2"/>
  <cols>
    <col min="1" max="1" width="20.625" customWidth="1"/>
    <col min="2" max="2" width="11.375" customWidth="1"/>
    <col min="3" max="3" width="16.625" customWidth="1"/>
    <col min="4" max="4" width="15.375" customWidth="1"/>
    <col min="5" max="5" width="16.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16</v>
      </c>
      <c r="B2" s="3">
        <v>2407204</v>
      </c>
      <c r="C2" s="4">
        <v>1001.27338076182</v>
      </c>
      <c r="D2" s="5">
        <v>5.8720658304275499</v>
      </c>
      <c r="E2" s="5">
        <v>8.8173838665137705</v>
      </c>
    </row>
    <row r="3" spans="1:5" x14ac:dyDescent="0.2">
      <c r="A3" s="2" t="s">
        <v>19</v>
      </c>
      <c r="B3" s="3">
        <v>118372</v>
      </c>
      <c r="C3" s="2">
        <v>988.92306416846202</v>
      </c>
      <c r="D3" s="5">
        <v>6.0141475708837602</v>
      </c>
      <c r="E3" s="5">
        <v>9.0265536395290908</v>
      </c>
    </row>
    <row r="4" spans="1:5" x14ac:dyDescent="0.2">
      <c r="A4" s="2" t="s">
        <v>21</v>
      </c>
      <c r="B4" s="2">
        <v>5</v>
      </c>
      <c r="C4" s="3">
        <v>1000</v>
      </c>
      <c r="D4" s="5">
        <v>3.92</v>
      </c>
      <c r="E4" s="5">
        <v>5.88</v>
      </c>
    </row>
    <row r="5" spans="1:5" x14ac:dyDescent="0.2">
      <c r="A5" s="2" t="s">
        <v>23</v>
      </c>
      <c r="B5" s="3">
        <v>32610</v>
      </c>
      <c r="C5" s="2">
        <v>849.50728363324697</v>
      </c>
      <c r="D5" s="5">
        <v>4.5642316481005398</v>
      </c>
      <c r="E5" s="5">
        <v>6.8461168237646302</v>
      </c>
    </row>
    <row r="6" spans="1:5" x14ac:dyDescent="0.2">
      <c r="A6" s="2" t="s">
        <v>26</v>
      </c>
      <c r="B6" s="3">
        <v>60556</v>
      </c>
      <c r="C6" s="2">
        <v>926.52954848412298</v>
      </c>
      <c r="D6" s="5">
        <v>15.2779310934135</v>
      </c>
      <c r="E6" s="5">
        <v>22.918575383668799</v>
      </c>
    </row>
    <row r="7" spans="1:5" x14ac:dyDescent="0.2">
      <c r="A7" s="2" t="s">
        <v>28</v>
      </c>
      <c r="B7" s="3">
        <v>782794</v>
      </c>
      <c r="C7" s="2">
        <v>929.60918870738499</v>
      </c>
      <c r="D7" s="5">
        <v>14.7730032741168</v>
      </c>
      <c r="E7" s="5">
        <v>22.1959762780969</v>
      </c>
    </row>
    <row r="8" spans="1:5" x14ac:dyDescent="0.2">
      <c r="A8" s="2" t="s">
        <v>30</v>
      </c>
      <c r="B8" s="3">
        <v>60479</v>
      </c>
      <c r="C8" s="2">
        <v>751.25520399666902</v>
      </c>
      <c r="D8" s="5">
        <v>6.4906261448792604</v>
      </c>
      <c r="E8" s="5">
        <v>9.7397785179017404</v>
      </c>
    </row>
    <row r="9" spans="1:5" x14ac:dyDescent="0.2">
      <c r="A9" s="2" t="s">
        <v>33</v>
      </c>
      <c r="B9" s="3">
        <v>4880</v>
      </c>
      <c r="C9" s="2">
        <v>749.35155164427897</v>
      </c>
      <c r="D9" s="5">
        <v>6.7279666512274199</v>
      </c>
      <c r="E9" s="5">
        <v>10.0968596572487</v>
      </c>
    </row>
    <row r="10" spans="1:5" x14ac:dyDescent="0.2">
      <c r="A10" s="2" t="s">
        <v>35</v>
      </c>
      <c r="B10" s="3">
        <v>1988</v>
      </c>
      <c r="C10" s="3">
        <v>1000</v>
      </c>
      <c r="D10" s="5">
        <v>5.42</v>
      </c>
      <c r="E10" s="5">
        <v>8.1300000000000008</v>
      </c>
    </row>
    <row r="13" spans="1:5" x14ac:dyDescent="0.2">
      <c r="A13" s="13" t="s">
        <v>38</v>
      </c>
      <c r="B13" s="10">
        <f>SUM(B2:B10)</f>
        <v>3468888</v>
      </c>
      <c r="C13" s="11">
        <f t="shared" ref="C13:E13" si="0">AVERAGE(C2:C10)</f>
        <v>910.71658015510957</v>
      </c>
      <c r="D13" s="12">
        <f t="shared" si="0"/>
        <v>7.6733302458943138</v>
      </c>
      <c r="E13" s="12">
        <f t="shared" si="0"/>
        <v>11.516804907413736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/>
  </sheetViews>
  <sheetFormatPr defaultColWidth="12.625" defaultRowHeight="15" customHeight="1" x14ac:dyDescent="0.2"/>
  <cols>
    <col min="1" max="1" width="36.875" customWidth="1"/>
    <col min="2" max="2" width="11.375" customWidth="1"/>
    <col min="3" max="3" width="16.625" customWidth="1"/>
    <col min="4" max="4" width="15.375" customWidth="1"/>
    <col min="5" max="5" width="16.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42</v>
      </c>
      <c r="B2" s="2">
        <v>620</v>
      </c>
      <c r="C2" s="2">
        <v>465.05882352941097</v>
      </c>
      <c r="D2" s="5">
        <v>11.84</v>
      </c>
      <c r="E2" s="5">
        <v>17.7588235294117</v>
      </c>
    </row>
    <row r="3" spans="1:5" x14ac:dyDescent="0.2">
      <c r="A3" s="2" t="s">
        <v>44</v>
      </c>
      <c r="B3" s="3">
        <v>179899</v>
      </c>
      <c r="C3" s="2">
        <v>802.08030888030805</v>
      </c>
      <c r="D3" s="5">
        <v>7.4737491891891796</v>
      </c>
      <c r="E3" s="5">
        <v>11.2192228571428</v>
      </c>
    </row>
    <row r="4" spans="1:5" x14ac:dyDescent="0.2">
      <c r="A4" s="2" t="s">
        <v>46</v>
      </c>
      <c r="B4" s="3">
        <v>567257</v>
      </c>
      <c r="C4" s="2">
        <v>894.39865930599296</v>
      </c>
      <c r="D4" s="5">
        <v>6.3899182965299604</v>
      </c>
      <c r="E4" s="5">
        <v>9.6040436908517304</v>
      </c>
    </row>
    <row r="5" spans="1:5" x14ac:dyDescent="0.2">
      <c r="A5" s="2" t="s">
        <v>48</v>
      </c>
      <c r="B5" s="3">
        <v>1862874</v>
      </c>
      <c r="C5" s="2">
        <v>827.01347253955396</v>
      </c>
      <c r="D5" s="5">
        <v>11.9218397725515</v>
      </c>
      <c r="E5" s="5">
        <v>17.921837582243899</v>
      </c>
    </row>
    <row r="6" spans="1:5" x14ac:dyDescent="0.2">
      <c r="A6" s="2" t="s">
        <v>50</v>
      </c>
      <c r="B6" s="3">
        <v>156548</v>
      </c>
      <c r="C6" s="2">
        <v>893.51042367182197</v>
      </c>
      <c r="D6" s="5">
        <v>6.9855917955615299</v>
      </c>
      <c r="E6" s="5">
        <v>10.5032341403272</v>
      </c>
    </row>
    <row r="7" spans="1:5" x14ac:dyDescent="0.2">
      <c r="A7" s="2" t="s">
        <v>51</v>
      </c>
      <c r="B7" s="3">
        <v>139783</v>
      </c>
      <c r="C7" s="2">
        <v>902.06225084329901</v>
      </c>
      <c r="D7" s="5">
        <v>7.0302552897883999</v>
      </c>
      <c r="E7" s="5">
        <v>10.5686315547378</v>
      </c>
    </row>
    <row r="8" spans="1:5" x14ac:dyDescent="0.2">
      <c r="A8" s="2" t="s">
        <v>53</v>
      </c>
      <c r="B8" s="3">
        <v>179177</v>
      </c>
      <c r="C8" s="2">
        <v>810.165152621586</v>
      </c>
      <c r="D8" s="5">
        <v>7.5890112458010801</v>
      </c>
      <c r="E8" s="5">
        <v>11.4086560537461</v>
      </c>
    </row>
    <row r="9" spans="1:5" x14ac:dyDescent="0.2">
      <c r="A9" s="2" t="s">
        <v>55</v>
      </c>
      <c r="B9" s="3">
        <v>18912</v>
      </c>
      <c r="C9" s="2">
        <v>986.93647540983602</v>
      </c>
      <c r="D9" s="5">
        <v>4.7980020491803197</v>
      </c>
      <c r="E9" s="5">
        <v>7.1995491803278604</v>
      </c>
    </row>
    <row r="10" spans="1:5" x14ac:dyDescent="0.2">
      <c r="A10" s="2" t="s">
        <v>57</v>
      </c>
      <c r="B10" s="3">
        <v>189376</v>
      </c>
      <c r="C10" s="2">
        <v>864.22817261399803</v>
      </c>
      <c r="D10" s="5">
        <v>6.17019841575868</v>
      </c>
      <c r="E10" s="5">
        <v>9.2589679295794802</v>
      </c>
    </row>
    <row r="11" spans="1:5" x14ac:dyDescent="0.2">
      <c r="A11" s="2" t="s">
        <v>58</v>
      </c>
      <c r="B11" s="2">
        <v>454</v>
      </c>
      <c r="C11" s="2">
        <v>538.52459016393402</v>
      </c>
      <c r="D11" s="5">
        <v>10.730327868852401</v>
      </c>
      <c r="E11" s="5">
        <v>16.143237704918</v>
      </c>
    </row>
    <row r="12" spans="1:5" x14ac:dyDescent="0.2">
      <c r="A12" s="2" t="s">
        <v>59</v>
      </c>
      <c r="B12" s="3">
        <v>71526</v>
      </c>
      <c r="C12" s="2">
        <v>844.72249564624803</v>
      </c>
      <c r="D12" s="5">
        <v>5.6384818656772904</v>
      </c>
      <c r="E12" s="5">
        <v>8.47798970243052</v>
      </c>
    </row>
    <row r="13" spans="1:5" x14ac:dyDescent="0.2">
      <c r="A13" s="2" t="s">
        <v>60</v>
      </c>
      <c r="B13" s="3">
        <v>517472</v>
      </c>
      <c r="C13" s="2">
        <v>808.12131646910802</v>
      </c>
      <c r="D13" s="5">
        <v>10.555732335606899</v>
      </c>
      <c r="E13" s="5">
        <v>15.875421495265201</v>
      </c>
    </row>
    <row r="14" spans="1:5" x14ac:dyDescent="0.2">
      <c r="A14" s="2" t="s">
        <v>61</v>
      </c>
      <c r="B14" s="3">
        <v>3833784</v>
      </c>
      <c r="C14" s="4">
        <v>1019.68268414571</v>
      </c>
      <c r="D14" s="5">
        <v>11.186605364465599</v>
      </c>
      <c r="E14" s="5">
        <v>16.784832472531999</v>
      </c>
    </row>
    <row r="15" spans="1:5" x14ac:dyDescent="0.2">
      <c r="A15" s="2" t="s">
        <v>62</v>
      </c>
      <c r="B15" s="3">
        <v>252201</v>
      </c>
      <c r="C15" s="2">
        <v>843.25278709326506</v>
      </c>
      <c r="D15" s="5">
        <v>6.7071461373455303</v>
      </c>
      <c r="E15" s="5">
        <v>10.087106256986599</v>
      </c>
    </row>
    <row r="16" spans="1:5" x14ac:dyDescent="0.2">
      <c r="A16" s="2" t="s">
        <v>63</v>
      </c>
      <c r="B16" s="3">
        <v>1365246</v>
      </c>
      <c r="C16" s="2">
        <v>860.56217982427597</v>
      </c>
      <c r="D16" s="5">
        <v>10.980911234142599</v>
      </c>
      <c r="E16" s="5">
        <v>16.471568100305401</v>
      </c>
    </row>
    <row r="17" spans="1:5" x14ac:dyDescent="0.2">
      <c r="A17" s="2" t="s">
        <v>64</v>
      </c>
      <c r="B17" s="3">
        <v>221868</v>
      </c>
      <c r="C17" s="2">
        <v>829.37404399822799</v>
      </c>
      <c r="D17" s="5">
        <v>6.14807352724051</v>
      </c>
      <c r="E17" s="5">
        <v>9.2464851616713393</v>
      </c>
    </row>
    <row r="18" spans="1:5" x14ac:dyDescent="0.2">
      <c r="A18" s="2" t="s">
        <v>65</v>
      </c>
      <c r="B18" s="3">
        <v>138933</v>
      </c>
      <c r="C18" s="2">
        <v>748.04479847933203</v>
      </c>
      <c r="D18" s="5">
        <v>14.5305370662714</v>
      </c>
      <c r="E18" s="5">
        <v>21.8023789426205</v>
      </c>
    </row>
    <row r="19" spans="1:5" x14ac:dyDescent="0.2">
      <c r="A19" s="2" t="s">
        <v>67</v>
      </c>
      <c r="B19" s="3">
        <v>37120</v>
      </c>
      <c r="C19" s="2">
        <v>809.51589675418097</v>
      </c>
      <c r="D19" s="5">
        <v>10.6339819430597</v>
      </c>
      <c r="E19" s="5">
        <v>15.965989808352701</v>
      </c>
    </row>
    <row r="20" spans="1:5" x14ac:dyDescent="0.2">
      <c r="A20" s="2" t="s">
        <v>69</v>
      </c>
      <c r="B20" s="3">
        <v>72278</v>
      </c>
      <c r="C20" s="2">
        <v>750</v>
      </c>
      <c r="D20" s="5">
        <v>5.1182063612587498</v>
      </c>
      <c r="E20" s="5">
        <v>7.7063696954357503</v>
      </c>
    </row>
    <row r="21" spans="1:5" x14ac:dyDescent="0.2">
      <c r="A21" s="2" t="s">
        <v>71</v>
      </c>
      <c r="B21" s="3">
        <v>960761</v>
      </c>
      <c r="C21" s="2">
        <v>689.50639148641403</v>
      </c>
      <c r="D21" s="5">
        <v>7.9319342117691498</v>
      </c>
      <c r="E21" s="5">
        <v>11.915806413525999</v>
      </c>
    </row>
    <row r="22" spans="1:5" x14ac:dyDescent="0.2">
      <c r="A22" s="2" t="s">
        <v>72</v>
      </c>
      <c r="B22" s="3">
        <v>97720</v>
      </c>
      <c r="C22" s="2">
        <v>928.74586852735899</v>
      </c>
      <c r="D22" s="5">
        <v>6.0403856041131103</v>
      </c>
      <c r="E22" s="5">
        <v>9.0972853470436998</v>
      </c>
    </row>
    <row r="23" spans="1:5" x14ac:dyDescent="0.2">
      <c r="A23" s="2" t="s">
        <v>73</v>
      </c>
      <c r="B23" s="3">
        <v>113440</v>
      </c>
      <c r="C23" s="2">
        <v>838.659417741992</v>
      </c>
      <c r="D23" s="5">
        <v>12.147418339720801</v>
      </c>
      <c r="E23" s="5">
        <v>18.232720720087102</v>
      </c>
    </row>
    <row r="24" spans="1:5" x14ac:dyDescent="0.2">
      <c r="A24" s="2" t="s">
        <v>74</v>
      </c>
      <c r="B24" s="3">
        <v>78614</v>
      </c>
      <c r="C24" s="2">
        <v>647.526685245556</v>
      </c>
      <c r="D24" s="5">
        <v>5.8168151225155098</v>
      </c>
      <c r="E24" s="5">
        <v>8.7284916920811799</v>
      </c>
    </row>
    <row r="25" spans="1:5" x14ac:dyDescent="0.2">
      <c r="A25" s="2" t="s">
        <v>75</v>
      </c>
      <c r="B25" s="3">
        <v>1877575</v>
      </c>
      <c r="C25" s="2">
        <v>749.63917785507601</v>
      </c>
      <c r="D25" s="5">
        <v>14.0973964598029</v>
      </c>
      <c r="E25" s="5">
        <v>21.1721835684795</v>
      </c>
    </row>
    <row r="26" spans="1:5" x14ac:dyDescent="0.2">
      <c r="A26" s="2" t="s">
        <v>76</v>
      </c>
      <c r="B26" s="3">
        <v>60062</v>
      </c>
      <c r="C26" s="2">
        <v>895.34009770762805</v>
      </c>
      <c r="D26" s="5">
        <v>4.8738547538519299</v>
      </c>
      <c r="E26" s="5">
        <v>7.3147190905674497</v>
      </c>
    </row>
    <row r="27" spans="1:5" x14ac:dyDescent="0.2">
      <c r="A27" s="2" t="s">
        <v>77</v>
      </c>
      <c r="B27" s="3">
        <v>878339</v>
      </c>
      <c r="C27" s="2">
        <v>906.56140045143695</v>
      </c>
      <c r="D27" s="5">
        <v>4.9622265650932702</v>
      </c>
      <c r="E27" s="5">
        <v>7.4465733917546304</v>
      </c>
    </row>
    <row r="28" spans="1:5" x14ac:dyDescent="0.2">
      <c r="A28" s="2" t="s">
        <v>78</v>
      </c>
      <c r="B28" s="3">
        <v>51739</v>
      </c>
      <c r="C28" s="2">
        <v>651.12589869940996</v>
      </c>
      <c r="D28" s="5">
        <v>5.8132405687050603</v>
      </c>
      <c r="E28" s="5">
        <v>8.7285325955246709</v>
      </c>
    </row>
    <row r="29" spans="1:5" x14ac:dyDescent="0.2">
      <c r="A29" s="2" t="s">
        <v>79</v>
      </c>
      <c r="B29" s="3">
        <v>86201</v>
      </c>
      <c r="C29" s="2">
        <v>834.90049458313695</v>
      </c>
      <c r="D29" s="5">
        <v>10.7529265190767</v>
      </c>
      <c r="E29" s="5">
        <v>16.130090202543499</v>
      </c>
    </row>
    <row r="30" spans="1:5" x14ac:dyDescent="0.2">
      <c r="A30" s="2" t="s">
        <v>80</v>
      </c>
      <c r="B30" s="3">
        <v>447099</v>
      </c>
      <c r="C30" s="2">
        <v>933.37240953254502</v>
      </c>
      <c r="D30" s="5">
        <v>4.4869006121646597</v>
      </c>
      <c r="E30" s="5">
        <v>6.7316474156167496</v>
      </c>
    </row>
    <row r="33" spans="1:5" x14ac:dyDescent="0.2">
      <c r="A33" s="13" t="s">
        <v>38</v>
      </c>
      <c r="B33" s="15">
        <f>SUM(B2:B30)</f>
        <v>14456878</v>
      </c>
      <c r="C33">
        <f t="shared" ref="C33:E33" si="0">AVERAGE(C2:C30)</f>
        <v>812.8493922007118</v>
      </c>
      <c r="D33" s="12">
        <f t="shared" si="0"/>
        <v>8.2535058108653239</v>
      </c>
      <c r="E33" s="12">
        <f t="shared" si="0"/>
        <v>12.396634355038312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2"/>
  <sheetViews>
    <sheetView workbookViewId="0"/>
  </sheetViews>
  <sheetFormatPr defaultColWidth="12.625" defaultRowHeight="15" customHeight="1" x14ac:dyDescent="0.2"/>
  <cols>
    <col min="1" max="1" width="26.87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2" t="s">
        <v>40</v>
      </c>
      <c r="B2" s="3">
        <v>118174</v>
      </c>
      <c r="C2" s="2">
        <v>629.59356337093504</v>
      </c>
      <c r="D2" s="5">
        <v>4.9203676177836702</v>
      </c>
      <c r="E2" s="5">
        <v>7.3852674187126697</v>
      </c>
    </row>
    <row r="3" spans="1:25" x14ac:dyDescent="0.2">
      <c r="A3" s="2" t="s">
        <v>41</v>
      </c>
      <c r="B3" s="3">
        <v>256932</v>
      </c>
      <c r="C3" s="2">
        <v>757.32361266197495</v>
      </c>
      <c r="D3" s="5">
        <v>5.2946048975564102</v>
      </c>
      <c r="E3" s="5">
        <v>7.9469160455997203</v>
      </c>
    </row>
    <row r="4" spans="1:25" x14ac:dyDescent="0.2">
      <c r="A4" s="2" t="s">
        <v>43</v>
      </c>
      <c r="B4" s="3">
        <v>1576061</v>
      </c>
      <c r="C4" s="2">
        <v>522.38762139663902</v>
      </c>
      <c r="D4" s="5">
        <v>13.978562638096699</v>
      </c>
      <c r="E4" s="5">
        <v>20.977039078156299</v>
      </c>
    </row>
    <row r="5" spans="1:25" x14ac:dyDescent="0.2">
      <c r="A5" s="2" t="s">
        <v>45</v>
      </c>
      <c r="B5" s="3">
        <v>223438</v>
      </c>
      <c r="C5" s="2">
        <v>703.19092799718499</v>
      </c>
      <c r="D5" s="5">
        <v>5.6065411954598501</v>
      </c>
      <c r="E5" s="5">
        <v>8.4090565862036808</v>
      </c>
    </row>
    <row r="6" spans="1:25" x14ac:dyDescent="0.2">
      <c r="A6" s="2" t="s">
        <v>47</v>
      </c>
      <c r="B6" s="3">
        <v>2630010</v>
      </c>
      <c r="C6" s="2">
        <v>670.17621245023497</v>
      </c>
      <c r="D6" s="5">
        <v>5.3186046951600598</v>
      </c>
      <c r="E6" s="5">
        <v>7.9951215740466504</v>
      </c>
    </row>
    <row r="7" spans="1:25" x14ac:dyDescent="0.2">
      <c r="A7" s="2" t="s">
        <v>49</v>
      </c>
      <c r="B7" s="3">
        <v>126113</v>
      </c>
      <c r="C7" s="2">
        <v>510.30717313394803</v>
      </c>
      <c r="D7" s="5">
        <v>14.838337972311599</v>
      </c>
      <c r="E7" s="5">
        <v>22.260161727519101</v>
      </c>
    </row>
    <row r="8" spans="1:25" x14ac:dyDescent="0.2">
      <c r="A8" s="2" t="s">
        <v>52</v>
      </c>
      <c r="B8" s="3">
        <v>26781</v>
      </c>
      <c r="C8" s="2">
        <v>663.36022781205497</v>
      </c>
      <c r="D8" s="5">
        <v>12.240168485999</v>
      </c>
      <c r="E8" s="5">
        <v>18.3632130991931</v>
      </c>
    </row>
    <row r="9" spans="1:25" x14ac:dyDescent="0.2">
      <c r="A9" s="2" t="s">
        <v>54</v>
      </c>
      <c r="B9" s="3">
        <v>79465</v>
      </c>
      <c r="C9" s="2">
        <v>704.99773002421296</v>
      </c>
      <c r="D9" s="5">
        <v>5.1121421004842604</v>
      </c>
      <c r="E9" s="5">
        <v>7.6688052360774801</v>
      </c>
    </row>
    <row r="10" spans="1:25" x14ac:dyDescent="0.2">
      <c r="A10" s="2" t="s">
        <v>56</v>
      </c>
      <c r="B10" s="3">
        <v>425294</v>
      </c>
      <c r="C10" s="2">
        <v>899.34537964296396</v>
      </c>
      <c r="D10" s="5">
        <v>5.9411240245168599</v>
      </c>
      <c r="E10" s="5">
        <v>8.9175962085942899</v>
      </c>
    </row>
    <row r="12" spans="1:25" x14ac:dyDescent="0.2">
      <c r="A12" s="8" t="s">
        <v>9</v>
      </c>
      <c r="B12" s="10">
        <f>SUM(B2:B10)</f>
        <v>5462268</v>
      </c>
      <c r="C12">
        <f t="shared" ref="C12:E12" si="0">AVERAGE(C2:C10)</f>
        <v>673.40916094334989</v>
      </c>
      <c r="D12" s="12">
        <f t="shared" si="0"/>
        <v>8.1389392919298231</v>
      </c>
      <c r="E12" s="12">
        <f t="shared" si="0"/>
        <v>12.213686330455888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/>
  </sheetViews>
  <sheetFormatPr defaultColWidth="12.625" defaultRowHeight="15" customHeight="1" x14ac:dyDescent="0.2"/>
  <sheetData>
    <row r="1" spans="1:5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25" customHeight="1" x14ac:dyDescent="0.2">
      <c r="A2" s="2" t="s">
        <v>66</v>
      </c>
      <c r="B2" s="3">
        <v>4079513</v>
      </c>
      <c r="C2" s="2">
        <v>767.853541711655</v>
      </c>
      <c r="D2" s="5">
        <v>13.3706640738069</v>
      </c>
      <c r="E2" s="5">
        <v>20.088733649132301</v>
      </c>
    </row>
    <row r="3" spans="1:5" ht="14.25" customHeight="1" x14ac:dyDescent="0.2">
      <c r="A3" s="2" t="s">
        <v>68</v>
      </c>
      <c r="B3" s="3">
        <v>147742</v>
      </c>
      <c r="C3" s="2">
        <v>803.30294292256804</v>
      </c>
      <c r="D3" s="5">
        <v>9.4633325417691392</v>
      </c>
      <c r="E3" s="5">
        <v>14.196513951318799</v>
      </c>
    </row>
    <row r="4" spans="1:5" ht="14.25" customHeight="1" x14ac:dyDescent="0.2">
      <c r="A4" s="2" t="s">
        <v>70</v>
      </c>
      <c r="B4" s="3">
        <v>137774</v>
      </c>
      <c r="C4" s="2">
        <v>694.70835838845403</v>
      </c>
      <c r="D4" s="5">
        <v>18.120678761568101</v>
      </c>
      <c r="E4" s="5">
        <v>27.1933310355953</v>
      </c>
    </row>
    <row r="6" spans="1:5" ht="14.25" x14ac:dyDescent="0.2">
      <c r="A6" s="8" t="s">
        <v>9</v>
      </c>
      <c r="B6" s="14">
        <f>SUM(B2:B4)</f>
        <v>4365029</v>
      </c>
      <c r="C6">
        <f t="shared" ref="C6:E6" si="0">AVERAGE(C2:C4)</f>
        <v>755.28828100755902</v>
      </c>
      <c r="D6" s="12">
        <f t="shared" si="0"/>
        <v>13.651558459048047</v>
      </c>
      <c r="E6" s="12">
        <f t="shared" si="0"/>
        <v>20.4928595453488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"/>
  <sheetViews>
    <sheetView workbookViewId="0"/>
  </sheetViews>
  <sheetFormatPr defaultColWidth="12.625" defaultRowHeight="15" customHeight="1" x14ac:dyDescent="0.2"/>
  <cols>
    <col min="1" max="1" width="34.375" customWidth="1"/>
  </cols>
  <sheetData>
    <row r="1" spans="1:5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25" x14ac:dyDescent="0.2">
      <c r="A2" s="2" t="s">
        <v>81</v>
      </c>
      <c r="B2" s="3">
        <v>35691</v>
      </c>
      <c r="C2" s="4">
        <v>1098.6600774403901</v>
      </c>
      <c r="D2" s="5">
        <v>8.3985642959038103</v>
      </c>
      <c r="E2" s="5">
        <v>12.604124719788</v>
      </c>
    </row>
    <row r="3" spans="1:5" ht="14.25" x14ac:dyDescent="0.2">
      <c r="A3" s="2" t="s">
        <v>82</v>
      </c>
      <c r="B3" s="3">
        <v>3615422</v>
      </c>
      <c r="C3" s="4">
        <v>1085.1940304924899</v>
      </c>
      <c r="D3" s="5">
        <v>7.5085744708834099</v>
      </c>
      <c r="E3" s="5">
        <v>11.2988940148112</v>
      </c>
    </row>
    <row r="4" spans="1:5" ht="14.25" x14ac:dyDescent="0.2">
      <c r="A4" s="2" t="s">
        <v>83</v>
      </c>
      <c r="B4" s="3">
        <v>352812</v>
      </c>
      <c r="C4" s="2">
        <v>966.77401973558995</v>
      </c>
      <c r="D4" s="5">
        <v>9.5776903301238896</v>
      </c>
      <c r="E4" s="5">
        <v>14.3682454904667</v>
      </c>
    </row>
    <row r="5" spans="1:5" ht="14.25" x14ac:dyDescent="0.2">
      <c r="A5" s="2" t="s">
        <v>84</v>
      </c>
      <c r="B5" s="3">
        <v>2093001</v>
      </c>
      <c r="C5" s="2">
        <v>845.86222864060699</v>
      </c>
      <c r="D5" s="5">
        <v>8.3832990979534205</v>
      </c>
      <c r="E5" s="5">
        <v>12.6189524620375</v>
      </c>
    </row>
    <row r="6" spans="1:5" ht="14.25" x14ac:dyDescent="0.2">
      <c r="A6" s="2" t="s">
        <v>85</v>
      </c>
      <c r="B6" s="3">
        <v>146561</v>
      </c>
      <c r="C6" s="4">
        <v>1068.8904295658999</v>
      </c>
      <c r="D6" s="5">
        <v>7.4977347331484498</v>
      </c>
      <c r="E6" s="5">
        <v>11.247193389552301</v>
      </c>
    </row>
    <row r="7" spans="1:5" ht="14.25" x14ac:dyDescent="0.2">
      <c r="A7" s="2" t="s">
        <v>86</v>
      </c>
      <c r="B7" s="3">
        <v>59188</v>
      </c>
      <c r="C7" s="2">
        <v>748.94156827126801</v>
      </c>
      <c r="D7" s="5">
        <v>9.8813129478252009</v>
      </c>
      <c r="E7" s="5">
        <v>14.9397981632859</v>
      </c>
    </row>
    <row r="8" spans="1:5" ht="14.25" x14ac:dyDescent="0.2">
      <c r="A8" s="2" t="s">
        <v>87</v>
      </c>
      <c r="B8" s="3">
        <v>78680</v>
      </c>
      <c r="C8" s="2">
        <v>806.94008372579799</v>
      </c>
      <c r="D8" s="5">
        <v>10.423656462585001</v>
      </c>
      <c r="E8" s="5">
        <v>15.6459563055991</v>
      </c>
    </row>
    <row r="9" spans="1:5" ht="14.25" customHeight="1" x14ac:dyDescent="0.2">
      <c r="A9" s="2" t="s">
        <v>88</v>
      </c>
      <c r="B9" s="3">
        <v>6633940</v>
      </c>
      <c r="C9" s="2">
        <v>967.43182928140004</v>
      </c>
      <c r="D9" s="5">
        <v>9.4888596006584596</v>
      </c>
      <c r="E9" s="5">
        <v>14.250118060125599</v>
      </c>
    </row>
    <row r="10" spans="1:5" ht="14.25" x14ac:dyDescent="0.2">
      <c r="A10" s="2" t="s">
        <v>89</v>
      </c>
      <c r="B10" s="3">
        <v>144695</v>
      </c>
      <c r="C10" s="2">
        <v>852.58202386661696</v>
      </c>
      <c r="D10" s="5">
        <v>8.4788116060597503</v>
      </c>
      <c r="E10" s="5">
        <v>12.7215066155104</v>
      </c>
    </row>
    <row r="11" spans="1:5" ht="14.25" x14ac:dyDescent="0.2">
      <c r="A11" s="2" t="s">
        <v>90</v>
      </c>
      <c r="B11" s="3">
        <v>13474</v>
      </c>
      <c r="C11" s="2">
        <v>848.14513745196496</v>
      </c>
      <c r="D11" s="5">
        <v>11.547955956251799</v>
      </c>
      <c r="E11" s="5">
        <v>17.323211646467598</v>
      </c>
    </row>
    <row r="13" spans="1:5" ht="14.25" x14ac:dyDescent="0.2">
      <c r="A13" s="8" t="s">
        <v>9</v>
      </c>
      <c r="B13" s="10">
        <f>SUM(B2:B11)</f>
        <v>13173464</v>
      </c>
      <c r="C13" s="11">
        <f t="shared" ref="C13:E13" si="0">AVERAGE(C2:C11)</f>
        <v>928.9421428472026</v>
      </c>
      <c r="D13" s="12">
        <f t="shared" si="0"/>
        <v>9.1186459501393191</v>
      </c>
      <c r="E13" s="12">
        <f t="shared" si="0"/>
        <v>13.701800086764431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F32"/>
  <sheetViews>
    <sheetView workbookViewId="0"/>
  </sheetViews>
  <sheetFormatPr defaultColWidth="12.625" defaultRowHeight="15" customHeight="1" x14ac:dyDescent="0.2"/>
  <cols>
    <col min="2" max="2" width="27.625" customWidth="1"/>
    <col min="3" max="3" width="15.25" customWidth="1"/>
    <col min="4" max="4" width="16.25" customWidth="1"/>
    <col min="5" max="5" width="21.375" customWidth="1"/>
    <col min="6" max="6" width="18" customWidth="1"/>
  </cols>
  <sheetData>
    <row r="1" spans="2:6" x14ac:dyDescent="0.2">
      <c r="B1" s="8" t="s">
        <v>91</v>
      </c>
    </row>
    <row r="3" spans="2:6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2">
      <c r="B4" s="2" t="s">
        <v>92</v>
      </c>
      <c r="C4" s="3">
        <v>1584</v>
      </c>
      <c r="D4" s="2">
        <v>755.50660792951498</v>
      </c>
      <c r="E4" s="5">
        <v>36.861949339207001</v>
      </c>
      <c r="F4" s="5">
        <v>55.297499999999999</v>
      </c>
    </row>
    <row r="5" spans="2:6" x14ac:dyDescent="0.2">
      <c r="B5" s="2" t="s">
        <v>93</v>
      </c>
      <c r="C5" s="3">
        <v>320009</v>
      </c>
      <c r="D5" s="4">
        <v>1147.65503356828</v>
      </c>
      <c r="E5" s="5">
        <v>12.4433621858728</v>
      </c>
      <c r="F5" s="5">
        <v>18.667276364914802</v>
      </c>
    </row>
    <row r="6" spans="2:6" x14ac:dyDescent="0.2">
      <c r="B6" s="2" t="s">
        <v>94</v>
      </c>
      <c r="C6" s="3">
        <v>4073313</v>
      </c>
      <c r="D6" s="4">
        <v>1049.41826951382</v>
      </c>
      <c r="E6" s="5">
        <v>6.7529330857543899</v>
      </c>
      <c r="F6" s="5">
        <v>10.1371497022259</v>
      </c>
    </row>
    <row r="7" spans="2:6" x14ac:dyDescent="0.2">
      <c r="B7" s="2" t="s">
        <v>95</v>
      </c>
      <c r="C7" s="3">
        <v>2600078</v>
      </c>
      <c r="D7" s="2">
        <v>756.57901713968704</v>
      </c>
      <c r="E7" s="5">
        <v>13.7179967123779</v>
      </c>
      <c r="F7" s="5">
        <v>20.5779703216648</v>
      </c>
    </row>
    <row r="8" spans="2:6" x14ac:dyDescent="0.2">
      <c r="B8" s="2" t="s">
        <v>96</v>
      </c>
      <c r="C8" s="3">
        <v>226317</v>
      </c>
      <c r="D8" s="4">
        <v>1023.75951489558</v>
      </c>
      <c r="E8" s="5">
        <v>7.12766603381891</v>
      </c>
      <c r="F8" s="5">
        <v>10.6929978353058</v>
      </c>
    </row>
    <row r="9" spans="2:6" x14ac:dyDescent="0.2">
      <c r="B9" s="2" t="s">
        <v>97</v>
      </c>
      <c r="C9" s="3">
        <v>336493</v>
      </c>
      <c r="D9" s="2">
        <v>888.70449645149301</v>
      </c>
      <c r="E9" s="5">
        <v>12.1442802723141</v>
      </c>
      <c r="F9" s="5">
        <v>18.222171912421899</v>
      </c>
    </row>
    <row r="10" spans="2:6" x14ac:dyDescent="0.2">
      <c r="B10" s="2" t="s">
        <v>98</v>
      </c>
      <c r="C10" s="3">
        <v>25189</v>
      </c>
      <c r="D10" s="2">
        <v>756.89574567554905</v>
      </c>
      <c r="E10" s="5">
        <v>19.6671482000935</v>
      </c>
      <c r="F10" s="5">
        <v>29.554019011999301</v>
      </c>
    </row>
    <row r="11" spans="2:6" x14ac:dyDescent="0.2">
      <c r="B11" s="2" t="s">
        <v>99</v>
      </c>
      <c r="C11" s="3">
        <v>36962</v>
      </c>
      <c r="D11" s="2">
        <v>748.98845489857501</v>
      </c>
      <c r="E11" s="5">
        <v>22.778640483383601</v>
      </c>
      <c r="F11" s="5">
        <v>34.218243418213198</v>
      </c>
    </row>
    <row r="12" spans="2:6" x14ac:dyDescent="0.2">
      <c r="B12" s="2" t="s">
        <v>100</v>
      </c>
      <c r="C12" s="3">
        <v>686232</v>
      </c>
      <c r="D12" s="2">
        <v>947.41842620970101</v>
      </c>
      <c r="E12" s="5">
        <v>9.86771512347498</v>
      </c>
      <c r="F12" s="5">
        <v>14.823214106795501</v>
      </c>
    </row>
    <row r="13" spans="2:6" x14ac:dyDescent="0.2">
      <c r="B13" s="2" t="s">
        <v>101</v>
      </c>
      <c r="C13" s="3">
        <v>1111615</v>
      </c>
      <c r="D13" s="4">
        <v>1071.7895429744201</v>
      </c>
      <c r="E13" s="5">
        <v>15.8768643439955</v>
      </c>
      <c r="F13" s="5">
        <v>23.849627471592299</v>
      </c>
    </row>
    <row r="14" spans="2:6" x14ac:dyDescent="0.2">
      <c r="B14" s="2" t="s">
        <v>102</v>
      </c>
      <c r="C14" s="3">
        <v>92926</v>
      </c>
      <c r="D14" s="4">
        <v>1048.6525480228299</v>
      </c>
      <c r="E14" s="5">
        <v>17.157050918788201</v>
      </c>
      <c r="F14" s="5">
        <v>25.746661319221602</v>
      </c>
    </row>
    <row r="15" spans="2:6" x14ac:dyDescent="0.2">
      <c r="B15" s="2" t="s">
        <v>103</v>
      </c>
      <c r="C15" s="3">
        <v>3641</v>
      </c>
      <c r="D15" s="2">
        <v>750</v>
      </c>
      <c r="E15" s="5">
        <v>13.714132360604401</v>
      </c>
      <c r="F15" s="5">
        <v>20.571318394997299</v>
      </c>
    </row>
    <row r="16" spans="2:6" x14ac:dyDescent="0.2">
      <c r="B16" s="2" t="s">
        <v>104</v>
      </c>
      <c r="C16" s="3">
        <v>5138</v>
      </c>
      <c r="D16" s="4">
        <v>1727.3936170212701</v>
      </c>
      <c r="E16" s="5">
        <v>52.443962765957401</v>
      </c>
      <c r="F16" s="5">
        <v>78.670465425531901</v>
      </c>
    </row>
    <row r="17" spans="2:6" x14ac:dyDescent="0.2">
      <c r="B17" s="2" t="s">
        <v>105</v>
      </c>
      <c r="C17" s="3">
        <v>562264</v>
      </c>
      <c r="D17" s="2">
        <v>748.77023167248399</v>
      </c>
      <c r="E17" s="5">
        <v>17.189993485777201</v>
      </c>
      <c r="F17" s="5">
        <v>25.792711753996201</v>
      </c>
    </row>
    <row r="18" spans="2:6" x14ac:dyDescent="0.2">
      <c r="B18" s="2" t="s">
        <v>106</v>
      </c>
      <c r="C18" s="3">
        <v>28757</v>
      </c>
      <c r="D18" s="2">
        <v>769.67008594399704</v>
      </c>
      <c r="E18" s="5">
        <v>18.054783753812</v>
      </c>
      <c r="F18" s="5">
        <v>27.085840726365401</v>
      </c>
    </row>
    <row r="19" spans="2:6" x14ac:dyDescent="0.2">
      <c r="B19" s="2" t="s">
        <v>107</v>
      </c>
      <c r="C19" s="3">
        <v>45105</v>
      </c>
      <c r="D19" s="2">
        <v>762.77327674897106</v>
      </c>
      <c r="E19" s="5">
        <v>31.932700188614501</v>
      </c>
      <c r="F19" s="5">
        <v>47.900857338820302</v>
      </c>
    </row>
    <row r="20" spans="2:6" x14ac:dyDescent="0.2">
      <c r="B20" s="2" t="s">
        <v>108</v>
      </c>
      <c r="C20" s="3">
        <v>2689</v>
      </c>
      <c r="D20" s="2">
        <v>754.93015612161003</v>
      </c>
      <c r="E20" s="5">
        <v>13.0083155299917</v>
      </c>
      <c r="F20" s="5">
        <v>19.512530813475699</v>
      </c>
    </row>
    <row r="21" spans="2:6" x14ac:dyDescent="0.2">
      <c r="B21" s="2" t="s">
        <v>109</v>
      </c>
      <c r="C21" s="3">
        <v>69321</v>
      </c>
      <c r="D21" s="2">
        <v>796.619240965068</v>
      </c>
      <c r="E21" s="5">
        <v>16.443936780644901</v>
      </c>
      <c r="F21" s="5">
        <v>24.667894030401602</v>
      </c>
    </row>
    <row r="22" spans="2:6" x14ac:dyDescent="0.2">
      <c r="B22" s="2" t="s">
        <v>110</v>
      </c>
      <c r="C22" s="3">
        <v>3895514</v>
      </c>
      <c r="D22" s="2">
        <v>938.76135770042799</v>
      </c>
      <c r="E22" s="5">
        <v>11.325183286614999</v>
      </c>
      <c r="F22" s="5">
        <v>17.022491870277499</v>
      </c>
    </row>
    <row r="23" spans="2:6" x14ac:dyDescent="0.2">
      <c r="B23" s="2" t="s">
        <v>111</v>
      </c>
      <c r="C23" s="3">
        <v>11123969</v>
      </c>
      <c r="D23" s="2">
        <v>995.04420793580903</v>
      </c>
      <c r="E23" s="5">
        <v>9.2809256877715693</v>
      </c>
      <c r="F23" s="5">
        <v>13.9648339265038</v>
      </c>
    </row>
    <row r="24" spans="2:6" x14ac:dyDescent="0.2">
      <c r="B24" s="2" t="s">
        <v>112</v>
      </c>
      <c r="C24" s="3">
        <v>5924</v>
      </c>
      <c r="D24" s="2">
        <v>754.54298150163197</v>
      </c>
      <c r="E24" s="5">
        <v>19.755048966267601</v>
      </c>
      <c r="F24" s="5">
        <v>29.635530467899802</v>
      </c>
    </row>
    <row r="25" spans="2:6" x14ac:dyDescent="0.2">
      <c r="B25" s="2" t="s">
        <v>113</v>
      </c>
      <c r="C25" s="3">
        <v>747176</v>
      </c>
      <c r="D25" s="2">
        <v>831.88362805326403</v>
      </c>
      <c r="E25" s="5">
        <v>16.670546900632399</v>
      </c>
      <c r="F25" s="5">
        <v>25.025808528210501</v>
      </c>
    </row>
    <row r="26" spans="2:6" x14ac:dyDescent="0.2">
      <c r="B26" s="2" t="s">
        <v>114</v>
      </c>
      <c r="C26" s="3">
        <v>188606</v>
      </c>
      <c r="D26" s="2">
        <v>727.67790443516003</v>
      </c>
      <c r="E26" s="5">
        <v>14.270502586946201</v>
      </c>
      <c r="F26" s="5">
        <v>21.408353899786899</v>
      </c>
    </row>
    <row r="27" spans="2:6" x14ac:dyDescent="0.2">
      <c r="B27" s="2" t="s">
        <v>115</v>
      </c>
      <c r="C27" s="3">
        <v>297693</v>
      </c>
      <c r="D27" s="2">
        <v>762.49609918354997</v>
      </c>
      <c r="E27" s="5">
        <v>28.960840762019899</v>
      </c>
      <c r="F27" s="5">
        <v>43.482006047777404</v>
      </c>
    </row>
    <row r="28" spans="2:6" x14ac:dyDescent="0.2">
      <c r="B28" s="2" t="s">
        <v>116</v>
      </c>
      <c r="C28" s="3">
        <v>1736</v>
      </c>
      <c r="D28" s="2">
        <v>756.81818181818096</v>
      </c>
      <c r="E28" s="5">
        <v>37.579965034964999</v>
      </c>
      <c r="F28" s="5">
        <v>56.373706293706199</v>
      </c>
    </row>
    <row r="29" spans="2:6" x14ac:dyDescent="0.2">
      <c r="B29" s="2" t="s">
        <v>117</v>
      </c>
      <c r="C29" s="3">
        <v>12167</v>
      </c>
      <c r="D29" s="2">
        <v>750</v>
      </c>
      <c r="E29" s="5">
        <v>6.5466804511278101</v>
      </c>
      <c r="F29" s="5">
        <v>9.8192030075187908</v>
      </c>
    </row>
    <row r="31" spans="2:6" x14ac:dyDescent="0.2">
      <c r="C31" s="8" t="s">
        <v>118</v>
      </c>
      <c r="D31" s="8" t="s">
        <v>119</v>
      </c>
      <c r="E31" s="8" t="s">
        <v>120</v>
      </c>
      <c r="F31" s="8" t="s">
        <v>121</v>
      </c>
    </row>
    <row r="32" spans="2:6" x14ac:dyDescent="0.2">
      <c r="C32" s="14">
        <f>SUM(C4:C29)</f>
        <v>26500418</v>
      </c>
      <c r="D32">
        <f t="shared" ref="D32:F32" si="0">AVERAGE(D4:D29)</f>
        <v>885.4903317838797</v>
      </c>
      <c r="E32" s="12">
        <f t="shared" si="0"/>
        <v>18.522043278493399</v>
      </c>
      <c r="F32" s="12">
        <f t="shared" si="0"/>
        <v>27.796937845754787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Spirit</vt:lpstr>
      <vt:lpstr>Cocktail</vt:lpstr>
      <vt:lpstr>Vodka</vt:lpstr>
      <vt:lpstr>Gin</vt:lpstr>
      <vt:lpstr>Liqueur</vt:lpstr>
      <vt:lpstr>Brandy</vt:lpstr>
      <vt:lpstr>Tequila</vt:lpstr>
      <vt:lpstr>Rum</vt:lpstr>
      <vt:lpstr>Scotch and Whiskey</vt:lpstr>
      <vt:lpstr>MODEL</vt:lpstr>
      <vt:lpstr>STS_1</vt:lpstr>
      <vt:lpstr>STS_2</vt:lpstr>
      <vt:lpstr>STS_3</vt:lpstr>
      <vt:lpstr>STS_2!ChartData</vt:lpstr>
      <vt:lpstr>STS_3!ChartData</vt:lpstr>
      <vt:lpstr>STS_1!ChartData1</vt:lpstr>
      <vt:lpstr>STS_1!ChartData2</vt:lpstr>
      <vt:lpstr>STS_2!InputValues</vt:lpstr>
      <vt:lpstr>STS_3!InputValues</vt:lpstr>
      <vt:lpstr>STS_1!InputValues1</vt:lpstr>
      <vt:lpstr>STS_1!InputValues2</vt:lpstr>
      <vt:lpstr>STS_1!OutputAddresses</vt:lpstr>
      <vt:lpstr>STS_2!OutputAddresses</vt:lpstr>
      <vt:lpstr>STS_3!OutputAddresses</vt:lpstr>
      <vt:lpstr>STS_2!OutputValues</vt:lpstr>
      <vt:lpstr>STS_3!OutputValues</vt:lpstr>
      <vt:lpstr>STS_1!OutputValues_1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alienware</cp:lastModifiedBy>
  <dcterms:modified xsi:type="dcterms:W3CDTF">2017-12-04T00:37:10Z</dcterms:modified>
</cp:coreProperties>
</file>